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PUC\WEB\Internet\commission\Dockets\naturalgas\2026\NG26-001\"/>
    </mc:Choice>
  </mc:AlternateContent>
  <xr:revisionPtr revIDLastSave="0" documentId="8_{6BE35A5C-7562-4310-A0CA-820F492FAB04}" xr6:coauthVersionLast="47" xr6:coauthVersionMax="47" xr10:uidLastSave="{00000000-0000-0000-0000-000000000000}"/>
  <bookViews>
    <workbookView xWindow="28680" yWindow="-120" windowWidth="29040" windowHeight="15720" tabRatio="875" xr2:uid="{00000000-000D-0000-FFFF-FFFF00000000}"/>
  </bookViews>
  <sheets>
    <sheet name="Total Program Inputs" sheetId="76" r:id="rId1"/>
    <sheet name="Database Inputs" sheetId="33" r:id="rId2"/>
    <sheet name="Gas Input Table Summary" sheetId="27" r:id="rId3"/>
    <sheet name="Gas Costs" sheetId="77" r:id="rId4"/>
    <sheet name="T bill" sheetId="78" r:id="rId5"/>
    <sheet name="Summary by Yr" sheetId="75" r:id="rId6"/>
    <sheet name="Summary of Ratios" sheetId="12" r:id="rId7"/>
    <sheet name="Total Program" sheetId="52" r:id="rId8"/>
    <sheet name="Res .95+% Res Furnace - NEW" sheetId="34" r:id="rId9"/>
    <sheet name="Res .95+% Res Furnace - Replace" sheetId="57" r:id="rId10"/>
    <sheet name="Programmable Tstats - Tier 1" sheetId="59" r:id="rId11"/>
    <sheet name="Programmable Tstats - Tier 2" sheetId="60" r:id="rId12"/>
    <sheet name="Comm 95+% Furnace - NEW" sheetId="44" r:id="rId13"/>
    <sheet name="Comm 95+% Furnace - Replace" sheetId="63" r:id="rId14"/>
    <sheet name="Comm Custom" sheetId="51" r:id="rId15"/>
  </sheets>
  <definedNames>
    <definedName name="\A" localSheetId="12">'Comm 95+% Furnace - NEW'!$B$130</definedName>
    <definedName name="\A" localSheetId="13">'Comm 95+% Furnace - Replace'!$B$130</definedName>
    <definedName name="\A" localSheetId="14">'Comm Custom'!$B$130</definedName>
    <definedName name="\A" localSheetId="10">'Programmable Tstats - Tier 1'!$B$130</definedName>
    <definedName name="\A" localSheetId="11">'Programmable Tstats - Tier 2'!$B$130</definedName>
    <definedName name="\A" localSheetId="8">'Res .95+% Res Furnace - NEW'!$B$130</definedName>
    <definedName name="\A" localSheetId="9">'Res .95+% Res Furnace - Replace'!$B$130</definedName>
    <definedName name="\A" localSheetId="4">#REF!</definedName>
    <definedName name="\A" localSheetId="7">'Total Program'!$B$130</definedName>
    <definedName name="\A">#REF!</definedName>
    <definedName name="\AA">#REF!</definedName>
    <definedName name="\B" localSheetId="12">'Comm 95+% Furnace - NEW'!$B$132</definedName>
    <definedName name="\B" localSheetId="13">'Comm 95+% Furnace - Replace'!$B$132</definedName>
    <definedName name="\B" localSheetId="14">'Comm Custom'!$B$132</definedName>
    <definedName name="\B" localSheetId="10">'Programmable Tstats - Tier 1'!$B$132</definedName>
    <definedName name="\B" localSheetId="11">'Programmable Tstats - Tier 2'!$B$132</definedName>
    <definedName name="\B" localSheetId="8">'Res .95+% Res Furnace - NEW'!$B$132</definedName>
    <definedName name="\B" localSheetId="9">'Res .95+% Res Furnace - Replace'!$B$132</definedName>
    <definedName name="\B" localSheetId="4">#REF!</definedName>
    <definedName name="\B" localSheetId="7">'Total Program'!$B$132</definedName>
    <definedName name="\B">#REF!</definedName>
    <definedName name="\C" localSheetId="12">'Comm 95+% Furnace - NEW'!$B$134</definedName>
    <definedName name="\C" localSheetId="13">'Comm 95+% Furnace - Replace'!$B$134</definedName>
    <definedName name="\C" localSheetId="14">'Comm Custom'!$B$134</definedName>
    <definedName name="\C" localSheetId="10">'Programmable Tstats - Tier 1'!$B$134</definedName>
    <definedName name="\C" localSheetId="11">'Programmable Tstats - Tier 2'!$B$134</definedName>
    <definedName name="\C" localSheetId="8">'Res .95+% Res Furnace - NEW'!$B$134</definedName>
    <definedName name="\C" localSheetId="9">'Res .95+% Res Furnace - Replace'!$B$134</definedName>
    <definedName name="\C" localSheetId="4">#REF!</definedName>
    <definedName name="\C" localSheetId="7">'Total Program'!$B$134</definedName>
    <definedName name="\C">#REF!</definedName>
    <definedName name="\D" localSheetId="12">'Comm 95+% Furnace - NEW'!$B$136</definedName>
    <definedName name="\D" localSheetId="13">'Comm 95+% Furnace - Replace'!$B$136</definedName>
    <definedName name="\D" localSheetId="14">'Comm Custom'!$B$136</definedName>
    <definedName name="\D" localSheetId="10">'Programmable Tstats - Tier 1'!$B$136</definedName>
    <definedName name="\D" localSheetId="11">'Programmable Tstats - Tier 2'!$B$136</definedName>
    <definedName name="\D" localSheetId="8">'Res .95+% Res Furnace - NEW'!$B$136</definedName>
    <definedName name="\D" localSheetId="9">'Res .95+% Res Furnace - Replace'!$B$136</definedName>
    <definedName name="\D" localSheetId="4">#REF!</definedName>
    <definedName name="\D" localSheetId="7">'Total Program'!$B$136</definedName>
    <definedName name="\D">#REF!</definedName>
    <definedName name="\I" localSheetId="12">'Comm 95+% Furnace - NEW'!$B$138</definedName>
    <definedName name="\I" localSheetId="13">'Comm 95+% Furnace - Replace'!$B$138</definedName>
    <definedName name="\I" localSheetId="14">'Comm Custom'!$B$138</definedName>
    <definedName name="\I" localSheetId="10">'Programmable Tstats - Tier 1'!$B$138</definedName>
    <definedName name="\I" localSheetId="11">'Programmable Tstats - Tier 2'!$B$138</definedName>
    <definedName name="\I" localSheetId="8">'Res .95+% Res Furnace - NEW'!$B$138</definedName>
    <definedName name="\I" localSheetId="9">'Res .95+% Res Furnace - Replace'!$B$138</definedName>
    <definedName name="\I" localSheetId="4">#REF!</definedName>
    <definedName name="\I" localSheetId="7">'Total Program'!$B$138</definedName>
    <definedName name="\I">#REF!</definedName>
    <definedName name="\J" localSheetId="12">'Comm 95+% Furnace - NEW'!$B$140</definedName>
    <definedName name="\J" localSheetId="13">'Comm 95+% Furnace - Replace'!$B$140</definedName>
    <definedName name="\J" localSheetId="14">'Comm Custom'!$B$140</definedName>
    <definedName name="\J" localSheetId="10">'Programmable Tstats - Tier 1'!$B$140</definedName>
    <definedName name="\J" localSheetId="11">'Programmable Tstats - Tier 2'!$B$140</definedName>
    <definedName name="\J" localSheetId="8">'Res .95+% Res Furnace - NEW'!$B$140</definedName>
    <definedName name="\J" localSheetId="9">'Res .95+% Res Furnace - Replace'!$B$140</definedName>
    <definedName name="\J" localSheetId="4">#REF!</definedName>
    <definedName name="\J" localSheetId="7">'Total Program'!$B$140</definedName>
    <definedName name="\J">#REF!</definedName>
    <definedName name="\P" localSheetId="12">'Comm 95+% Furnace - NEW'!$B$142</definedName>
    <definedName name="\P" localSheetId="13">'Comm 95+% Furnace - Replace'!$B$142</definedName>
    <definedName name="\P" localSheetId="14">'Comm Custom'!$B$142</definedName>
    <definedName name="\P" localSheetId="10">'Programmable Tstats - Tier 1'!$B$142</definedName>
    <definedName name="\P" localSheetId="11">'Programmable Tstats - Tier 2'!$B$142</definedName>
    <definedName name="\P" localSheetId="8">'Res .95+% Res Furnace - NEW'!$B$142</definedName>
    <definedName name="\P" localSheetId="9">'Res .95+% Res Furnace - Replace'!$B$142</definedName>
    <definedName name="\P" localSheetId="4">#REF!</definedName>
    <definedName name="\P" localSheetId="7">'Total Program'!$B$142</definedName>
    <definedName name="\P">#REF!</definedName>
    <definedName name="\Q" localSheetId="12">'Comm 95+% Furnace - NEW'!$B$150</definedName>
    <definedName name="\Q" localSheetId="13">'Comm 95+% Furnace - Replace'!$B$150</definedName>
    <definedName name="\Q" localSheetId="14">'Comm Custom'!$B$150</definedName>
    <definedName name="\Q" localSheetId="10">'Programmable Tstats - Tier 1'!$B$150</definedName>
    <definedName name="\Q" localSheetId="11">'Programmable Tstats - Tier 2'!$B$150</definedName>
    <definedName name="\Q" localSheetId="8">'Res .95+% Res Furnace - NEW'!$B$150</definedName>
    <definedName name="\Q" localSheetId="9">'Res .95+% Res Furnace - Replace'!$B$150</definedName>
    <definedName name="\Q" localSheetId="4">#REF!</definedName>
    <definedName name="\Q" localSheetId="7">'Total Program'!$B$150</definedName>
    <definedName name="\Q">#REF!</definedName>
    <definedName name="\R" localSheetId="12">'Comm 95+% Furnace - NEW'!$B$161</definedName>
    <definedName name="\R" localSheetId="13">'Comm 95+% Furnace - Replace'!$B$161</definedName>
    <definedName name="\R" localSheetId="14">'Comm Custom'!$B$161</definedName>
    <definedName name="\R" localSheetId="10">'Programmable Tstats - Tier 1'!$B$161</definedName>
    <definedName name="\R" localSheetId="11">'Programmable Tstats - Tier 2'!$B$161</definedName>
    <definedName name="\R" localSheetId="8">'Res .95+% Res Furnace - NEW'!$B$161</definedName>
    <definedName name="\R" localSheetId="9">'Res .95+% Res Furnace - Replace'!$B$161</definedName>
    <definedName name="\R" localSheetId="4">#REF!</definedName>
    <definedName name="\R" localSheetId="7">'Total Program'!$B$161</definedName>
    <definedName name="\R">#REF!</definedName>
    <definedName name="\S" localSheetId="12">'Comm 95+% Furnace - NEW'!$B$144</definedName>
    <definedName name="\S" localSheetId="13">'Comm 95+% Furnace - Replace'!$B$144</definedName>
    <definedName name="\S" localSheetId="14">'Comm Custom'!$B$144</definedName>
    <definedName name="\S" localSheetId="10">'Programmable Tstats - Tier 1'!$B$144</definedName>
    <definedName name="\S" localSheetId="11">'Programmable Tstats - Tier 2'!$B$144</definedName>
    <definedName name="\S" localSheetId="8">'Res .95+% Res Furnace - NEW'!$B$144</definedName>
    <definedName name="\S" localSheetId="9">'Res .95+% Res Furnace - Replace'!$B$144</definedName>
    <definedName name="\S" localSheetId="4">#REF!</definedName>
    <definedName name="\S" localSheetId="7">'Total Program'!$B$144</definedName>
    <definedName name="\S">#REF!</definedName>
    <definedName name="\X" localSheetId="12">'Comm 95+% Furnace - NEW'!$B$170</definedName>
    <definedName name="\X" localSheetId="13">'Comm 95+% Furnace - Replace'!$B$170</definedName>
    <definedName name="\X" localSheetId="14">'Comm Custom'!$B$170</definedName>
    <definedName name="\X" localSheetId="10">'Programmable Tstats - Tier 1'!$B$170</definedName>
    <definedName name="\X" localSheetId="11">'Programmable Tstats - Tier 2'!$B$170</definedName>
    <definedName name="\X" localSheetId="8">'Res .95+% Res Furnace - NEW'!$B$170</definedName>
    <definedName name="\X" localSheetId="9">'Res .95+% Res Furnace - Replace'!$B$170</definedName>
    <definedName name="\X" localSheetId="4">#REF!</definedName>
    <definedName name="\X" localSheetId="7">'Total Program'!$B$170</definedName>
    <definedName name="\X">#REF!</definedName>
    <definedName name="_A" localSheetId="12">'Comm 95+% Furnace - NEW'!$B$130</definedName>
    <definedName name="_A" localSheetId="13">'Comm 95+% Furnace - Replace'!$B$130</definedName>
    <definedName name="_A" localSheetId="14">'Comm Custom'!$B$130</definedName>
    <definedName name="_A" localSheetId="10">'Programmable Tstats - Tier 1'!$B$130</definedName>
    <definedName name="_A" localSheetId="11">'Programmable Tstats - Tier 2'!$B$130</definedName>
    <definedName name="_A" localSheetId="8">'Res .95+% Res Furnace - NEW'!$B$130</definedName>
    <definedName name="_A" localSheetId="9">'Res .95+% Res Furnace - Replace'!$B$130</definedName>
    <definedName name="_A" localSheetId="4">#REF!</definedName>
    <definedName name="_A" localSheetId="7">'Total Program'!$B$130</definedName>
    <definedName name="_A">#REF!</definedName>
    <definedName name="_B" localSheetId="12">'Comm 95+% Furnace - NEW'!#REF!</definedName>
    <definedName name="_B" localSheetId="13">'Comm 95+% Furnace - Replace'!#REF!</definedName>
    <definedName name="_B" localSheetId="14">'Comm Custom'!#REF!</definedName>
    <definedName name="_B" localSheetId="10">'Programmable Tstats - Tier 1'!#REF!</definedName>
    <definedName name="_B" localSheetId="11">'Programmable Tstats - Tier 2'!#REF!</definedName>
    <definedName name="_B" localSheetId="8">'Res .95+% Res Furnace - NEW'!#REF!</definedName>
    <definedName name="_B" localSheetId="9">'Res .95+% Res Furnace - Replace'!#REF!</definedName>
    <definedName name="_B" localSheetId="4">#REF!</definedName>
    <definedName name="_B" localSheetId="7">'Total Program'!#REF!</definedName>
    <definedName name="_B">#REF!</definedName>
    <definedName name="_C" localSheetId="12">'Comm 95+% Furnace - NEW'!#REF!</definedName>
    <definedName name="_C" localSheetId="13">'Comm 95+% Furnace - Replace'!#REF!</definedName>
    <definedName name="_C" localSheetId="14">'Comm Custom'!#REF!</definedName>
    <definedName name="_C" localSheetId="10">'Programmable Tstats - Tier 1'!#REF!</definedName>
    <definedName name="_C" localSheetId="11">'Programmable Tstats - Tier 2'!#REF!</definedName>
    <definedName name="_C" localSheetId="8">'Res .95+% Res Furnace - NEW'!#REF!</definedName>
    <definedName name="_C" localSheetId="9">'Res .95+% Res Furnace - Replace'!#REF!</definedName>
    <definedName name="_C" localSheetId="4">#REF!</definedName>
    <definedName name="_C" localSheetId="7">'Total Program'!#REF!</definedName>
    <definedName name="_C">#REF!</definedName>
    <definedName name="_Chk1" localSheetId="12">#REF!</definedName>
    <definedName name="_Chk1" localSheetId="13">#REF!</definedName>
    <definedName name="_Chk1" localSheetId="14">#REF!</definedName>
    <definedName name="_Chk1" localSheetId="10">#REF!</definedName>
    <definedName name="_Chk1" localSheetId="11">#REF!</definedName>
    <definedName name="_Chk1" localSheetId="8">#REF!</definedName>
    <definedName name="_Chk1" localSheetId="9">#REF!</definedName>
    <definedName name="_Chk1" localSheetId="4">#REF!</definedName>
    <definedName name="_Chk1" localSheetId="7">#REF!</definedName>
    <definedName name="_Chk1">#REF!</definedName>
    <definedName name="_Chk10" localSheetId="12">#REF!</definedName>
    <definedName name="_Chk10" localSheetId="13">#REF!</definedName>
    <definedName name="_Chk10" localSheetId="14">#REF!</definedName>
    <definedName name="_Chk10" localSheetId="10">#REF!</definedName>
    <definedName name="_Chk10" localSheetId="11">#REF!</definedName>
    <definedName name="_Chk10" localSheetId="8">#REF!</definedName>
    <definedName name="_Chk10" localSheetId="9">#REF!</definedName>
    <definedName name="_Chk10" localSheetId="4">#REF!</definedName>
    <definedName name="_Chk10" localSheetId="7">#REF!</definedName>
    <definedName name="_Chk10">#REF!</definedName>
    <definedName name="_Chk2" localSheetId="12">#REF!</definedName>
    <definedName name="_Chk2" localSheetId="13">#REF!</definedName>
    <definedName name="_Chk2" localSheetId="14">#REF!</definedName>
    <definedName name="_Chk2" localSheetId="10">#REF!</definedName>
    <definedName name="_Chk2" localSheetId="11">#REF!</definedName>
    <definedName name="_Chk2" localSheetId="8">#REF!</definedName>
    <definedName name="_Chk2" localSheetId="9">#REF!</definedName>
    <definedName name="_Chk2" localSheetId="4">#REF!</definedName>
    <definedName name="_Chk2" localSheetId="7">#REF!</definedName>
    <definedName name="_Chk2">#REF!</definedName>
    <definedName name="_Chk3" localSheetId="12">#REF!</definedName>
    <definedName name="_Chk3" localSheetId="13">#REF!</definedName>
    <definedName name="_Chk3" localSheetId="14">#REF!</definedName>
    <definedName name="_Chk3" localSheetId="10">#REF!</definedName>
    <definedName name="_Chk3" localSheetId="11">#REF!</definedName>
    <definedName name="_Chk3" localSheetId="8">#REF!</definedName>
    <definedName name="_Chk3" localSheetId="9">#REF!</definedName>
    <definedName name="_Chk3" localSheetId="4">#REF!</definedName>
    <definedName name="_Chk3" localSheetId="7">#REF!</definedName>
    <definedName name="_Chk3">#REF!</definedName>
    <definedName name="_Chk4" localSheetId="12">#REF!</definedName>
    <definedName name="_Chk4" localSheetId="13">#REF!</definedName>
    <definedName name="_Chk4" localSheetId="14">#REF!</definedName>
    <definedName name="_Chk4" localSheetId="10">#REF!</definedName>
    <definedName name="_Chk4" localSheetId="11">#REF!</definedName>
    <definedName name="_Chk4" localSheetId="8">#REF!</definedName>
    <definedName name="_Chk4" localSheetId="9">#REF!</definedName>
    <definedName name="_Chk4" localSheetId="4">#REF!</definedName>
    <definedName name="_Chk4" localSheetId="7">#REF!</definedName>
    <definedName name="_Chk4">#REF!</definedName>
    <definedName name="_Chk5" localSheetId="12">#REF!</definedName>
    <definedName name="_Chk5" localSheetId="13">#REF!</definedName>
    <definedName name="_Chk5" localSheetId="14">#REF!</definedName>
    <definedName name="_Chk5" localSheetId="10">#REF!</definedName>
    <definedName name="_Chk5" localSheetId="11">#REF!</definedName>
    <definedName name="_Chk5" localSheetId="8">#REF!</definedName>
    <definedName name="_Chk5" localSheetId="9">#REF!</definedName>
    <definedName name="_Chk5" localSheetId="4">#REF!</definedName>
    <definedName name="_Chk5" localSheetId="7">#REF!</definedName>
    <definedName name="_Chk5">#REF!</definedName>
    <definedName name="_Chk6" localSheetId="12">#REF!</definedName>
    <definedName name="_Chk6" localSheetId="13">#REF!</definedName>
    <definedName name="_Chk6" localSheetId="14">#REF!</definedName>
    <definedName name="_Chk6" localSheetId="10">#REF!</definedName>
    <definedName name="_Chk6" localSheetId="11">#REF!</definedName>
    <definedName name="_Chk6" localSheetId="8">#REF!</definedName>
    <definedName name="_Chk6" localSheetId="9">#REF!</definedName>
    <definedName name="_Chk6" localSheetId="4">#REF!</definedName>
    <definedName name="_Chk6" localSheetId="7">#REF!</definedName>
    <definedName name="_Chk6">#REF!</definedName>
    <definedName name="_Chk7" localSheetId="12">#REF!</definedName>
    <definedName name="_Chk7" localSheetId="13">#REF!</definedName>
    <definedName name="_Chk7" localSheetId="14">#REF!</definedName>
    <definedName name="_Chk7" localSheetId="10">#REF!</definedName>
    <definedName name="_Chk7" localSheetId="11">#REF!</definedName>
    <definedName name="_Chk7" localSheetId="8">#REF!</definedName>
    <definedName name="_Chk7" localSheetId="9">#REF!</definedName>
    <definedName name="_Chk7" localSheetId="4">#REF!</definedName>
    <definedName name="_Chk7" localSheetId="7">#REF!</definedName>
    <definedName name="_Chk7">#REF!</definedName>
    <definedName name="_Chk8" localSheetId="12">#REF!</definedName>
    <definedName name="_Chk8" localSheetId="13">#REF!</definedName>
    <definedName name="_Chk8" localSheetId="14">#REF!</definedName>
    <definedName name="_Chk8" localSheetId="10">#REF!</definedName>
    <definedName name="_Chk8" localSheetId="11">#REF!</definedName>
    <definedName name="_Chk8" localSheetId="8">#REF!</definedName>
    <definedName name="_Chk8" localSheetId="9">#REF!</definedName>
    <definedName name="_Chk8" localSheetId="4">#REF!</definedName>
    <definedName name="_Chk8" localSheetId="7">#REF!</definedName>
    <definedName name="_Chk8">#REF!</definedName>
    <definedName name="_Chk9" localSheetId="12">#REF!</definedName>
    <definedName name="_Chk9" localSheetId="13">#REF!</definedName>
    <definedName name="_Chk9" localSheetId="14">#REF!</definedName>
    <definedName name="_Chk9" localSheetId="10">#REF!</definedName>
    <definedName name="_Chk9" localSheetId="11">#REF!</definedName>
    <definedName name="_Chk9" localSheetId="8">#REF!</definedName>
    <definedName name="_Chk9" localSheetId="9">#REF!</definedName>
    <definedName name="_Chk9" localSheetId="4">#REF!</definedName>
    <definedName name="_Chk9" localSheetId="7">#REF!</definedName>
    <definedName name="_Chk9">#REF!</definedName>
    <definedName name="_COC1" localSheetId="12">#REF!</definedName>
    <definedName name="_COC1" localSheetId="13">#REF!</definedName>
    <definedName name="_COC1" localSheetId="14">#REF!</definedName>
    <definedName name="_COC1" localSheetId="10">#REF!</definedName>
    <definedName name="_COC1" localSheetId="11">#REF!</definedName>
    <definedName name="_COC1" localSheetId="8">#REF!</definedName>
    <definedName name="_COC1" localSheetId="9">#REF!</definedName>
    <definedName name="_COC1" localSheetId="4">#REF!</definedName>
    <definedName name="_COC1" localSheetId="7">#REF!</definedName>
    <definedName name="_COC1">#REF!</definedName>
    <definedName name="_COC2" localSheetId="12">#REF!</definedName>
    <definedName name="_COC2" localSheetId="13">#REF!</definedName>
    <definedName name="_COC2" localSheetId="14">#REF!</definedName>
    <definedName name="_COC2" localSheetId="10">#REF!</definedName>
    <definedName name="_COC2" localSheetId="11">#REF!</definedName>
    <definedName name="_COC2" localSheetId="8">#REF!</definedName>
    <definedName name="_COC2" localSheetId="9">#REF!</definedName>
    <definedName name="_COC2" localSheetId="4">#REF!</definedName>
    <definedName name="_COC2" localSheetId="7">#REF!</definedName>
    <definedName name="_COC2">#REF!</definedName>
    <definedName name="_COC3" localSheetId="12">#REF!</definedName>
    <definedName name="_COC3" localSheetId="13">#REF!</definedName>
    <definedName name="_COC3" localSheetId="14">#REF!</definedName>
    <definedName name="_COC3" localSheetId="10">#REF!</definedName>
    <definedName name="_COC3" localSheetId="11">#REF!</definedName>
    <definedName name="_COC3" localSheetId="8">#REF!</definedName>
    <definedName name="_COC3" localSheetId="9">#REF!</definedName>
    <definedName name="_COC3" localSheetId="4">#REF!</definedName>
    <definedName name="_COC3" localSheetId="7">#REF!</definedName>
    <definedName name="_COC3">#REF!</definedName>
    <definedName name="_COC4" localSheetId="12">#REF!</definedName>
    <definedName name="_COC4" localSheetId="13">#REF!</definedName>
    <definedName name="_COC4" localSheetId="14">#REF!</definedName>
    <definedName name="_COC4" localSheetId="10">#REF!</definedName>
    <definedName name="_COC4" localSheetId="11">#REF!</definedName>
    <definedName name="_COC4" localSheetId="8">#REF!</definedName>
    <definedName name="_COC4" localSheetId="9">#REF!</definedName>
    <definedName name="_COC4" localSheetId="4">#REF!</definedName>
    <definedName name="_COC4" localSheetId="7">#REF!</definedName>
    <definedName name="_COC4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3" hidden="1">#REF!</definedName>
    <definedName name="_Key1" localSheetId="10" hidden="1">#REF!</definedName>
    <definedName name="_Key1" localSheetId="11" hidden="1">#REF!</definedName>
    <definedName name="_Key1" localSheetId="8" hidden="1">#REF!</definedName>
    <definedName name="_Key1" localSheetId="9" hidden="1">#REF!</definedName>
    <definedName name="_Key1" localSheetId="4" hidden="1">#REF!</definedName>
    <definedName name="_Key1" localSheetId="7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3" hidden="1">#REF!</definedName>
    <definedName name="_Sort" localSheetId="10" hidden="1">#REF!</definedName>
    <definedName name="_Sort" localSheetId="11" hidden="1">#REF!</definedName>
    <definedName name="_Sort" localSheetId="8" hidden="1">#REF!</definedName>
    <definedName name="_Sort" localSheetId="9" hidden="1">#REF!</definedName>
    <definedName name="_Sort" localSheetId="4" hidden="1">#REF!</definedName>
    <definedName name="_Sort" localSheetId="7" hidden="1">#REF!</definedName>
    <definedName name="_Sort" localSheetId="0" hidden="1">#REF!</definedName>
    <definedName name="_Sort" hidden="1">#REF!</definedName>
    <definedName name="AdminRate" localSheetId="12">#REF!</definedName>
    <definedName name="AdminRate" localSheetId="13">#REF!</definedName>
    <definedName name="AdminRate" localSheetId="14">#REF!</definedName>
    <definedName name="AdminRate" localSheetId="10">#REF!</definedName>
    <definedName name="AdminRate" localSheetId="11">#REF!</definedName>
    <definedName name="AdminRate" localSheetId="8">#REF!</definedName>
    <definedName name="AdminRate" localSheetId="9">#REF!</definedName>
    <definedName name="AdminRate" localSheetId="4">#REF!</definedName>
    <definedName name="AdminRate" localSheetId="7">#REF!</definedName>
    <definedName name="AdminRate">#REF!</definedName>
    <definedName name="BulkLossFac" localSheetId="12">#REF!</definedName>
    <definedName name="BulkLossFac" localSheetId="13">#REF!</definedName>
    <definedName name="BulkLossFac" localSheetId="14">#REF!</definedName>
    <definedName name="BulkLossFac" localSheetId="10">#REF!</definedName>
    <definedName name="BulkLossFac" localSheetId="11">#REF!</definedName>
    <definedName name="BulkLossFac" localSheetId="8">#REF!</definedName>
    <definedName name="BulkLossFac" localSheetId="9">#REF!</definedName>
    <definedName name="BulkLossFac" localSheetId="4">#REF!</definedName>
    <definedName name="BulkLossFac" localSheetId="7">#REF!</definedName>
    <definedName name="BulkLossFac">#REF!</definedName>
    <definedName name="BulkTDCred" localSheetId="12">#REF!</definedName>
    <definedName name="BulkTDCred" localSheetId="13">#REF!</definedName>
    <definedName name="BulkTDCred" localSheetId="14">#REF!</definedName>
    <definedName name="BulkTDCred" localSheetId="10">#REF!</definedName>
    <definedName name="BulkTDCred" localSheetId="11">#REF!</definedName>
    <definedName name="BulkTDCred" localSheetId="8">#REF!</definedName>
    <definedName name="BulkTDCred" localSheetId="9">#REF!</definedName>
    <definedName name="BulkTDCred" localSheetId="4">#REF!</definedName>
    <definedName name="BulkTDCred" localSheetId="7">#REF!</definedName>
    <definedName name="BulkTDCred">#REF!</definedName>
    <definedName name="CECred" localSheetId="12">#REF!</definedName>
    <definedName name="CECred" localSheetId="13">#REF!</definedName>
    <definedName name="CECred" localSheetId="14">#REF!</definedName>
    <definedName name="CECred" localSheetId="10">#REF!</definedName>
    <definedName name="CECred" localSheetId="11">#REF!</definedName>
    <definedName name="CECred" localSheetId="8">#REF!</definedName>
    <definedName name="CECred" localSheetId="9">#REF!</definedName>
    <definedName name="CECred" localSheetId="4">#REF!</definedName>
    <definedName name="CECred" localSheetId="7">#REF!</definedName>
    <definedName name="CECred">#REF!</definedName>
    <definedName name="CostRefYr" localSheetId="12">#REF!</definedName>
    <definedName name="CostRefYr" localSheetId="13">#REF!</definedName>
    <definedName name="CostRefYr" localSheetId="14">#REF!</definedName>
    <definedName name="CostRefYr" localSheetId="10">#REF!</definedName>
    <definedName name="CostRefYr" localSheetId="11">#REF!</definedName>
    <definedName name="CostRefYr" localSheetId="8">#REF!</definedName>
    <definedName name="CostRefYr" localSheetId="9">#REF!</definedName>
    <definedName name="CostRefYr" localSheetId="4">#REF!</definedName>
    <definedName name="CostRefYr" localSheetId="7">#REF!</definedName>
    <definedName name="CostRefYr">#REF!</definedName>
    <definedName name="COV" localSheetId="12">#REF!</definedName>
    <definedName name="COV" localSheetId="13">#REF!</definedName>
    <definedName name="COV" localSheetId="14">#REF!</definedName>
    <definedName name="COV" localSheetId="10">#REF!</definedName>
    <definedName name="COV" localSheetId="11">#REF!</definedName>
    <definedName name="COV" localSheetId="8">#REF!</definedName>
    <definedName name="COV" localSheetId="9">#REF!</definedName>
    <definedName name="COV" localSheetId="4">#REF!</definedName>
    <definedName name="COV" localSheetId="7">#REF!</definedName>
    <definedName name="COV">#REF!</definedName>
    <definedName name="Deflator_2000_2006" localSheetId="12">#REF!</definedName>
    <definedName name="Deflator_2000_2006" localSheetId="13">#REF!</definedName>
    <definedName name="Deflator_2000_2006" localSheetId="14">#REF!</definedName>
    <definedName name="Deflator_2000_2006" localSheetId="10">#REF!</definedName>
    <definedName name="Deflator_2000_2006" localSheetId="11">#REF!</definedName>
    <definedName name="Deflator_2000_2006" localSheetId="8">#REF!</definedName>
    <definedName name="Deflator_2000_2006" localSheetId="9">#REF!</definedName>
    <definedName name="Deflator_2000_2006" localSheetId="4">#REF!</definedName>
    <definedName name="Deflator_2000_2006" localSheetId="7">#REF!</definedName>
    <definedName name="Deflator_2000_2006">#REF!</definedName>
    <definedName name="Disc1" localSheetId="12">#REF!</definedName>
    <definedName name="Disc1" localSheetId="13">#REF!</definedName>
    <definedName name="Disc1" localSheetId="14">#REF!</definedName>
    <definedName name="Disc1" localSheetId="10">#REF!</definedName>
    <definedName name="Disc1" localSheetId="11">#REF!</definedName>
    <definedName name="Disc1" localSheetId="8">#REF!</definedName>
    <definedName name="Disc1" localSheetId="9">#REF!</definedName>
    <definedName name="Disc1" localSheetId="4">#REF!</definedName>
    <definedName name="Disc1" localSheetId="7">#REF!</definedName>
    <definedName name="Disc1">#REF!</definedName>
    <definedName name="Disc2" localSheetId="12">#REF!</definedName>
    <definedName name="Disc2" localSheetId="13">#REF!</definedName>
    <definedName name="Disc2" localSheetId="14">#REF!</definedName>
    <definedName name="Disc2" localSheetId="10">#REF!</definedName>
    <definedName name="Disc2" localSheetId="11">#REF!</definedName>
    <definedName name="Disc2" localSheetId="8">#REF!</definedName>
    <definedName name="Disc2" localSheetId="9">#REF!</definedName>
    <definedName name="Disc2" localSheetId="4">#REF!</definedName>
    <definedName name="Disc2" localSheetId="7">#REF!</definedName>
    <definedName name="Disc2">#REF!</definedName>
    <definedName name="Disc3" localSheetId="12">#REF!</definedName>
    <definedName name="Disc3" localSheetId="13">#REF!</definedName>
    <definedName name="Disc3" localSheetId="14">#REF!</definedName>
    <definedName name="Disc3" localSheetId="10">#REF!</definedName>
    <definedName name="Disc3" localSheetId="11">#REF!</definedName>
    <definedName name="Disc3" localSheetId="8">#REF!</definedName>
    <definedName name="Disc3" localSheetId="9">#REF!</definedName>
    <definedName name="Disc3" localSheetId="4">#REF!</definedName>
    <definedName name="Disc3" localSheetId="7">#REF!</definedName>
    <definedName name="Disc3">#REF!</definedName>
    <definedName name="Disc4" localSheetId="12">#REF!</definedName>
    <definedName name="Disc4" localSheetId="13">#REF!</definedName>
    <definedName name="Disc4" localSheetId="14">#REF!</definedName>
    <definedName name="Disc4" localSheetId="10">#REF!</definedName>
    <definedName name="Disc4" localSheetId="11">#REF!</definedName>
    <definedName name="Disc4" localSheetId="8">#REF!</definedName>
    <definedName name="Disc4" localSheetId="9">#REF!</definedName>
    <definedName name="Disc4" localSheetId="4">#REF!</definedName>
    <definedName name="Disc4" localSheetId="7">#REF!</definedName>
    <definedName name="Disc4">#REF!</definedName>
    <definedName name="DoTab1" localSheetId="12">#REF!</definedName>
    <definedName name="DoTab1" localSheetId="13">#REF!</definedName>
    <definedName name="DoTab1" localSheetId="14">#REF!</definedName>
    <definedName name="DoTab1" localSheetId="10">#REF!</definedName>
    <definedName name="DoTab1" localSheetId="11">#REF!</definedName>
    <definedName name="DoTab1" localSheetId="8">#REF!</definedName>
    <definedName name="DoTab1" localSheetId="9">#REF!</definedName>
    <definedName name="DoTab1" localSheetId="4">#REF!</definedName>
    <definedName name="DoTab1" localSheetId="7">#REF!</definedName>
    <definedName name="DoTab1">#REF!</definedName>
    <definedName name="DoTab10" localSheetId="12">#REF!</definedName>
    <definedName name="DoTab10" localSheetId="13">#REF!</definedName>
    <definedName name="DoTab10" localSheetId="14">#REF!</definedName>
    <definedName name="DoTab10" localSheetId="10">#REF!</definedName>
    <definedName name="DoTab10" localSheetId="11">#REF!</definedName>
    <definedName name="DoTab10" localSheetId="8">#REF!</definedName>
    <definedName name="DoTab10" localSheetId="9">#REF!</definedName>
    <definedName name="DoTab10" localSheetId="4">#REF!</definedName>
    <definedName name="DoTab10" localSheetId="7">#REF!</definedName>
    <definedName name="DoTab10">#REF!</definedName>
    <definedName name="DoTab2" localSheetId="12">#REF!</definedName>
    <definedName name="DoTab2" localSheetId="13">#REF!</definedName>
    <definedName name="DoTab2" localSheetId="14">#REF!</definedName>
    <definedName name="DoTab2" localSheetId="10">#REF!</definedName>
    <definedName name="DoTab2" localSheetId="11">#REF!</definedName>
    <definedName name="DoTab2" localSheetId="8">#REF!</definedName>
    <definedName name="DoTab2" localSheetId="9">#REF!</definedName>
    <definedName name="DoTab2" localSheetId="4">#REF!</definedName>
    <definedName name="DoTab2" localSheetId="7">#REF!</definedName>
    <definedName name="DoTab2">#REF!</definedName>
    <definedName name="DoTab3" localSheetId="12">#REF!</definedName>
    <definedName name="DoTab3" localSheetId="13">#REF!</definedName>
    <definedName name="DoTab3" localSheetId="14">#REF!</definedName>
    <definedName name="DoTab3" localSheetId="10">#REF!</definedName>
    <definedName name="DoTab3" localSheetId="11">#REF!</definedName>
    <definedName name="DoTab3" localSheetId="8">#REF!</definedName>
    <definedName name="DoTab3" localSheetId="9">#REF!</definedName>
    <definedName name="DoTab3" localSheetId="4">#REF!</definedName>
    <definedName name="DoTab3" localSheetId="7">#REF!</definedName>
    <definedName name="DoTab3">#REF!</definedName>
    <definedName name="DoTab4" localSheetId="12">#REF!</definedName>
    <definedName name="DoTab4" localSheetId="13">#REF!</definedName>
    <definedName name="DoTab4" localSheetId="14">#REF!</definedName>
    <definedName name="DoTab4" localSheetId="10">#REF!</definedName>
    <definedName name="DoTab4" localSheetId="11">#REF!</definedName>
    <definedName name="DoTab4" localSheetId="8">#REF!</definedName>
    <definedName name="DoTab4" localSheetId="9">#REF!</definedName>
    <definedName name="DoTab4" localSheetId="4">#REF!</definedName>
    <definedName name="DoTab4" localSheetId="7">#REF!</definedName>
    <definedName name="DoTab4">#REF!</definedName>
    <definedName name="DoTab5" localSheetId="12">#REF!</definedName>
    <definedName name="DoTab5" localSheetId="13">#REF!</definedName>
    <definedName name="DoTab5" localSheetId="14">#REF!</definedName>
    <definedName name="DoTab5" localSheetId="10">#REF!</definedName>
    <definedName name="DoTab5" localSheetId="11">#REF!</definedName>
    <definedName name="DoTab5" localSheetId="8">#REF!</definedName>
    <definedName name="DoTab5" localSheetId="9">#REF!</definedName>
    <definedName name="DoTab5" localSheetId="4">#REF!</definedName>
    <definedName name="DoTab5" localSheetId="7">#REF!</definedName>
    <definedName name="DoTab5">#REF!</definedName>
    <definedName name="DoTab6" localSheetId="12">#REF!</definedName>
    <definedName name="DoTab6" localSheetId="13">#REF!</definedName>
    <definedName name="DoTab6" localSheetId="14">#REF!</definedName>
    <definedName name="DoTab6" localSheetId="10">#REF!</definedName>
    <definedName name="DoTab6" localSheetId="11">#REF!</definedName>
    <definedName name="DoTab6" localSheetId="8">#REF!</definedName>
    <definedName name="DoTab6" localSheetId="9">#REF!</definedName>
    <definedName name="DoTab6" localSheetId="4">#REF!</definedName>
    <definedName name="DoTab6" localSheetId="7">#REF!</definedName>
    <definedName name="DoTab6">#REF!</definedName>
    <definedName name="DoTab7" localSheetId="12">#REF!</definedName>
    <definedName name="DoTab7" localSheetId="13">#REF!</definedName>
    <definedName name="DoTab7" localSheetId="14">#REF!</definedName>
    <definedName name="DoTab7" localSheetId="10">#REF!</definedName>
    <definedName name="DoTab7" localSheetId="11">#REF!</definedName>
    <definedName name="DoTab7" localSheetId="8">#REF!</definedName>
    <definedName name="DoTab7" localSheetId="9">#REF!</definedName>
    <definedName name="DoTab7" localSheetId="4">#REF!</definedName>
    <definedName name="DoTab7" localSheetId="7">#REF!</definedName>
    <definedName name="DoTab7">#REF!</definedName>
    <definedName name="DoTab8" localSheetId="12">#REF!</definedName>
    <definedName name="DoTab8" localSheetId="13">#REF!</definedName>
    <definedName name="DoTab8" localSheetId="14">#REF!</definedName>
    <definedName name="DoTab8" localSheetId="10">#REF!</definedName>
    <definedName name="DoTab8" localSheetId="11">#REF!</definedName>
    <definedName name="DoTab8" localSheetId="8">#REF!</definedName>
    <definedName name="DoTab8" localSheetId="9">#REF!</definedName>
    <definedName name="DoTab8" localSheetId="4">#REF!</definedName>
    <definedName name="DoTab8" localSheetId="7">#REF!</definedName>
    <definedName name="DoTab8">#REF!</definedName>
    <definedName name="DoTab9" localSheetId="12">#REF!</definedName>
    <definedName name="DoTab9" localSheetId="13">#REF!</definedName>
    <definedName name="DoTab9" localSheetId="14">#REF!</definedName>
    <definedName name="DoTab9" localSheetId="10">#REF!</definedName>
    <definedName name="DoTab9" localSheetId="11">#REF!</definedName>
    <definedName name="DoTab9" localSheetId="8">#REF!</definedName>
    <definedName name="DoTab9" localSheetId="9">#REF!</definedName>
    <definedName name="DoTab9" localSheetId="4">#REF!</definedName>
    <definedName name="DoTab9" localSheetId="7">#REF!</definedName>
    <definedName name="DoTab9">#REF!</definedName>
    <definedName name="DoTabData" localSheetId="12">#REF!</definedName>
    <definedName name="DoTabData" localSheetId="13">#REF!</definedName>
    <definedName name="DoTabData" localSheetId="14">#REF!</definedName>
    <definedName name="DoTabData" localSheetId="10">#REF!</definedName>
    <definedName name="DoTabData" localSheetId="11">#REF!</definedName>
    <definedName name="DoTabData" localSheetId="8">#REF!</definedName>
    <definedName name="DoTabData" localSheetId="9">#REF!</definedName>
    <definedName name="DoTabData" localSheetId="4">#REF!</definedName>
    <definedName name="DoTabData" localSheetId="7">#REF!</definedName>
    <definedName name="DoTabData">#REF!</definedName>
    <definedName name="DuctLoc" localSheetId="12">#REF!</definedName>
    <definedName name="DuctLoc" localSheetId="13">#REF!</definedName>
    <definedName name="DuctLoc" localSheetId="14">#REF!</definedName>
    <definedName name="DuctLoc" localSheetId="10">#REF!</definedName>
    <definedName name="DuctLoc" localSheetId="11">#REF!</definedName>
    <definedName name="DuctLoc" localSheetId="8">#REF!</definedName>
    <definedName name="DuctLoc" localSheetId="9">#REF!</definedName>
    <definedName name="DuctLoc" localSheetId="4">#REF!</definedName>
    <definedName name="DuctLoc" localSheetId="7">#REF!</definedName>
    <definedName name="DuctLoc">#REF!</definedName>
    <definedName name="DuctSpec" localSheetId="12">#REF!</definedName>
    <definedName name="DuctSpec" localSheetId="13">#REF!</definedName>
    <definedName name="DuctSpec" localSheetId="14">#REF!</definedName>
    <definedName name="DuctSpec" localSheetId="10">#REF!</definedName>
    <definedName name="DuctSpec" localSheetId="11">#REF!</definedName>
    <definedName name="DuctSpec" localSheetId="8">#REF!</definedName>
    <definedName name="DuctSpec" localSheetId="9">#REF!</definedName>
    <definedName name="DuctSpec" localSheetId="4">#REF!</definedName>
    <definedName name="DuctSpec" localSheetId="7">#REF!</definedName>
    <definedName name="DuctSpec">#REF!</definedName>
    <definedName name="ExtCred" localSheetId="12">#REF!</definedName>
    <definedName name="ExtCred" localSheetId="13">#REF!</definedName>
    <definedName name="ExtCred" localSheetId="14">#REF!</definedName>
    <definedName name="ExtCred" localSheetId="10">#REF!</definedName>
    <definedName name="ExtCred" localSheetId="11">#REF!</definedName>
    <definedName name="ExtCred" localSheetId="8">#REF!</definedName>
    <definedName name="ExtCred" localSheetId="9">#REF!</definedName>
    <definedName name="ExtCred" localSheetId="4">#REF!</definedName>
    <definedName name="ExtCred" localSheetId="7">#REF!</definedName>
    <definedName name="ExtCred">#REF!</definedName>
    <definedName name="FinL1" localSheetId="12">#REF!</definedName>
    <definedName name="FinL1" localSheetId="13">#REF!</definedName>
    <definedName name="FinL1" localSheetId="14">#REF!</definedName>
    <definedName name="FinL1" localSheetId="10">#REF!</definedName>
    <definedName name="FinL1" localSheetId="11">#REF!</definedName>
    <definedName name="FinL1" localSheetId="8">#REF!</definedName>
    <definedName name="FinL1" localSheetId="9">#REF!</definedName>
    <definedName name="FinL1" localSheetId="4">#REF!</definedName>
    <definedName name="FinL1" localSheetId="7">#REF!</definedName>
    <definedName name="FinL1">#REF!</definedName>
    <definedName name="FinL2" localSheetId="12">#REF!</definedName>
    <definedName name="FinL2" localSheetId="13">#REF!</definedName>
    <definedName name="FinL2" localSheetId="14">#REF!</definedName>
    <definedName name="FinL2" localSheetId="10">#REF!</definedName>
    <definedName name="FinL2" localSheetId="11">#REF!</definedName>
    <definedName name="FinL2" localSheetId="8">#REF!</definedName>
    <definedName name="FinL2" localSheetId="9">#REF!</definedName>
    <definedName name="FinL2" localSheetId="4">#REF!</definedName>
    <definedName name="FinL2" localSheetId="7">#REF!</definedName>
    <definedName name="FinL2">#REF!</definedName>
    <definedName name="FinL3" localSheetId="12">#REF!</definedName>
    <definedName name="FinL3" localSheetId="13">#REF!</definedName>
    <definedName name="FinL3" localSheetId="14">#REF!</definedName>
    <definedName name="FinL3" localSheetId="10">#REF!</definedName>
    <definedName name="FinL3" localSheetId="11">#REF!</definedName>
    <definedName name="FinL3" localSheetId="8">#REF!</definedName>
    <definedName name="FinL3" localSheetId="9">#REF!</definedName>
    <definedName name="FinL3" localSheetId="4">#REF!</definedName>
    <definedName name="FinL3" localSheetId="7">#REF!</definedName>
    <definedName name="FinL3">#REF!</definedName>
    <definedName name="FinL4" localSheetId="12">#REF!</definedName>
    <definedName name="FinL4" localSheetId="13">#REF!</definedName>
    <definedName name="FinL4" localSheetId="14">#REF!</definedName>
    <definedName name="FinL4" localSheetId="10">#REF!</definedName>
    <definedName name="FinL4" localSheetId="11">#REF!</definedName>
    <definedName name="FinL4" localSheetId="8">#REF!</definedName>
    <definedName name="FinL4" localSheetId="9">#REF!</definedName>
    <definedName name="FinL4" localSheetId="4">#REF!</definedName>
    <definedName name="FinL4" localSheetId="7">#REF!</definedName>
    <definedName name="FinL4">#REF!</definedName>
    <definedName name="HighUABOI" localSheetId="12">#REF!</definedName>
    <definedName name="HighUABOI" localSheetId="13">#REF!</definedName>
    <definedName name="HighUABOI" localSheetId="14">#REF!</definedName>
    <definedName name="HighUABOI" localSheetId="10">#REF!</definedName>
    <definedName name="HighUABOI" localSheetId="11">#REF!</definedName>
    <definedName name="HighUABOI" localSheetId="8">#REF!</definedName>
    <definedName name="HighUABOI" localSheetId="9">#REF!</definedName>
    <definedName name="HighUABOI" localSheetId="4">#REF!</definedName>
    <definedName name="HighUABOI" localSheetId="7">#REF!</definedName>
    <definedName name="HighUABOI">#REF!</definedName>
    <definedName name="HighUAMIS" localSheetId="12">#REF!</definedName>
    <definedName name="HighUAMIS" localSheetId="13">#REF!</definedName>
    <definedName name="HighUAMIS" localSheetId="14">#REF!</definedName>
    <definedName name="HighUAMIS" localSheetId="10">#REF!</definedName>
    <definedName name="HighUAMIS" localSheetId="11">#REF!</definedName>
    <definedName name="HighUAMIS" localSheetId="8">#REF!</definedName>
    <definedName name="HighUAMIS" localSheetId="9">#REF!</definedName>
    <definedName name="HighUAMIS" localSheetId="4">#REF!</definedName>
    <definedName name="HighUAMIS" localSheetId="7">#REF!</definedName>
    <definedName name="HighUAMIS">#REF!</definedName>
    <definedName name="HighUAPDX" localSheetId="12">#REF!</definedName>
    <definedName name="HighUAPDX" localSheetId="13">#REF!</definedName>
    <definedName name="HighUAPDX" localSheetId="14">#REF!</definedName>
    <definedName name="HighUAPDX" localSheetId="10">#REF!</definedName>
    <definedName name="HighUAPDX" localSheetId="11">#REF!</definedName>
    <definedName name="HighUAPDX" localSheetId="8">#REF!</definedName>
    <definedName name="HighUAPDX" localSheetId="9">#REF!</definedName>
    <definedName name="HighUAPDX" localSheetId="4">#REF!</definedName>
    <definedName name="HighUAPDX" localSheetId="7">#REF!</definedName>
    <definedName name="HighUAPDX">#REF!</definedName>
    <definedName name="HighUASEA" localSheetId="12">#REF!</definedName>
    <definedName name="HighUASEA" localSheetId="13">#REF!</definedName>
    <definedName name="HighUASEA" localSheetId="14">#REF!</definedName>
    <definedName name="HighUASEA" localSheetId="10">#REF!</definedName>
    <definedName name="HighUASEA" localSheetId="11">#REF!</definedName>
    <definedName name="HighUASEA" localSheetId="8">#REF!</definedName>
    <definedName name="HighUASEA" localSheetId="9">#REF!</definedName>
    <definedName name="HighUASEA" localSheetId="4">#REF!</definedName>
    <definedName name="HighUASEA" localSheetId="7">#REF!</definedName>
    <definedName name="HighUASEA">#REF!</definedName>
    <definedName name="HighUASPK" localSheetId="12">#REF!</definedName>
    <definedName name="HighUASPK" localSheetId="13">#REF!</definedName>
    <definedName name="HighUASPK" localSheetId="14">#REF!</definedName>
    <definedName name="HighUASPK" localSheetId="10">#REF!</definedName>
    <definedName name="HighUASPK" localSheetId="11">#REF!</definedName>
    <definedName name="HighUASPK" localSheetId="8">#REF!</definedName>
    <definedName name="HighUASPK" localSheetId="9">#REF!</definedName>
    <definedName name="HighUASPK" localSheetId="4">#REF!</definedName>
    <definedName name="HighUASPK" localSheetId="7">#REF!</definedName>
    <definedName name="HighUASPK">#REF!</definedName>
    <definedName name="Inflation" localSheetId="12">#REF!</definedName>
    <definedName name="Inflation" localSheetId="13">#REF!</definedName>
    <definedName name="Inflation" localSheetId="14">#REF!</definedName>
    <definedName name="Inflation" localSheetId="10">#REF!</definedName>
    <definedName name="Inflation" localSheetId="11">#REF!</definedName>
    <definedName name="Inflation" localSheetId="8">#REF!</definedName>
    <definedName name="Inflation" localSheetId="9">#REF!</definedName>
    <definedName name="Inflation" localSheetId="4">#REF!</definedName>
    <definedName name="Inflation" localSheetId="7">#REF!</definedName>
    <definedName name="Inflation">#REF!</definedName>
    <definedName name="InService" localSheetId="12">#REF!</definedName>
    <definedName name="InService" localSheetId="13">#REF!</definedName>
    <definedName name="InService" localSheetId="14">#REF!</definedName>
    <definedName name="InService" localSheetId="10">#REF!</definedName>
    <definedName name="InService" localSheetId="11">#REF!</definedName>
    <definedName name="InService" localSheetId="8">#REF!</definedName>
    <definedName name="InService" localSheetId="9">#REF!</definedName>
    <definedName name="InService" localSheetId="4">#REF!</definedName>
    <definedName name="InService" localSheetId="7">#REF!</definedName>
    <definedName name="InService">#REF!</definedName>
    <definedName name="Inst_1" localSheetId="12">#REF!</definedName>
    <definedName name="Inst_1" localSheetId="13">#REF!</definedName>
    <definedName name="Inst_1" localSheetId="14">#REF!</definedName>
    <definedName name="Inst_1" localSheetId="10">#REF!</definedName>
    <definedName name="Inst_1" localSheetId="11">#REF!</definedName>
    <definedName name="Inst_1" localSheetId="8">#REF!</definedName>
    <definedName name="Inst_1" localSheetId="9">#REF!</definedName>
    <definedName name="Inst_1" localSheetId="4">#REF!</definedName>
    <definedName name="Inst_1" localSheetId="7">#REF!</definedName>
    <definedName name="Inst_1">#REF!</definedName>
    <definedName name="Inst_2" localSheetId="12">#REF!</definedName>
    <definedName name="Inst_2" localSheetId="13">#REF!</definedName>
    <definedName name="Inst_2" localSheetId="14">#REF!</definedName>
    <definedName name="Inst_2" localSheetId="10">#REF!</definedName>
    <definedName name="Inst_2" localSheetId="11">#REF!</definedName>
    <definedName name="Inst_2" localSheetId="8">#REF!</definedName>
    <definedName name="Inst_2" localSheetId="9">#REF!</definedName>
    <definedName name="Inst_2" localSheetId="4">#REF!</definedName>
    <definedName name="Inst_2" localSheetId="7">#REF!</definedName>
    <definedName name="Inst_2">#REF!</definedName>
    <definedName name="Inst_3" localSheetId="12">#REF!</definedName>
    <definedName name="Inst_3" localSheetId="13">#REF!</definedName>
    <definedName name="Inst_3" localSheetId="14">#REF!</definedName>
    <definedName name="Inst_3" localSheetId="10">#REF!</definedName>
    <definedName name="Inst_3" localSheetId="11">#REF!</definedName>
    <definedName name="Inst_3" localSheetId="8">#REF!</definedName>
    <definedName name="Inst_3" localSheetId="9">#REF!</definedName>
    <definedName name="Inst_3" localSheetId="4">#REF!</definedName>
    <definedName name="Inst_3" localSheetId="7">#REF!</definedName>
    <definedName name="Inst_3">#REF!</definedName>
    <definedName name="Inst_4" localSheetId="12">#REF!</definedName>
    <definedName name="Inst_4" localSheetId="13">#REF!</definedName>
    <definedName name="Inst_4" localSheetId="14">#REF!</definedName>
    <definedName name="Inst_4" localSheetId="10">#REF!</definedName>
    <definedName name="Inst_4" localSheetId="11">#REF!</definedName>
    <definedName name="Inst_4" localSheetId="8">#REF!</definedName>
    <definedName name="Inst_4" localSheetId="9">#REF!</definedName>
    <definedName name="Inst_4" localSheetId="4">#REF!</definedName>
    <definedName name="Inst_4" localSheetId="7">#REF!</definedName>
    <definedName name="Inst_4">#REF!</definedName>
    <definedName name="LastOMYr" localSheetId="12">#REF!</definedName>
    <definedName name="LastOMYr" localSheetId="13">#REF!</definedName>
    <definedName name="LastOMYr" localSheetId="14">#REF!</definedName>
    <definedName name="LastOMYr" localSheetId="10">#REF!</definedName>
    <definedName name="LastOMYr" localSheetId="11">#REF!</definedName>
    <definedName name="LastOMYr" localSheetId="8">#REF!</definedName>
    <definedName name="LastOMYr" localSheetId="9">#REF!</definedName>
    <definedName name="LastOMYr" localSheetId="4">#REF!</definedName>
    <definedName name="LastOMYr" localSheetId="7">#REF!</definedName>
    <definedName name="LastOMYr">#REF!</definedName>
    <definedName name="LocalLossFac" localSheetId="12">#REF!</definedName>
    <definedName name="LocalLossFac" localSheetId="13">#REF!</definedName>
    <definedName name="LocalLossFac" localSheetId="14">#REF!</definedName>
    <definedName name="LocalLossFac" localSheetId="10">#REF!</definedName>
    <definedName name="LocalLossFac" localSheetId="11">#REF!</definedName>
    <definedName name="LocalLossFac" localSheetId="8">#REF!</definedName>
    <definedName name="LocalLossFac" localSheetId="9">#REF!</definedName>
    <definedName name="LocalLossFac" localSheetId="4">#REF!</definedName>
    <definedName name="LocalLossFac" localSheetId="7">#REF!</definedName>
    <definedName name="LocalLossFac">#REF!</definedName>
    <definedName name="LocalTDCred" localSheetId="12">#REF!</definedName>
    <definedName name="LocalTDCred" localSheetId="13">#REF!</definedName>
    <definedName name="LocalTDCred" localSheetId="14">#REF!</definedName>
    <definedName name="LocalTDCred" localSheetId="10">#REF!</definedName>
    <definedName name="LocalTDCred" localSheetId="11">#REF!</definedName>
    <definedName name="LocalTDCred" localSheetId="8">#REF!</definedName>
    <definedName name="LocalTDCred" localSheetId="9">#REF!</definedName>
    <definedName name="LocalTDCred" localSheetId="4">#REF!</definedName>
    <definedName name="LocalTDCred" localSheetId="7">#REF!</definedName>
    <definedName name="LocalTDCred">#REF!</definedName>
    <definedName name="LossFac" localSheetId="12">#REF!</definedName>
    <definedName name="LossFac" localSheetId="13">#REF!</definedName>
    <definedName name="LossFac" localSheetId="14">#REF!</definedName>
    <definedName name="LossFac" localSheetId="10">#REF!</definedName>
    <definedName name="LossFac" localSheetId="11">#REF!</definedName>
    <definedName name="LossFac" localSheetId="8">#REF!</definedName>
    <definedName name="LossFac" localSheetId="9">#REF!</definedName>
    <definedName name="LossFac" localSheetId="4">#REF!</definedName>
    <definedName name="LossFac" localSheetId="7">#REF!</definedName>
    <definedName name="LossFac">#REF!</definedName>
    <definedName name="LowUABOI" localSheetId="12">#REF!</definedName>
    <definedName name="LowUABOI" localSheetId="13">#REF!</definedName>
    <definedName name="LowUABOI" localSheetId="14">#REF!</definedName>
    <definedName name="LowUABOI" localSheetId="10">#REF!</definedName>
    <definedName name="LowUABOI" localSheetId="11">#REF!</definedName>
    <definedName name="LowUABOI" localSheetId="8">#REF!</definedName>
    <definedName name="LowUABOI" localSheetId="9">#REF!</definedName>
    <definedName name="LowUABOI" localSheetId="4">#REF!</definedName>
    <definedName name="LowUABOI" localSheetId="7">#REF!</definedName>
    <definedName name="LowUABOI">#REF!</definedName>
    <definedName name="LowUAMIS" localSheetId="12">#REF!</definedName>
    <definedName name="LowUAMIS" localSheetId="13">#REF!</definedName>
    <definedName name="LowUAMIS" localSheetId="14">#REF!</definedName>
    <definedName name="LowUAMIS" localSheetId="10">#REF!</definedName>
    <definedName name="LowUAMIS" localSheetId="11">#REF!</definedName>
    <definedName name="LowUAMIS" localSheetId="8">#REF!</definedName>
    <definedName name="LowUAMIS" localSheetId="9">#REF!</definedName>
    <definedName name="LowUAMIS" localSheetId="4">#REF!</definedName>
    <definedName name="LowUAMIS" localSheetId="7">#REF!</definedName>
    <definedName name="LowUAMIS">#REF!</definedName>
    <definedName name="LowUAPDX" localSheetId="12">#REF!</definedName>
    <definedName name="LowUAPDX" localSheetId="13">#REF!</definedName>
    <definedName name="LowUAPDX" localSheetId="14">#REF!</definedName>
    <definedName name="LowUAPDX" localSheetId="10">#REF!</definedName>
    <definedName name="LowUAPDX" localSheetId="11">#REF!</definedName>
    <definedName name="LowUAPDX" localSheetId="8">#REF!</definedName>
    <definedName name="LowUAPDX" localSheetId="9">#REF!</definedName>
    <definedName name="LowUAPDX" localSheetId="4">#REF!</definedName>
    <definedName name="LowUAPDX" localSheetId="7">#REF!</definedName>
    <definedName name="LowUAPDX">#REF!</definedName>
    <definedName name="LowUASEA" localSheetId="12">#REF!</definedName>
    <definedName name="LowUASEA" localSheetId="13">#REF!</definedName>
    <definedName name="LowUASEA" localSheetId="14">#REF!</definedName>
    <definedName name="LowUASEA" localSheetId="10">#REF!</definedName>
    <definedName name="LowUASEA" localSheetId="11">#REF!</definedName>
    <definedName name="LowUASEA" localSheetId="8">#REF!</definedName>
    <definedName name="LowUASEA" localSheetId="9">#REF!</definedName>
    <definedName name="LowUASEA" localSheetId="4">#REF!</definedName>
    <definedName name="LowUASEA" localSheetId="7">#REF!</definedName>
    <definedName name="LowUASEA">#REF!</definedName>
    <definedName name="LowUASPK" localSheetId="12">#REF!</definedName>
    <definedName name="LowUASPK" localSheetId="13">#REF!</definedName>
    <definedName name="LowUASPK" localSheetId="14">#REF!</definedName>
    <definedName name="LowUASPK" localSheetId="10">#REF!</definedName>
    <definedName name="LowUASPK" localSheetId="11">#REF!</definedName>
    <definedName name="LowUASPK" localSheetId="8">#REF!</definedName>
    <definedName name="LowUASPK" localSheetId="9">#REF!</definedName>
    <definedName name="LowUASPK" localSheetId="4">#REF!</definedName>
    <definedName name="LowUASPK" localSheetId="7">#REF!</definedName>
    <definedName name="LowUASPK">#REF!</definedName>
    <definedName name="MargCostTab" localSheetId="12">#REF!</definedName>
    <definedName name="MargCostTab" localSheetId="13">#REF!</definedName>
    <definedName name="MargCostTab" localSheetId="14">#REF!</definedName>
    <definedName name="MargCostTab" localSheetId="10">#REF!</definedName>
    <definedName name="MargCostTab" localSheetId="11">#REF!</definedName>
    <definedName name="MargCostTab" localSheetId="8">#REF!</definedName>
    <definedName name="MargCostTab" localSheetId="9">#REF!</definedName>
    <definedName name="MargCostTab" localSheetId="4">#REF!</definedName>
    <definedName name="MargCostTab" localSheetId="7">#REF!</definedName>
    <definedName name="MargCostTab">#REF!</definedName>
    <definedName name="MCSSDataFile" localSheetId="12">#REF!</definedName>
    <definedName name="MCSSDataFile" localSheetId="13">#REF!</definedName>
    <definedName name="MCSSDataFile" localSheetId="14">#REF!</definedName>
    <definedName name="MCSSDataFile" localSheetId="10">#REF!</definedName>
    <definedName name="MCSSDataFile" localSheetId="11">#REF!</definedName>
    <definedName name="MCSSDataFile" localSheetId="8">#REF!</definedName>
    <definedName name="MCSSDataFile" localSheetId="9">#REF!</definedName>
    <definedName name="MCSSDataFile" localSheetId="4">#REF!</definedName>
    <definedName name="MCSSDataFile" localSheetId="7">#REF!</definedName>
    <definedName name="MCSSDataFile">#REF!</definedName>
    <definedName name="Names" localSheetId="12">#REF!</definedName>
    <definedName name="Names" localSheetId="13">#REF!</definedName>
    <definedName name="Names" localSheetId="14">#REF!</definedName>
    <definedName name="Names" localSheetId="10">#REF!</definedName>
    <definedName name="Names" localSheetId="11">#REF!</definedName>
    <definedName name="Names" localSheetId="8">#REF!</definedName>
    <definedName name="Names" localSheetId="9">#REF!</definedName>
    <definedName name="Names" localSheetId="4">#REF!</definedName>
    <definedName name="Names" localSheetId="7">#REF!</definedName>
    <definedName name="Names">#REF!</definedName>
    <definedName name="Nominal_HSPFpost" localSheetId="12">#REF!</definedName>
    <definedName name="Nominal_HSPFpost" localSheetId="13">#REF!</definedName>
    <definedName name="Nominal_HSPFpost" localSheetId="14">#REF!</definedName>
    <definedName name="Nominal_HSPFpost" localSheetId="10">#REF!</definedName>
    <definedName name="Nominal_HSPFpost" localSheetId="11">#REF!</definedName>
    <definedName name="Nominal_HSPFpost" localSheetId="8">#REF!</definedName>
    <definedName name="Nominal_HSPFpost" localSheetId="9">#REF!</definedName>
    <definedName name="Nominal_HSPFpost" localSheetId="4">#REF!</definedName>
    <definedName name="Nominal_HSPFpost" localSheetId="7">#REF!</definedName>
    <definedName name="Nominal_HSPFpost">#REF!</definedName>
    <definedName name="Nominal_HSPFpre" localSheetId="12">#REF!</definedName>
    <definedName name="Nominal_HSPFpre" localSheetId="13">#REF!</definedName>
    <definedName name="Nominal_HSPFpre" localSheetId="14">#REF!</definedName>
    <definedName name="Nominal_HSPFpre" localSheetId="10">#REF!</definedName>
    <definedName name="Nominal_HSPFpre" localSheetId="11">#REF!</definedName>
    <definedName name="Nominal_HSPFpre" localSheetId="8">#REF!</definedName>
    <definedName name="Nominal_HSPFpre" localSheetId="9">#REF!</definedName>
    <definedName name="Nominal_HSPFpre" localSheetId="4">#REF!</definedName>
    <definedName name="Nominal_HSPFpre" localSheetId="7">#REF!</definedName>
    <definedName name="Nominal_HSPFpre">#REF!</definedName>
    <definedName name="Nominal_SEERpost" localSheetId="12">#REF!</definedName>
    <definedName name="Nominal_SEERpost" localSheetId="13">#REF!</definedName>
    <definedName name="Nominal_SEERpost" localSheetId="14">#REF!</definedName>
    <definedName name="Nominal_SEERpost" localSheetId="10">#REF!</definedName>
    <definedName name="Nominal_SEERpost" localSheetId="11">#REF!</definedName>
    <definedName name="Nominal_SEERpost" localSheetId="8">#REF!</definedName>
    <definedName name="Nominal_SEERpost" localSheetId="9">#REF!</definedName>
    <definedName name="Nominal_SEERpost" localSheetId="4">#REF!</definedName>
    <definedName name="Nominal_SEERpost" localSheetId="7">#REF!</definedName>
    <definedName name="Nominal_SEERpost">#REF!</definedName>
    <definedName name="Nominal_SEERpre" localSheetId="12">#REF!</definedName>
    <definedName name="Nominal_SEERpre" localSheetId="13">#REF!</definedName>
    <definedName name="Nominal_SEERpre" localSheetId="14">#REF!</definedName>
    <definedName name="Nominal_SEERpre" localSheetId="10">#REF!</definedName>
    <definedName name="Nominal_SEERpre" localSheetId="11">#REF!</definedName>
    <definedName name="Nominal_SEERpre" localSheetId="8">#REF!</definedName>
    <definedName name="Nominal_SEERpre" localSheetId="9">#REF!</definedName>
    <definedName name="Nominal_SEERpre" localSheetId="4">#REF!</definedName>
    <definedName name="Nominal_SEERpre" localSheetId="7">#REF!</definedName>
    <definedName name="Nominal_SEERpre">#REF!</definedName>
    <definedName name="OMShr1" localSheetId="12">#REF!</definedName>
    <definedName name="OMShr1" localSheetId="13">#REF!</definedName>
    <definedName name="OMShr1" localSheetId="14">#REF!</definedName>
    <definedName name="OMShr1" localSheetId="10">#REF!</definedName>
    <definedName name="OMShr1" localSheetId="11">#REF!</definedName>
    <definedName name="OMShr1" localSheetId="8">#REF!</definedName>
    <definedName name="OMShr1" localSheetId="9">#REF!</definedName>
    <definedName name="OMShr1" localSheetId="4">#REF!</definedName>
    <definedName name="OMShr1" localSheetId="7">#REF!</definedName>
    <definedName name="OMShr1">#REF!</definedName>
    <definedName name="PC_Main" localSheetId="12">#REF!</definedName>
    <definedName name="PC_Main" localSheetId="13">#REF!</definedName>
    <definedName name="PC_Main" localSheetId="14">#REF!</definedName>
    <definedName name="PC_Main" localSheetId="10">#REF!</definedName>
    <definedName name="PC_Main" localSheetId="11">#REF!</definedName>
    <definedName name="PC_Main" localSheetId="8">#REF!</definedName>
    <definedName name="PC_Main" localSheetId="9">#REF!</definedName>
    <definedName name="PC_Main" localSheetId="7">#REF!</definedName>
    <definedName name="PC_Main">#REF!</definedName>
    <definedName name="_xlnm.Print_Area" localSheetId="12">'Comm 95+% Furnace - NEW'!$A$1:$CG$52</definedName>
    <definedName name="_xlnm.Print_Area" localSheetId="13">'Comm 95+% Furnace - Replace'!$A$1:$CG$52</definedName>
    <definedName name="_xlnm.Print_Area" localSheetId="14">'Comm Custom'!$A$1:$CG$52</definedName>
    <definedName name="_xlnm.Print_Area" localSheetId="1">'Database Inputs'!$A$1:$O$19</definedName>
    <definedName name="_xlnm.Print_Area" localSheetId="3">'Gas Costs'!$A$1:$H$59</definedName>
    <definedName name="_xlnm.Print_Area" localSheetId="2">'Gas Input Table Summary'!$A$1:$E$59</definedName>
    <definedName name="_xlnm.Print_Area" localSheetId="10">'Programmable Tstats - Tier 1'!$A$1:$CG$52</definedName>
    <definedName name="_xlnm.Print_Area" localSheetId="11">'Programmable Tstats - Tier 2'!$A$1:$CG$52</definedName>
    <definedName name="_xlnm.Print_Area" localSheetId="8">'Res .95+% Res Furnace - NEW'!$A$1:$CG$52</definedName>
    <definedName name="_xlnm.Print_Area" localSheetId="9">'Res .95+% Res Furnace - Replace'!$A$1:$CG$52</definedName>
    <definedName name="_xlnm.Print_Area" localSheetId="5">'Summary by Yr'!$B$1:$L$21</definedName>
    <definedName name="_xlnm.Print_Area" localSheetId="6">'Summary of Ratios'!$B$1:$H$51</definedName>
    <definedName name="_xlnm.Print_Area" localSheetId="4">'T bill'!$A$1:$G$66</definedName>
    <definedName name="_xlnm.Print_Area" localSheetId="7">'Total Program'!$A$1:$CG$52</definedName>
    <definedName name="_xlnm.Print_Area" localSheetId="0">'Total Program Inputs'!$A$1:$O$33</definedName>
    <definedName name="_xlnm.Print_Titles" localSheetId="1">'Database Inputs'!$A:$B</definedName>
    <definedName name="_xlnm.Print_Titles" localSheetId="2">'Gas Input Table Summary'!$1:$6</definedName>
    <definedName name="_xlnm.Print_Titles" localSheetId="6">'Summary of Ratios'!$1:$7</definedName>
    <definedName name="Prog_Life" localSheetId="12">#REF!</definedName>
    <definedName name="Prog_Life" localSheetId="13">#REF!</definedName>
    <definedName name="Prog_Life" localSheetId="14">#REF!</definedName>
    <definedName name="Prog_Life" localSheetId="10">#REF!</definedName>
    <definedName name="Prog_Life" localSheetId="11">#REF!</definedName>
    <definedName name="Prog_Life" localSheetId="8">#REF!</definedName>
    <definedName name="Prog_Life" localSheetId="9">#REF!</definedName>
    <definedName name="Prog_Life" localSheetId="4">#REF!</definedName>
    <definedName name="Prog_Life" localSheetId="7">#REF!</definedName>
    <definedName name="Prog_Life">#REF!</definedName>
    <definedName name="PVTZero" localSheetId="12">#REF!</definedName>
    <definedName name="PVTZero" localSheetId="13">#REF!</definedName>
    <definedName name="PVTZero" localSheetId="14">#REF!</definedName>
    <definedName name="PVTZero" localSheetId="10">#REF!</definedName>
    <definedName name="PVTZero" localSheetId="11">#REF!</definedName>
    <definedName name="PVTZero" localSheetId="8">#REF!</definedName>
    <definedName name="PVTZero" localSheetId="9">#REF!</definedName>
    <definedName name="PVTZero" localSheetId="4">#REF!</definedName>
    <definedName name="PVTZero" localSheetId="7">#REF!</definedName>
    <definedName name="PVTZero">#REF!</definedName>
    <definedName name="Real_Disc" localSheetId="12">#REF!</definedName>
    <definedName name="Real_Disc" localSheetId="13">#REF!</definedName>
    <definedName name="Real_Disc" localSheetId="14">#REF!</definedName>
    <definedName name="Real_Disc" localSheetId="10">#REF!</definedName>
    <definedName name="Real_Disc" localSheetId="11">#REF!</definedName>
    <definedName name="Real_Disc" localSheetId="8">#REF!</definedName>
    <definedName name="Real_Disc" localSheetId="9">#REF!</definedName>
    <definedName name="Real_Disc" localSheetId="4">#REF!</definedName>
    <definedName name="Real_Disc" localSheetId="7">#REF!</definedName>
    <definedName name="Real_Disc">#REF!</definedName>
    <definedName name="Real_Escl" localSheetId="12">#REF!</definedName>
    <definedName name="Real_Escl" localSheetId="13">#REF!</definedName>
    <definedName name="Real_Escl" localSheetId="14">#REF!</definedName>
    <definedName name="Real_Escl" localSheetId="10">#REF!</definedName>
    <definedName name="Real_Escl" localSheetId="11">#REF!</definedName>
    <definedName name="Real_Escl" localSheetId="8">#REF!</definedName>
    <definedName name="Real_Escl" localSheetId="9">#REF!</definedName>
    <definedName name="Real_Escl" localSheetId="4">#REF!</definedName>
    <definedName name="Real_Escl" localSheetId="7">#REF!</definedName>
    <definedName name="Real_Escl">#REF!</definedName>
    <definedName name="ResetFlag" localSheetId="12">#REF!</definedName>
    <definedName name="ResetFlag" localSheetId="13">#REF!</definedName>
    <definedName name="ResetFlag" localSheetId="14">#REF!</definedName>
    <definedName name="ResetFlag" localSheetId="10">#REF!</definedName>
    <definedName name="ResetFlag" localSheetId="11">#REF!</definedName>
    <definedName name="ResetFlag" localSheetId="8">#REF!</definedName>
    <definedName name="ResetFlag" localSheetId="9">#REF!</definedName>
    <definedName name="ResetFlag" localSheetId="4">#REF!</definedName>
    <definedName name="ResetFlag" localSheetId="7">#REF!</definedName>
    <definedName name="ResetFlag">#REF!</definedName>
    <definedName name="SaveShapeTab" localSheetId="12">#REF!</definedName>
    <definedName name="SaveShapeTab" localSheetId="13">#REF!</definedName>
    <definedName name="SaveShapeTab" localSheetId="14">#REF!</definedName>
    <definedName name="SaveShapeTab" localSheetId="10">#REF!</definedName>
    <definedName name="SaveShapeTab" localSheetId="11">#REF!</definedName>
    <definedName name="SaveShapeTab" localSheetId="8">#REF!</definedName>
    <definedName name="SaveShapeTab" localSheetId="9">#REF!</definedName>
    <definedName name="SaveShapeTab" localSheetId="4">#REF!</definedName>
    <definedName name="SaveShapeTab" localSheetId="7">#REF!</definedName>
    <definedName name="SaveShapeTab">#REF!</definedName>
    <definedName name="Share1" localSheetId="12">#REF!</definedName>
    <definedName name="Share1" localSheetId="13">#REF!</definedName>
    <definedName name="Share1" localSheetId="14">#REF!</definedName>
    <definedName name="Share1" localSheetId="10">#REF!</definedName>
    <definedName name="Share1" localSheetId="11">#REF!</definedName>
    <definedName name="Share1" localSheetId="8">#REF!</definedName>
    <definedName name="Share1" localSheetId="9">#REF!</definedName>
    <definedName name="Share1" localSheetId="4">#REF!</definedName>
    <definedName name="Share1" localSheetId="7">#REF!</definedName>
    <definedName name="Share1">#REF!</definedName>
    <definedName name="Share2" localSheetId="12">#REF!</definedName>
    <definedName name="Share2" localSheetId="13">#REF!</definedName>
    <definedName name="Share2" localSheetId="14">#REF!</definedName>
    <definedName name="Share2" localSheetId="10">#REF!</definedName>
    <definedName name="Share2" localSheetId="11">#REF!</definedName>
    <definedName name="Share2" localSheetId="8">#REF!</definedName>
    <definedName name="Share2" localSheetId="9">#REF!</definedName>
    <definedName name="Share2" localSheetId="4">#REF!</definedName>
    <definedName name="Share2" localSheetId="7">#REF!</definedName>
    <definedName name="Share2">#REF!</definedName>
    <definedName name="Share3" localSheetId="12">#REF!</definedName>
    <definedName name="Share3" localSheetId="13">#REF!</definedName>
    <definedName name="Share3" localSheetId="14">#REF!</definedName>
    <definedName name="Share3" localSheetId="10">#REF!</definedName>
    <definedName name="Share3" localSheetId="11">#REF!</definedName>
    <definedName name="Share3" localSheetId="8">#REF!</definedName>
    <definedName name="Share3" localSheetId="9">#REF!</definedName>
    <definedName name="Share3" localSheetId="4">#REF!</definedName>
    <definedName name="Share3" localSheetId="7">#REF!</definedName>
    <definedName name="Share3">#REF!</definedName>
    <definedName name="Specs" localSheetId="12">#REF!</definedName>
    <definedName name="Specs" localSheetId="13">#REF!</definedName>
    <definedName name="Specs" localSheetId="14">#REF!</definedName>
    <definedName name="Specs" localSheetId="10">#REF!</definedName>
    <definedName name="Specs" localSheetId="11">#REF!</definedName>
    <definedName name="Specs" localSheetId="8">#REF!</definedName>
    <definedName name="Specs" localSheetId="9">#REF!</definedName>
    <definedName name="Specs" localSheetId="4">#REF!</definedName>
    <definedName name="Specs" localSheetId="7">#REF!</definedName>
    <definedName name="Specs">#REF!</definedName>
    <definedName name="SponNam1" localSheetId="12">#REF!</definedName>
    <definedName name="SponNam1" localSheetId="13">#REF!</definedName>
    <definedName name="SponNam1" localSheetId="14">#REF!</definedName>
    <definedName name="SponNam1" localSheetId="10">#REF!</definedName>
    <definedName name="SponNam1" localSheetId="11">#REF!</definedName>
    <definedName name="SponNam1" localSheetId="8">#REF!</definedName>
    <definedName name="SponNam1" localSheetId="9">#REF!</definedName>
    <definedName name="SponNam1" localSheetId="4">#REF!</definedName>
    <definedName name="SponNam1" localSheetId="7">#REF!</definedName>
    <definedName name="SponNam1">#REF!</definedName>
    <definedName name="SponNam2" localSheetId="12">#REF!</definedName>
    <definedName name="SponNam2" localSheetId="13">#REF!</definedName>
    <definedName name="SponNam2" localSheetId="14">#REF!</definedName>
    <definedName name="SponNam2" localSheetId="10">#REF!</definedName>
    <definedName name="SponNam2" localSheetId="11">#REF!</definedName>
    <definedName name="SponNam2" localSheetId="8">#REF!</definedName>
    <definedName name="SponNam2" localSheetId="9">#REF!</definedName>
    <definedName name="SponNam2" localSheetId="4">#REF!</definedName>
    <definedName name="SponNam2" localSheetId="7">#REF!</definedName>
    <definedName name="SponNam2">#REF!</definedName>
    <definedName name="SponNam3" localSheetId="12">#REF!</definedName>
    <definedName name="SponNam3" localSheetId="13">#REF!</definedName>
    <definedName name="SponNam3" localSheetId="14">#REF!</definedName>
    <definedName name="SponNam3" localSheetId="10">#REF!</definedName>
    <definedName name="SponNam3" localSheetId="11">#REF!</definedName>
    <definedName name="SponNam3" localSheetId="8">#REF!</definedName>
    <definedName name="SponNam3" localSheetId="9">#REF!</definedName>
    <definedName name="SponNam3" localSheetId="4">#REF!</definedName>
    <definedName name="SponNam3" localSheetId="7">#REF!</definedName>
    <definedName name="SponNam3">#REF!</definedName>
    <definedName name="SponNam4" localSheetId="12">#REF!</definedName>
    <definedName name="SponNam4" localSheetId="13">#REF!</definedName>
    <definedName name="SponNam4" localSheetId="14">#REF!</definedName>
    <definedName name="SponNam4" localSheetId="10">#REF!</definedName>
    <definedName name="SponNam4" localSheetId="11">#REF!</definedName>
    <definedName name="SponNam4" localSheetId="8">#REF!</definedName>
    <definedName name="SponNam4" localSheetId="9">#REF!</definedName>
    <definedName name="SponNam4" localSheetId="4">#REF!</definedName>
    <definedName name="SponNam4" localSheetId="7">#REF!</definedName>
    <definedName name="SponNam4">#REF!</definedName>
    <definedName name="TabData" localSheetId="12">#REF!</definedName>
    <definedName name="TabData" localSheetId="13">#REF!</definedName>
    <definedName name="TabData" localSheetId="14">#REF!</definedName>
    <definedName name="TabData" localSheetId="10">#REF!</definedName>
    <definedName name="TabData" localSheetId="11">#REF!</definedName>
    <definedName name="TabData" localSheetId="8">#REF!</definedName>
    <definedName name="TabData" localSheetId="9">#REF!</definedName>
    <definedName name="TabData" localSheetId="4">#REF!</definedName>
    <definedName name="TabData" localSheetId="7">#REF!</definedName>
    <definedName name="TabData">#REF!</definedName>
    <definedName name="TDCred" localSheetId="12">#REF!</definedName>
    <definedName name="TDCred" localSheetId="13">#REF!</definedName>
    <definedName name="TDCred" localSheetId="14">#REF!</definedName>
    <definedName name="TDCred" localSheetId="10">#REF!</definedName>
    <definedName name="TDCred" localSheetId="11">#REF!</definedName>
    <definedName name="TDCred" localSheetId="8">#REF!</definedName>
    <definedName name="TDCred" localSheetId="9">#REF!</definedName>
    <definedName name="TDCred" localSheetId="4">#REF!</definedName>
    <definedName name="TDCred" localSheetId="7">#REF!</definedName>
    <definedName name="TDCred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R36" i="52" l="1"/>
  <c r="BR35" i="52"/>
  <c r="BR34" i="52"/>
  <c r="BR33" i="52"/>
  <c r="BR32" i="52"/>
  <c r="BR31" i="52"/>
  <c r="BR30" i="52"/>
  <c r="BR29" i="52"/>
  <c r="BR28" i="52"/>
  <c r="BR27" i="52"/>
  <c r="BR26" i="52"/>
  <c r="BR25" i="52"/>
  <c r="BR24" i="52"/>
  <c r="BR23" i="52"/>
  <c r="BR22" i="52"/>
  <c r="BR21" i="52"/>
  <c r="BR20" i="52"/>
  <c r="BR19" i="52"/>
  <c r="BR18" i="52"/>
  <c r="BR17" i="52"/>
  <c r="BR16" i="52"/>
  <c r="BR15" i="52"/>
  <c r="BR14" i="52"/>
  <c r="BN36" i="52"/>
  <c r="BN35" i="52"/>
  <c r="BN34" i="52"/>
  <c r="BN33" i="52"/>
  <c r="BN32" i="52"/>
  <c r="BN31" i="52"/>
  <c r="BN30" i="52"/>
  <c r="BN29" i="52"/>
  <c r="BN28" i="52"/>
  <c r="BN27" i="52"/>
  <c r="BN26" i="52"/>
  <c r="BN25" i="52"/>
  <c r="BN24" i="52"/>
  <c r="BN23" i="52"/>
  <c r="BN22" i="52"/>
  <c r="BN21" i="52"/>
  <c r="BN20" i="52"/>
  <c r="BN19" i="52"/>
  <c r="BN18" i="52"/>
  <c r="BN17" i="52"/>
  <c r="BN16" i="52"/>
  <c r="BN15" i="52"/>
  <c r="BN14" i="52"/>
  <c r="BL36" i="52"/>
  <c r="BL35" i="52"/>
  <c r="BL34" i="52"/>
  <c r="BL33" i="52"/>
  <c r="BL32" i="52"/>
  <c r="BL31" i="52"/>
  <c r="BL30" i="52"/>
  <c r="BL29" i="52"/>
  <c r="BL28" i="52"/>
  <c r="BL27" i="52"/>
  <c r="BL26" i="52"/>
  <c r="BL25" i="52"/>
  <c r="BL24" i="52"/>
  <c r="BL23" i="52"/>
  <c r="BL22" i="52"/>
  <c r="BL21" i="52"/>
  <c r="BL20" i="52"/>
  <c r="BL19" i="52"/>
  <c r="BL18" i="52"/>
  <c r="BL17" i="52"/>
  <c r="BL16" i="52"/>
  <c r="BL15" i="52"/>
  <c r="BL14" i="52"/>
  <c r="BJ36" i="52"/>
  <c r="BJ35" i="52"/>
  <c r="BJ34" i="52"/>
  <c r="BJ33" i="52"/>
  <c r="BJ32" i="52"/>
  <c r="BJ31" i="52"/>
  <c r="BJ30" i="52"/>
  <c r="BJ29" i="52"/>
  <c r="BJ28" i="52"/>
  <c r="BJ27" i="52"/>
  <c r="BJ26" i="52"/>
  <c r="BJ25" i="52"/>
  <c r="BJ24" i="52"/>
  <c r="BJ23" i="52"/>
  <c r="BJ22" i="52"/>
  <c r="BJ21" i="52"/>
  <c r="BJ20" i="52"/>
  <c r="BJ19" i="52"/>
  <c r="BJ18" i="52"/>
  <c r="BJ17" i="52"/>
  <c r="BJ16" i="52"/>
  <c r="BJ15" i="52"/>
  <c r="BJ14" i="52"/>
  <c r="BI36" i="52"/>
  <c r="BI35" i="52"/>
  <c r="BI34" i="52"/>
  <c r="BI33" i="52"/>
  <c r="BI32" i="52"/>
  <c r="BI31" i="52"/>
  <c r="BI30" i="52"/>
  <c r="BI29" i="52"/>
  <c r="BI28" i="52"/>
  <c r="BI27" i="52"/>
  <c r="BI26" i="52"/>
  <c r="BI25" i="52"/>
  <c r="BI24" i="52"/>
  <c r="BI23" i="52"/>
  <c r="BI22" i="52"/>
  <c r="BI21" i="52"/>
  <c r="BI20" i="52"/>
  <c r="BI19" i="52"/>
  <c r="BI18" i="52"/>
  <c r="BI17" i="52"/>
  <c r="BI16" i="52"/>
  <c r="BI15" i="52"/>
  <c r="BI14" i="52"/>
  <c r="BC36" i="52"/>
  <c r="BC35" i="52"/>
  <c r="BC34" i="52"/>
  <c r="BC33" i="52"/>
  <c r="BC32" i="52"/>
  <c r="BC31" i="52"/>
  <c r="BC30" i="52"/>
  <c r="BC29" i="52"/>
  <c r="BC28" i="52"/>
  <c r="BC27" i="52"/>
  <c r="BC26" i="52"/>
  <c r="BC25" i="52"/>
  <c r="BC24" i="52"/>
  <c r="BC23" i="52"/>
  <c r="BC22" i="52"/>
  <c r="BC21" i="52"/>
  <c r="BC20" i="52"/>
  <c r="BC19" i="52"/>
  <c r="BC18" i="52"/>
  <c r="BC17" i="52"/>
  <c r="BC16" i="52"/>
  <c r="BC15" i="52"/>
  <c r="BC14" i="52"/>
  <c r="BB36" i="52"/>
  <c r="BB35" i="52"/>
  <c r="BB34" i="52"/>
  <c r="BB33" i="52"/>
  <c r="BB32" i="52"/>
  <c r="BB31" i="52"/>
  <c r="BB30" i="52"/>
  <c r="BB29" i="52"/>
  <c r="BB28" i="52"/>
  <c r="BB27" i="52"/>
  <c r="BB26" i="52"/>
  <c r="BB25" i="52"/>
  <c r="BB24" i="52"/>
  <c r="BB23" i="52"/>
  <c r="BB22" i="52"/>
  <c r="BB21" i="52"/>
  <c r="BB20" i="52"/>
  <c r="BB19" i="52"/>
  <c r="BB18" i="52"/>
  <c r="BB17" i="52"/>
  <c r="BB16" i="52"/>
  <c r="BB15" i="52"/>
  <c r="BB14" i="52"/>
  <c r="AW36" i="52"/>
  <c r="AW35" i="52"/>
  <c r="AW34" i="52"/>
  <c r="AW33" i="52"/>
  <c r="AW32" i="52"/>
  <c r="AW31" i="52"/>
  <c r="AW30" i="52"/>
  <c r="AW29" i="52"/>
  <c r="AW28" i="52"/>
  <c r="AW27" i="52"/>
  <c r="AW26" i="52"/>
  <c r="AW25" i="52"/>
  <c r="AW24" i="52"/>
  <c r="AW23" i="52"/>
  <c r="AW22" i="52"/>
  <c r="AW21" i="52"/>
  <c r="AW20" i="52"/>
  <c r="AW19" i="52"/>
  <c r="AW18" i="52"/>
  <c r="AW17" i="52"/>
  <c r="AW16" i="52"/>
  <c r="AW15" i="52"/>
  <c r="AW14" i="52"/>
  <c r="AU36" i="52"/>
  <c r="AU35" i="52"/>
  <c r="AU34" i="52"/>
  <c r="AU33" i="52"/>
  <c r="AU32" i="52"/>
  <c r="AU31" i="52"/>
  <c r="AU30" i="52"/>
  <c r="AU29" i="52"/>
  <c r="AU28" i="52"/>
  <c r="AU27" i="52"/>
  <c r="AU26" i="52"/>
  <c r="AU25" i="52"/>
  <c r="AU24" i="52"/>
  <c r="AU23" i="52"/>
  <c r="AU22" i="52"/>
  <c r="AU21" i="52"/>
  <c r="AU20" i="52"/>
  <c r="AU19" i="52"/>
  <c r="AU18" i="52"/>
  <c r="AU17" i="52"/>
  <c r="AU16" i="52"/>
  <c r="AU15" i="52"/>
  <c r="AU14" i="52"/>
  <c r="AB36" i="52"/>
  <c r="AB35" i="52"/>
  <c r="AB34" i="52"/>
  <c r="AB33" i="52"/>
  <c r="AB32" i="52"/>
  <c r="AB31" i="52"/>
  <c r="AB30" i="52"/>
  <c r="AB29" i="52"/>
  <c r="AB28" i="52"/>
  <c r="AB27" i="52"/>
  <c r="AB26" i="52"/>
  <c r="AB25" i="52"/>
  <c r="AB24" i="52"/>
  <c r="AB23" i="52"/>
  <c r="AB22" i="52"/>
  <c r="AB21" i="52"/>
  <c r="AB20" i="52"/>
  <c r="AB19" i="52"/>
  <c r="AB18" i="52"/>
  <c r="AB17" i="52"/>
  <c r="AB16" i="52"/>
  <c r="AB15" i="52"/>
  <c r="AB14" i="52"/>
  <c r="AA36" i="52"/>
  <c r="AA35" i="52"/>
  <c r="AA34" i="52"/>
  <c r="AA33" i="52"/>
  <c r="AA32" i="52"/>
  <c r="AA31" i="52"/>
  <c r="AA30" i="52"/>
  <c r="AA29" i="52"/>
  <c r="AA28" i="52"/>
  <c r="AA27" i="52"/>
  <c r="AA26" i="52"/>
  <c r="AA25" i="52"/>
  <c r="AA24" i="52"/>
  <c r="AA23" i="52"/>
  <c r="AA22" i="52"/>
  <c r="AA21" i="52"/>
  <c r="AA20" i="52"/>
  <c r="AA19" i="52"/>
  <c r="AA18" i="52"/>
  <c r="AA17" i="52"/>
  <c r="AA16" i="52"/>
  <c r="AA15" i="52"/>
  <c r="AA14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Y36" i="52"/>
  <c r="Y35" i="52"/>
  <c r="Y34" i="52"/>
  <c r="Y33" i="52"/>
  <c r="Y32" i="52"/>
  <c r="Y31" i="52"/>
  <c r="Y30" i="52"/>
  <c r="Y29" i="52"/>
  <c r="Y28" i="52"/>
  <c r="Y27" i="52"/>
  <c r="Y26" i="52"/>
  <c r="Y25" i="52"/>
  <c r="Y24" i="52"/>
  <c r="Y23" i="52"/>
  <c r="Y22" i="52"/>
  <c r="Y21" i="52"/>
  <c r="Y20" i="52"/>
  <c r="Y19" i="52"/>
  <c r="Y18" i="52"/>
  <c r="Y17" i="52"/>
  <c r="Y16" i="52"/>
  <c r="Y15" i="52"/>
  <c r="Y14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V36" i="52"/>
  <c r="V35" i="52"/>
  <c r="V34" i="52"/>
  <c r="V33" i="52"/>
  <c r="V32" i="52"/>
  <c r="V31" i="52"/>
  <c r="V30" i="52"/>
  <c r="V29" i="52"/>
  <c r="V28" i="52"/>
  <c r="V27" i="52"/>
  <c r="V26" i="52"/>
  <c r="V25" i="52"/>
  <c r="V24" i="52"/>
  <c r="V23" i="52"/>
  <c r="V22" i="52"/>
  <c r="V21" i="52"/>
  <c r="V20" i="52"/>
  <c r="V19" i="52"/>
  <c r="V18" i="52"/>
  <c r="V17" i="52"/>
  <c r="V16" i="52"/>
  <c r="V15" i="52"/>
  <c r="V14" i="52"/>
  <c r="U36" i="52"/>
  <c r="U35" i="52"/>
  <c r="U34" i="52"/>
  <c r="U33" i="52"/>
  <c r="U32" i="52"/>
  <c r="U31" i="52"/>
  <c r="U30" i="52"/>
  <c r="U29" i="52"/>
  <c r="U28" i="52"/>
  <c r="U27" i="52"/>
  <c r="U26" i="52"/>
  <c r="U25" i="52"/>
  <c r="U24" i="52"/>
  <c r="U23" i="52"/>
  <c r="U22" i="52"/>
  <c r="U21" i="52"/>
  <c r="U20" i="52"/>
  <c r="U19" i="52"/>
  <c r="U18" i="52"/>
  <c r="U17" i="52"/>
  <c r="U16" i="52"/>
  <c r="U15" i="52"/>
  <c r="U14" i="52"/>
  <c r="S36" i="52"/>
  <c r="S35" i="52"/>
  <c r="S34" i="52"/>
  <c r="S33" i="52"/>
  <c r="S32" i="52"/>
  <c r="S31" i="52"/>
  <c r="S30" i="52"/>
  <c r="S29" i="52"/>
  <c r="S28" i="52"/>
  <c r="S27" i="52"/>
  <c r="S26" i="52"/>
  <c r="S25" i="52"/>
  <c r="S24" i="52"/>
  <c r="S23" i="52"/>
  <c r="S22" i="52"/>
  <c r="S21" i="52"/>
  <c r="S20" i="52"/>
  <c r="S19" i="52"/>
  <c r="S18" i="52"/>
  <c r="S17" i="52"/>
  <c r="S16" i="52"/>
  <c r="S15" i="52"/>
  <c r="S14" i="52"/>
  <c r="R36" i="52"/>
  <c r="R35" i="52"/>
  <c r="R34" i="52"/>
  <c r="R33" i="52"/>
  <c r="R32" i="52"/>
  <c r="R31" i="52"/>
  <c r="R30" i="52"/>
  <c r="R29" i="52"/>
  <c r="R28" i="52"/>
  <c r="R27" i="52"/>
  <c r="R26" i="52"/>
  <c r="R25" i="52"/>
  <c r="R24" i="52"/>
  <c r="R23" i="52"/>
  <c r="R22" i="52"/>
  <c r="R21" i="52"/>
  <c r="R20" i="52"/>
  <c r="R19" i="52"/>
  <c r="R18" i="52"/>
  <c r="R17" i="52"/>
  <c r="R16" i="52"/>
  <c r="R15" i="52"/>
  <c r="R14" i="52"/>
  <c r="Q36" i="52"/>
  <c r="Q35" i="52"/>
  <c r="Q34" i="52"/>
  <c r="Q33" i="52"/>
  <c r="Q32" i="52"/>
  <c r="Q31" i="52"/>
  <c r="Q30" i="52"/>
  <c r="Q29" i="52"/>
  <c r="Q28" i="52"/>
  <c r="Q27" i="52"/>
  <c r="Q26" i="52"/>
  <c r="Q25" i="52"/>
  <c r="Q24" i="52"/>
  <c r="Q23" i="52"/>
  <c r="Q22" i="52"/>
  <c r="Q21" i="52"/>
  <c r="Q20" i="52"/>
  <c r="Q19" i="52"/>
  <c r="Q18" i="52"/>
  <c r="Q17" i="52"/>
  <c r="Q16" i="52"/>
  <c r="Q15" i="52"/>
  <c r="Q14" i="52"/>
  <c r="O36" i="52"/>
  <c r="O35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22" i="52"/>
  <c r="O21" i="52"/>
  <c r="O20" i="52"/>
  <c r="O19" i="52"/>
  <c r="O18" i="52"/>
  <c r="O17" i="52"/>
  <c r="O16" i="52"/>
  <c r="O15" i="52"/>
  <c r="O14" i="52"/>
  <c r="M36" i="52"/>
  <c r="M35" i="52"/>
  <c r="M34" i="52"/>
  <c r="M33" i="52"/>
  <c r="M32" i="52"/>
  <c r="M31" i="52"/>
  <c r="M30" i="52"/>
  <c r="M29" i="52"/>
  <c r="M28" i="52"/>
  <c r="M27" i="52"/>
  <c r="M26" i="52"/>
  <c r="M25" i="52"/>
  <c r="M24" i="52"/>
  <c r="M23" i="52"/>
  <c r="M22" i="52"/>
  <c r="M21" i="52"/>
  <c r="M20" i="52"/>
  <c r="M19" i="52"/>
  <c r="M18" i="52"/>
  <c r="M17" i="52"/>
  <c r="M16" i="52"/>
  <c r="M15" i="52"/>
  <c r="M14" i="52"/>
  <c r="F32" i="52"/>
  <c r="F30" i="52"/>
  <c r="F12" i="52"/>
  <c r="F11" i="52"/>
  <c r="J24" i="34"/>
  <c r="L18" i="75"/>
  <c r="L17" i="75"/>
  <c r="L16" i="75"/>
  <c r="L12" i="75"/>
  <c r="L11" i="75"/>
  <c r="L10" i="75"/>
  <c r="L9" i="75"/>
  <c r="R10" i="33"/>
  <c r="S11" i="76"/>
  <c r="K11" i="76" l="1"/>
  <c r="C20" i="77" l="1"/>
  <c r="C25" i="77"/>
  <c r="G48" i="77"/>
  <c r="G47" i="77"/>
  <c r="G46" i="77"/>
  <c r="B64" i="78"/>
  <c r="M14" i="76"/>
  <c r="E32" i="76"/>
  <c r="F25" i="51" l="1"/>
  <c r="C48" i="77" l="1"/>
  <c r="C10" i="33" l="1"/>
  <c r="C11" i="33"/>
  <c r="C12" i="33"/>
  <c r="C13" i="33"/>
  <c r="C16" i="33"/>
  <c r="C17" i="33"/>
  <c r="C18" i="33"/>
  <c r="E26" i="27" l="1"/>
  <c r="E23" i="27"/>
  <c r="E21" i="27"/>
  <c r="D19" i="27" l="1"/>
  <c r="G18" i="33" l="1"/>
  <c r="C11" i="77" l="1"/>
  <c r="F32" i="51" l="1"/>
  <c r="G51" i="77"/>
  <c r="G50" i="77"/>
  <c r="G38" i="77"/>
  <c r="G37" i="77"/>
  <c r="G39" i="77" l="1"/>
  <c r="G41" i="77" s="1"/>
  <c r="D29" i="27"/>
  <c r="E29" i="27" s="1"/>
  <c r="K13" i="33" l="1"/>
  <c r="D28" i="27" l="1"/>
  <c r="E28" i="27" s="1"/>
  <c r="D30" i="27"/>
  <c r="D31" i="27" l="1"/>
  <c r="E31" i="27" s="1"/>
  <c r="E30" i="27"/>
  <c r="E58" i="27" l="1"/>
  <c r="D58" i="27"/>
  <c r="I21" i="76" l="1"/>
  <c r="I15" i="76"/>
  <c r="I23" i="76" l="1"/>
  <c r="I27" i="76" s="1"/>
  <c r="M11" i="76" s="1"/>
  <c r="O11" i="76" s="1"/>
  <c r="C47" i="51"/>
  <c r="C47" i="63"/>
  <c r="C47" i="44"/>
  <c r="C47" i="60"/>
  <c r="C47" i="59"/>
  <c r="C47" i="57"/>
  <c r="C47" i="52"/>
  <c r="C47" i="34"/>
  <c r="B6" i="52"/>
  <c r="F32" i="44" l="1"/>
  <c r="S18" i="76" l="1"/>
  <c r="G16" i="33" s="1"/>
  <c r="F32" i="63" l="1"/>
  <c r="F32" i="60"/>
  <c r="F32" i="59"/>
  <c r="F32" i="57"/>
  <c r="F32" i="34"/>
  <c r="H18" i="75" l="1"/>
  <c r="H17" i="75"/>
  <c r="H16" i="75"/>
  <c r="H10" i="75"/>
  <c r="H11" i="75"/>
  <c r="H12" i="75"/>
  <c r="H9" i="75"/>
  <c r="E19" i="27" l="1"/>
  <c r="D14" i="27" l="1"/>
  <c r="E14" i="27" s="1"/>
  <c r="G52" i="77"/>
  <c r="G54" i="77" s="1"/>
  <c r="C16" i="77"/>
  <c r="D7" i="27"/>
  <c r="E9" i="77"/>
  <c r="F12" i="34"/>
  <c r="Z14" i="34" s="1"/>
  <c r="D6" i="75"/>
  <c r="F12" i="51"/>
  <c r="F12" i="63"/>
  <c r="F12" i="44"/>
  <c r="Z14" i="44" s="1"/>
  <c r="F12" i="60"/>
  <c r="F12" i="59"/>
  <c r="F12" i="57"/>
  <c r="F8" i="52"/>
  <c r="F8" i="51"/>
  <c r="F8" i="63"/>
  <c r="F8" i="44"/>
  <c r="L14" i="60"/>
  <c r="F8" i="60"/>
  <c r="F8" i="59"/>
  <c r="F8" i="57"/>
  <c r="F8" i="34"/>
  <c r="C8" i="33"/>
  <c r="F30" i="44"/>
  <c r="F25" i="44" s="1"/>
  <c r="E11" i="77" l="1"/>
  <c r="E7" i="27" s="1"/>
  <c r="D12" i="27"/>
  <c r="E12" i="27" s="1"/>
  <c r="D9" i="27"/>
  <c r="E9" i="27" l="1"/>
  <c r="S12" i="76"/>
  <c r="G11" i="33" s="1"/>
  <c r="S13" i="76"/>
  <c r="G12" i="33" s="1"/>
  <c r="S14" i="76"/>
  <c r="G13" i="33" s="1"/>
  <c r="G21" i="76"/>
  <c r="E21" i="76"/>
  <c r="S19" i="76"/>
  <c r="G17" i="33" s="1"/>
  <c r="G15" i="76"/>
  <c r="E15" i="76"/>
  <c r="G10" i="33"/>
  <c r="K12" i="76" l="1"/>
  <c r="G23" i="76"/>
  <c r="G27" i="76" s="1"/>
  <c r="E23" i="76"/>
  <c r="E27" i="76" s="1"/>
  <c r="C45" i="60" l="1"/>
  <c r="C43" i="60"/>
  <c r="C41" i="60"/>
  <c r="C39" i="60"/>
  <c r="C37" i="60"/>
  <c r="C36" i="60"/>
  <c r="C34" i="60"/>
  <c r="C33" i="60"/>
  <c r="C31" i="60"/>
  <c r="C29" i="60"/>
  <c r="C28" i="60"/>
  <c r="C26" i="60"/>
  <c r="C25" i="60"/>
  <c r="C23" i="60"/>
  <c r="C21" i="60"/>
  <c r="C20" i="60"/>
  <c r="C18" i="60"/>
  <c r="C17" i="60"/>
  <c r="C15" i="60"/>
  <c r="C14" i="60"/>
  <c r="C13" i="60"/>
  <c r="C11" i="60"/>
  <c r="C10" i="60"/>
  <c r="K13" i="76" l="1"/>
  <c r="M13" i="76" s="1"/>
  <c r="O13" i="76" s="1"/>
  <c r="K18" i="76"/>
  <c r="K25" i="76"/>
  <c r="M12" i="76"/>
  <c r="K20" i="76"/>
  <c r="M20" i="76" s="1"/>
  <c r="O20" i="76" s="1"/>
  <c r="K14" i="76"/>
  <c r="K19" i="76"/>
  <c r="M19" i="76" s="1"/>
  <c r="O19" i="76" s="1"/>
  <c r="H36" i="60"/>
  <c r="O14" i="76" l="1"/>
  <c r="M18" i="76"/>
  <c r="O18" i="76" s="1"/>
  <c r="O21" i="76" s="1"/>
  <c r="M15" i="76"/>
  <c r="O12" i="76"/>
  <c r="M21" i="76"/>
  <c r="M25" i="76"/>
  <c r="O11" i="33"/>
  <c r="F11" i="57"/>
  <c r="O12" i="33"/>
  <c r="F11" i="59"/>
  <c r="O17" i="33"/>
  <c r="F11" i="63"/>
  <c r="O13" i="33"/>
  <c r="F11" i="60"/>
  <c r="O18" i="33"/>
  <c r="F11" i="51"/>
  <c r="O10" i="33"/>
  <c r="F11" i="34"/>
  <c r="Y14" i="34" s="1"/>
  <c r="K21" i="76"/>
  <c r="K15" i="76"/>
  <c r="O15" i="76" l="1"/>
  <c r="O25" i="76"/>
  <c r="K23" i="76"/>
  <c r="K27" i="76" s="1"/>
  <c r="O16" i="33"/>
  <c r="F11" i="44"/>
  <c r="Y14" i="44" s="1"/>
  <c r="CD36" i="52"/>
  <c r="AJ36" i="52"/>
  <c r="CD35" i="52"/>
  <c r="AJ35" i="52"/>
  <c r="CE36" i="57"/>
  <c r="CD36" i="57"/>
  <c r="CC36" i="57"/>
  <c r="BR36" i="57"/>
  <c r="BD36" i="57"/>
  <c r="AK36" i="57"/>
  <c r="AJ36" i="57"/>
  <c r="AL36" i="57" s="1"/>
  <c r="CD36" i="59"/>
  <c r="CC36" i="59"/>
  <c r="BR36" i="59"/>
  <c r="BD36" i="59"/>
  <c r="AK36" i="59"/>
  <c r="AJ36" i="59"/>
  <c r="CD36" i="60"/>
  <c r="CC36" i="60"/>
  <c r="CE36" i="60" s="1"/>
  <c r="BR36" i="60"/>
  <c r="BD36" i="60"/>
  <c r="AK36" i="60"/>
  <c r="AJ36" i="60"/>
  <c r="AL36" i="60" s="1"/>
  <c r="CD36" i="44"/>
  <c r="CC36" i="44"/>
  <c r="CE36" i="44" s="1"/>
  <c r="BR36" i="44"/>
  <c r="BD36" i="44"/>
  <c r="AK36" i="44"/>
  <c r="AJ36" i="44"/>
  <c r="AL36" i="44" s="1"/>
  <c r="CD36" i="63"/>
  <c r="CE36" i="63" s="1"/>
  <c r="CC36" i="63"/>
  <c r="BR36" i="63"/>
  <c r="BD36" i="63"/>
  <c r="AK36" i="63"/>
  <c r="AJ36" i="63"/>
  <c r="CD36" i="51"/>
  <c r="CC36" i="51"/>
  <c r="BR36" i="51"/>
  <c r="BD36" i="51"/>
  <c r="AK36" i="51"/>
  <c r="AJ36" i="51"/>
  <c r="CD36" i="34"/>
  <c r="CC36" i="34"/>
  <c r="BR36" i="34"/>
  <c r="BD36" i="34"/>
  <c r="AK36" i="34"/>
  <c r="AJ36" i="34"/>
  <c r="CD35" i="57"/>
  <c r="CC35" i="57"/>
  <c r="BR35" i="57"/>
  <c r="BD35" i="57"/>
  <c r="AK35" i="57"/>
  <c r="AJ35" i="57"/>
  <c r="CD35" i="59"/>
  <c r="CC35" i="59"/>
  <c r="BR35" i="59"/>
  <c r="BD35" i="59"/>
  <c r="AK35" i="59"/>
  <c r="AJ35" i="59"/>
  <c r="CD35" i="60"/>
  <c r="CC35" i="60"/>
  <c r="BR35" i="60"/>
  <c r="BD35" i="60"/>
  <c r="AK35" i="60"/>
  <c r="AJ35" i="60"/>
  <c r="AL35" i="60" s="1"/>
  <c r="CD35" i="44"/>
  <c r="CC35" i="44"/>
  <c r="BR35" i="44"/>
  <c r="BD35" i="44"/>
  <c r="AK35" i="44"/>
  <c r="AJ35" i="44"/>
  <c r="AL35" i="44" s="1"/>
  <c r="CD35" i="63"/>
  <c r="CC35" i="63"/>
  <c r="BR35" i="63"/>
  <c r="BD35" i="63"/>
  <c r="AK35" i="63"/>
  <c r="AJ35" i="63"/>
  <c r="CD35" i="51"/>
  <c r="CC35" i="51"/>
  <c r="CE35" i="51" s="1"/>
  <c r="BR35" i="51"/>
  <c r="BD35" i="51"/>
  <c r="AK35" i="51"/>
  <c r="AJ35" i="51"/>
  <c r="AL35" i="51" s="1"/>
  <c r="CD35" i="34"/>
  <c r="CC35" i="34"/>
  <c r="CE35" i="34" s="1"/>
  <c r="BR35" i="34"/>
  <c r="BD35" i="34"/>
  <c r="AK35" i="34"/>
  <c r="AJ35" i="34"/>
  <c r="AL35" i="34" s="1"/>
  <c r="AL36" i="59" l="1"/>
  <c r="CE35" i="57"/>
  <c r="AL36" i="51"/>
  <c r="CE36" i="51"/>
  <c r="CE36" i="59"/>
  <c r="AL35" i="59"/>
  <c r="CE35" i="59"/>
  <c r="CE36" i="34"/>
  <c r="AL36" i="63"/>
  <c r="AL35" i="63"/>
  <c r="CE35" i="63"/>
  <c r="CE35" i="44"/>
  <c r="CE35" i="60"/>
  <c r="AL35" i="57"/>
  <c r="O23" i="76"/>
  <c r="O27" i="76" s="1"/>
  <c r="M23" i="76"/>
  <c r="M27" i="76" s="1"/>
  <c r="AL36" i="34"/>
  <c r="BD35" i="52"/>
  <c r="BD36" i="52"/>
  <c r="AK36" i="52"/>
  <c r="AL36" i="52" s="1"/>
  <c r="CC36" i="52"/>
  <c r="CE36" i="52" s="1"/>
  <c r="AK35" i="52"/>
  <c r="AL35" i="52" s="1"/>
  <c r="CC35" i="52"/>
  <c r="CE35" i="52" s="1"/>
  <c r="B6" i="51" l="1"/>
  <c r="B6" i="63"/>
  <c r="B6" i="44"/>
  <c r="B6" i="60"/>
  <c r="B6" i="59"/>
  <c r="B6" i="57"/>
  <c r="B6" i="34"/>
  <c r="C43" i="52"/>
  <c r="C41" i="52"/>
  <c r="C39" i="52"/>
  <c r="C45" i="52"/>
  <c r="D11" i="75" l="1"/>
  <c r="B12" i="75"/>
  <c r="B11" i="75"/>
  <c r="F15" i="51" l="1"/>
  <c r="F34" i="51"/>
  <c r="F30" i="51"/>
  <c r="F23" i="51"/>
  <c r="B25" i="12" l="1"/>
  <c r="F34" i="59"/>
  <c r="C20" i="51" l="1"/>
  <c r="D12" i="75" l="1"/>
  <c r="F27" i="60"/>
  <c r="F21" i="60"/>
  <c r="F20" i="60"/>
  <c r="F18" i="60"/>
  <c r="F17" i="60"/>
  <c r="H38" i="60"/>
  <c r="D18" i="75" l="1"/>
  <c r="D17" i="75"/>
  <c r="D16" i="75"/>
  <c r="D10" i="75"/>
  <c r="D9" i="75"/>
  <c r="D13" i="75" l="1"/>
  <c r="D19" i="75"/>
  <c r="D21" i="75" l="1"/>
  <c r="H38" i="51" l="1"/>
  <c r="H36" i="51"/>
  <c r="F27" i="51"/>
  <c r="F21" i="51"/>
  <c r="F20" i="51"/>
  <c r="F18" i="51"/>
  <c r="F17" i="51"/>
  <c r="C45" i="51"/>
  <c r="C43" i="51"/>
  <c r="C41" i="51"/>
  <c r="C39" i="51"/>
  <c r="C37" i="51"/>
  <c r="C36" i="51"/>
  <c r="C34" i="51"/>
  <c r="C33" i="51"/>
  <c r="C31" i="51"/>
  <c r="C29" i="51"/>
  <c r="C28" i="51"/>
  <c r="C26" i="51"/>
  <c r="C25" i="51"/>
  <c r="C23" i="51"/>
  <c r="C21" i="51"/>
  <c r="C18" i="51"/>
  <c r="C17" i="51"/>
  <c r="C15" i="51"/>
  <c r="C14" i="51"/>
  <c r="C13" i="51"/>
  <c r="C11" i="51"/>
  <c r="C10" i="51"/>
  <c r="H38" i="63"/>
  <c r="H36" i="63"/>
  <c r="F27" i="63"/>
  <c r="F21" i="63"/>
  <c r="F20" i="63"/>
  <c r="F18" i="63"/>
  <c r="F17" i="63"/>
  <c r="C45" i="63"/>
  <c r="C43" i="63"/>
  <c r="C41" i="63"/>
  <c r="C39" i="63"/>
  <c r="C37" i="63"/>
  <c r="C36" i="63"/>
  <c r="C34" i="63"/>
  <c r="C33" i="63"/>
  <c r="C31" i="63"/>
  <c r="C29" i="63"/>
  <c r="C28" i="63"/>
  <c r="C26" i="63"/>
  <c r="C25" i="63"/>
  <c r="C23" i="63"/>
  <c r="C21" i="63"/>
  <c r="C20" i="63"/>
  <c r="C18" i="63"/>
  <c r="C17" i="63"/>
  <c r="C15" i="63"/>
  <c r="C14" i="63"/>
  <c r="C13" i="63"/>
  <c r="C11" i="63"/>
  <c r="C10" i="63"/>
  <c r="H38" i="44"/>
  <c r="H36" i="44"/>
  <c r="F27" i="44"/>
  <c r="F21" i="44"/>
  <c r="F20" i="44"/>
  <c r="F18" i="44"/>
  <c r="F17" i="44"/>
  <c r="C45" i="44"/>
  <c r="C43" i="44"/>
  <c r="C41" i="44"/>
  <c r="C39" i="44"/>
  <c r="C37" i="44"/>
  <c r="C36" i="44"/>
  <c r="C34" i="44"/>
  <c r="C33" i="44"/>
  <c r="C31" i="44"/>
  <c r="C29" i="44"/>
  <c r="C28" i="44"/>
  <c r="C26" i="44"/>
  <c r="C25" i="44"/>
  <c r="C23" i="44"/>
  <c r="C21" i="44"/>
  <c r="C20" i="44"/>
  <c r="C18" i="44"/>
  <c r="C17" i="44"/>
  <c r="C15" i="44"/>
  <c r="C14" i="44"/>
  <c r="C13" i="44"/>
  <c r="C11" i="44"/>
  <c r="C10" i="44"/>
  <c r="H38" i="59"/>
  <c r="H36" i="59"/>
  <c r="F27" i="59"/>
  <c r="F21" i="59"/>
  <c r="F20" i="59"/>
  <c r="F18" i="59"/>
  <c r="F17" i="59"/>
  <c r="C45" i="59"/>
  <c r="C43" i="59"/>
  <c r="C41" i="59"/>
  <c r="C39" i="59"/>
  <c r="C37" i="59"/>
  <c r="C36" i="59"/>
  <c r="C34" i="59"/>
  <c r="C33" i="59"/>
  <c r="C31" i="59"/>
  <c r="C29" i="59"/>
  <c r="C28" i="59"/>
  <c r="C26" i="59"/>
  <c r="C25" i="59"/>
  <c r="C23" i="59"/>
  <c r="C21" i="59"/>
  <c r="C20" i="59"/>
  <c r="C18" i="59"/>
  <c r="C17" i="59"/>
  <c r="C15" i="59"/>
  <c r="C14" i="59"/>
  <c r="C13" i="59"/>
  <c r="C11" i="59"/>
  <c r="C10" i="59"/>
  <c r="H38" i="57"/>
  <c r="H36" i="57"/>
  <c r="F27" i="57"/>
  <c r="F21" i="57"/>
  <c r="F20" i="57"/>
  <c r="F18" i="57"/>
  <c r="F17" i="57"/>
  <c r="C45" i="57"/>
  <c r="C43" i="57"/>
  <c r="C41" i="57"/>
  <c r="C39" i="57"/>
  <c r="C37" i="57"/>
  <c r="C36" i="57"/>
  <c r="C34" i="57"/>
  <c r="C33" i="57"/>
  <c r="C31" i="57"/>
  <c r="C29" i="57"/>
  <c r="C28" i="57"/>
  <c r="C26" i="57"/>
  <c r="C25" i="57"/>
  <c r="C23" i="57"/>
  <c r="C21" i="57"/>
  <c r="C20" i="57"/>
  <c r="C18" i="57"/>
  <c r="C17" i="57"/>
  <c r="C15" i="57"/>
  <c r="C14" i="57"/>
  <c r="C13" i="57"/>
  <c r="C11" i="57"/>
  <c r="C10" i="57"/>
  <c r="F27" i="34"/>
  <c r="H38" i="34"/>
  <c r="H36" i="34"/>
  <c r="F21" i="34"/>
  <c r="F20" i="34"/>
  <c r="F18" i="34"/>
  <c r="F17" i="34"/>
  <c r="C45" i="34"/>
  <c r="J14" i="34" s="1"/>
  <c r="C43" i="34"/>
  <c r="C41" i="34"/>
  <c r="C39" i="34"/>
  <c r="C37" i="34"/>
  <c r="C36" i="34"/>
  <c r="C34" i="34"/>
  <c r="C33" i="34"/>
  <c r="C31" i="34"/>
  <c r="C29" i="34"/>
  <c r="C28" i="34"/>
  <c r="C26" i="34"/>
  <c r="C25" i="34"/>
  <c r="C23" i="34"/>
  <c r="C21" i="34"/>
  <c r="C20" i="34"/>
  <c r="C18" i="34"/>
  <c r="C17" i="34"/>
  <c r="C15" i="34"/>
  <c r="C14" i="34"/>
  <c r="C13" i="34"/>
  <c r="C11" i="34"/>
  <c r="C10" i="34"/>
  <c r="N14" i="34" l="1"/>
  <c r="AT14" i="34"/>
  <c r="BM14" i="34"/>
  <c r="R11" i="33"/>
  <c r="R12" i="33"/>
  <c r="R16" i="33"/>
  <c r="R17" i="33"/>
  <c r="R18" i="33"/>
  <c r="F34" i="63" l="1"/>
  <c r="F30" i="63"/>
  <c r="F25" i="63" s="1"/>
  <c r="F23" i="63"/>
  <c r="F15" i="63"/>
  <c r="J14" i="63"/>
  <c r="CD34" i="63"/>
  <c r="CC34" i="63"/>
  <c r="CE34" i="63" s="1"/>
  <c r="BR34" i="63"/>
  <c r="BD34" i="63"/>
  <c r="AK34" i="63"/>
  <c r="AJ34" i="63"/>
  <c r="AL34" i="63" s="1"/>
  <c r="CD33" i="63"/>
  <c r="CC33" i="63"/>
  <c r="BR33" i="63"/>
  <c r="BD33" i="63"/>
  <c r="AK33" i="63"/>
  <c r="AJ33" i="63"/>
  <c r="CD32" i="63"/>
  <c r="CC32" i="63"/>
  <c r="CE32" i="63" s="1"/>
  <c r="BR32" i="63"/>
  <c r="BD32" i="63"/>
  <c r="AK32" i="63"/>
  <c r="AJ32" i="63"/>
  <c r="AL32" i="63" s="1"/>
  <c r="CD31" i="63"/>
  <c r="CC31" i="63"/>
  <c r="BR31" i="63"/>
  <c r="BD31" i="63"/>
  <c r="AK31" i="63"/>
  <c r="AJ31" i="63"/>
  <c r="CD30" i="63"/>
  <c r="CC30" i="63"/>
  <c r="CE30" i="63" s="1"/>
  <c r="BR30" i="63"/>
  <c r="BD30" i="63"/>
  <c r="AK30" i="63"/>
  <c r="AJ30" i="63"/>
  <c r="AL30" i="63" s="1"/>
  <c r="CD29" i="63"/>
  <c r="CC29" i="63"/>
  <c r="BR29" i="63"/>
  <c r="BD29" i="63"/>
  <c r="AK29" i="63"/>
  <c r="AJ29" i="63"/>
  <c r="CD28" i="63"/>
  <c r="CC28" i="63"/>
  <c r="CE28" i="63" s="1"/>
  <c r="BR28" i="63"/>
  <c r="BD28" i="63"/>
  <c r="AK28" i="63"/>
  <c r="AJ28" i="63"/>
  <c r="AL28" i="63" s="1"/>
  <c r="CD27" i="63"/>
  <c r="CC27" i="63"/>
  <c r="BR27" i="63"/>
  <c r="BD27" i="63"/>
  <c r="AK27" i="63"/>
  <c r="AJ27" i="63"/>
  <c r="CD26" i="63"/>
  <c r="CC26" i="63"/>
  <c r="CE26" i="63" s="1"/>
  <c r="BR26" i="63"/>
  <c r="BD26" i="63"/>
  <c r="AK26" i="63"/>
  <c r="AJ26" i="63"/>
  <c r="AL26" i="63" s="1"/>
  <c r="CD25" i="63"/>
  <c r="CC25" i="63"/>
  <c r="BR25" i="63"/>
  <c r="BD25" i="63"/>
  <c r="AK25" i="63"/>
  <c r="AJ25" i="63"/>
  <c r="CD24" i="63"/>
  <c r="CC24" i="63"/>
  <c r="CE24" i="63" s="1"/>
  <c r="BR24" i="63"/>
  <c r="BD24" i="63"/>
  <c r="AK24" i="63"/>
  <c r="AJ24" i="63"/>
  <c r="AL24" i="63" s="1"/>
  <c r="CD23" i="63"/>
  <c r="CC23" i="63"/>
  <c r="BR23" i="63"/>
  <c r="BD23" i="63"/>
  <c r="AK23" i="63"/>
  <c r="AJ23" i="63"/>
  <c r="CD22" i="63"/>
  <c r="CC22" i="63"/>
  <c r="CE22" i="63" s="1"/>
  <c r="BR22" i="63"/>
  <c r="BD22" i="63"/>
  <c r="AK22" i="63"/>
  <c r="AJ22" i="63"/>
  <c r="AL22" i="63" s="1"/>
  <c r="CD21" i="63"/>
  <c r="CC21" i="63"/>
  <c r="BR21" i="63"/>
  <c r="BD21" i="63"/>
  <c r="AK21" i="63"/>
  <c r="AJ21" i="63"/>
  <c r="CD20" i="63"/>
  <c r="CC20" i="63"/>
  <c r="CE20" i="63" s="1"/>
  <c r="BR20" i="63"/>
  <c r="BD20" i="63"/>
  <c r="AK20" i="63"/>
  <c r="AJ20" i="63"/>
  <c r="AL20" i="63" s="1"/>
  <c r="CD19" i="63"/>
  <c r="CC19" i="63"/>
  <c r="BR19" i="63"/>
  <c r="BD19" i="63"/>
  <c r="AK19" i="63"/>
  <c r="AJ19" i="63"/>
  <c r="CD18" i="63"/>
  <c r="CC18" i="63"/>
  <c r="CE18" i="63" s="1"/>
  <c r="BR18" i="63"/>
  <c r="BD18" i="63"/>
  <c r="AK18" i="63"/>
  <c r="AJ18" i="63"/>
  <c r="AL18" i="63" s="1"/>
  <c r="CD17" i="63"/>
  <c r="CC17" i="63"/>
  <c r="BR17" i="63"/>
  <c r="BD17" i="63"/>
  <c r="AK17" i="63"/>
  <c r="AJ17" i="63"/>
  <c r="BW14" i="63"/>
  <c r="BW15" i="63" s="1"/>
  <c r="BW16" i="63" s="1"/>
  <c r="BW17" i="63" s="1"/>
  <c r="BW18" i="63" s="1"/>
  <c r="BW19" i="63" s="1"/>
  <c r="BW20" i="63" s="1"/>
  <c r="BW21" i="63" s="1"/>
  <c r="BW22" i="63" s="1"/>
  <c r="BW23" i="63" s="1"/>
  <c r="BW24" i="63" s="1"/>
  <c r="BW25" i="63" s="1"/>
  <c r="BW26" i="63" s="1"/>
  <c r="BW27" i="63" s="1"/>
  <c r="BW28" i="63" s="1"/>
  <c r="BW29" i="63" s="1"/>
  <c r="BW30" i="63" s="1"/>
  <c r="BW31" i="63" s="1"/>
  <c r="BW32" i="63" s="1"/>
  <c r="BW33" i="63" s="1"/>
  <c r="BW34" i="63" s="1"/>
  <c r="BW35" i="63" s="1"/>
  <c r="BW36" i="63" s="1"/>
  <c r="BH14" i="63"/>
  <c r="BH15" i="63" s="1"/>
  <c r="AQ14" i="63"/>
  <c r="AQ15" i="63" s="1"/>
  <c r="AE14" i="63"/>
  <c r="AE15" i="63" s="1"/>
  <c r="AE16" i="63" s="1"/>
  <c r="AE17" i="63" s="1"/>
  <c r="AE18" i="63" s="1"/>
  <c r="AE19" i="63" s="1"/>
  <c r="AE20" i="63" s="1"/>
  <c r="AE21" i="63" s="1"/>
  <c r="AE22" i="63" s="1"/>
  <c r="AE23" i="63" s="1"/>
  <c r="AE24" i="63" s="1"/>
  <c r="AE25" i="63" s="1"/>
  <c r="AE26" i="63" s="1"/>
  <c r="AE27" i="63" s="1"/>
  <c r="AE28" i="63" s="1"/>
  <c r="AE29" i="63" s="1"/>
  <c r="AE30" i="63" s="1"/>
  <c r="AE31" i="63" s="1"/>
  <c r="AE32" i="63" s="1"/>
  <c r="AE33" i="63" s="1"/>
  <c r="AE34" i="63" s="1"/>
  <c r="AE35" i="63" s="1"/>
  <c r="AE36" i="63" s="1"/>
  <c r="L14" i="63"/>
  <c r="L15" i="63" s="1"/>
  <c r="BX5" i="63"/>
  <c r="BI5" i="63"/>
  <c r="AR5" i="63"/>
  <c r="AF5" i="63"/>
  <c r="M5" i="63"/>
  <c r="AF4" i="63"/>
  <c r="AR4" i="63" s="1"/>
  <c r="BI4" i="63" s="1"/>
  <c r="BX4" i="63" s="1"/>
  <c r="M4" i="63"/>
  <c r="F34" i="60"/>
  <c r="F30" i="60"/>
  <c r="F23" i="60"/>
  <c r="F15" i="60"/>
  <c r="B5" i="60"/>
  <c r="BX5" i="60" s="1"/>
  <c r="CD34" i="60"/>
  <c r="CC34" i="60"/>
  <c r="BR34" i="60"/>
  <c r="BD34" i="60"/>
  <c r="AK34" i="60"/>
  <c r="AJ34" i="60"/>
  <c r="CD33" i="60"/>
  <c r="CC33" i="60"/>
  <c r="BR33" i="60"/>
  <c r="BD33" i="60"/>
  <c r="AK33" i="60"/>
  <c r="AJ33" i="60"/>
  <c r="CD32" i="60"/>
  <c r="CC32" i="60"/>
  <c r="BR32" i="60"/>
  <c r="BD32" i="60"/>
  <c r="AK32" i="60"/>
  <c r="AJ32" i="60"/>
  <c r="CD31" i="60"/>
  <c r="CC31" i="60"/>
  <c r="BR31" i="60"/>
  <c r="BD31" i="60"/>
  <c r="AK31" i="60"/>
  <c r="AJ31" i="60"/>
  <c r="CD30" i="60"/>
  <c r="CC30" i="60"/>
  <c r="CE30" i="60" s="1"/>
  <c r="BR30" i="60"/>
  <c r="BD30" i="60"/>
  <c r="AK30" i="60"/>
  <c r="AJ30" i="60"/>
  <c r="AL30" i="60" s="1"/>
  <c r="CD29" i="60"/>
  <c r="CC29" i="60"/>
  <c r="BR29" i="60"/>
  <c r="BD29" i="60"/>
  <c r="AK29" i="60"/>
  <c r="AJ29" i="60"/>
  <c r="CD28" i="60"/>
  <c r="CC28" i="60"/>
  <c r="BR28" i="60"/>
  <c r="BD28" i="60"/>
  <c r="AK28" i="60"/>
  <c r="AJ28" i="60"/>
  <c r="CD27" i="60"/>
  <c r="CC27" i="60"/>
  <c r="CE27" i="60" s="1"/>
  <c r="BR27" i="60"/>
  <c r="BD27" i="60"/>
  <c r="AK27" i="60"/>
  <c r="AJ27" i="60"/>
  <c r="AL27" i="60" s="1"/>
  <c r="CD26" i="60"/>
  <c r="CC26" i="60"/>
  <c r="BR26" i="60"/>
  <c r="BD26" i="60"/>
  <c r="AK26" i="60"/>
  <c r="AJ26" i="60"/>
  <c r="CD25" i="60"/>
  <c r="CC25" i="60"/>
  <c r="BR25" i="60"/>
  <c r="BD25" i="60"/>
  <c r="AK25" i="60"/>
  <c r="AJ25" i="60"/>
  <c r="AL25" i="60" s="1"/>
  <c r="CD24" i="60"/>
  <c r="CC24" i="60"/>
  <c r="CE24" i="60" s="1"/>
  <c r="BR24" i="60"/>
  <c r="BD24" i="60"/>
  <c r="AK24" i="60"/>
  <c r="AJ24" i="60"/>
  <c r="AL24" i="60" s="1"/>
  <c r="CD23" i="60"/>
  <c r="CC23" i="60"/>
  <c r="BR23" i="60"/>
  <c r="BD23" i="60"/>
  <c r="AK23" i="60"/>
  <c r="AJ23" i="60"/>
  <c r="CD22" i="60"/>
  <c r="CC22" i="60"/>
  <c r="BR22" i="60"/>
  <c r="BD22" i="60"/>
  <c r="AK22" i="60"/>
  <c r="AJ22" i="60"/>
  <c r="AL22" i="60" s="1"/>
  <c r="CD21" i="60"/>
  <c r="CC21" i="60"/>
  <c r="BR21" i="60"/>
  <c r="BD21" i="60"/>
  <c r="AK21" i="60"/>
  <c r="AJ21" i="60"/>
  <c r="CD20" i="60"/>
  <c r="CC20" i="60"/>
  <c r="BR20" i="60"/>
  <c r="BD20" i="60"/>
  <c r="AK20" i="60"/>
  <c r="AJ20" i="60"/>
  <c r="CD19" i="60"/>
  <c r="CC19" i="60"/>
  <c r="CE19" i="60" s="1"/>
  <c r="BR19" i="60"/>
  <c r="BD19" i="60"/>
  <c r="AK19" i="60"/>
  <c r="AJ19" i="60"/>
  <c r="AL19" i="60" s="1"/>
  <c r="CD18" i="60"/>
  <c r="CC18" i="60"/>
  <c r="BR18" i="60"/>
  <c r="BD18" i="60"/>
  <c r="AK18" i="60"/>
  <c r="AJ18" i="60"/>
  <c r="CD17" i="60"/>
  <c r="CC17" i="60"/>
  <c r="BR17" i="60"/>
  <c r="BD17" i="60"/>
  <c r="AK17" i="60"/>
  <c r="AJ17" i="60"/>
  <c r="AE14" i="60"/>
  <c r="AE15" i="60" s="1"/>
  <c r="AE16" i="60" s="1"/>
  <c r="AE17" i="60" s="1"/>
  <c r="AE18" i="60" s="1"/>
  <c r="AE19" i="60" s="1"/>
  <c r="AE20" i="60" s="1"/>
  <c r="AE21" i="60" s="1"/>
  <c r="AE22" i="60" s="1"/>
  <c r="AE23" i="60" s="1"/>
  <c r="AE24" i="60" s="1"/>
  <c r="AE25" i="60" s="1"/>
  <c r="AE26" i="60" s="1"/>
  <c r="AE27" i="60" s="1"/>
  <c r="AE28" i="60" s="1"/>
  <c r="AE29" i="60" s="1"/>
  <c r="AE30" i="60" s="1"/>
  <c r="AE31" i="60" s="1"/>
  <c r="AE32" i="60" s="1"/>
  <c r="AE33" i="60" s="1"/>
  <c r="AE34" i="60" s="1"/>
  <c r="AE35" i="60" s="1"/>
  <c r="AE36" i="60" s="1"/>
  <c r="AF4" i="60"/>
  <c r="AR4" i="60" s="1"/>
  <c r="BI4" i="60" s="1"/>
  <c r="BX4" i="60" s="1"/>
  <c r="M4" i="60"/>
  <c r="F30" i="59"/>
  <c r="F25" i="59" s="1"/>
  <c r="F23" i="59"/>
  <c r="F15" i="59"/>
  <c r="B5" i="59"/>
  <c r="BX5" i="59" s="1"/>
  <c r="BW14" i="59"/>
  <c r="BW15" i="59" s="1"/>
  <c r="BW16" i="59" s="1"/>
  <c r="BW17" i="59" s="1"/>
  <c r="BW18" i="59" s="1"/>
  <c r="BW19" i="59" s="1"/>
  <c r="BW20" i="59" s="1"/>
  <c r="BW21" i="59" s="1"/>
  <c r="BW22" i="59" s="1"/>
  <c r="BW23" i="59" s="1"/>
  <c r="BW24" i="59" s="1"/>
  <c r="BW25" i="59" s="1"/>
  <c r="BW26" i="59" s="1"/>
  <c r="BW27" i="59" s="1"/>
  <c r="BW28" i="59" s="1"/>
  <c r="BW29" i="59" s="1"/>
  <c r="BW30" i="59" s="1"/>
  <c r="BW31" i="59" s="1"/>
  <c r="BW32" i="59" s="1"/>
  <c r="BW33" i="59" s="1"/>
  <c r="BW34" i="59" s="1"/>
  <c r="BW35" i="59" s="1"/>
  <c r="BW36" i="59" s="1"/>
  <c r="CD34" i="59"/>
  <c r="CC34" i="59"/>
  <c r="BR34" i="59"/>
  <c r="BD34" i="59"/>
  <c r="AK34" i="59"/>
  <c r="AJ34" i="59"/>
  <c r="CD33" i="59"/>
  <c r="CC33" i="59"/>
  <c r="BR33" i="59"/>
  <c r="BD33" i="59"/>
  <c r="AK33" i="59"/>
  <c r="AJ33" i="59"/>
  <c r="CD32" i="59"/>
  <c r="CC32" i="59"/>
  <c r="BR32" i="59"/>
  <c r="BD32" i="59"/>
  <c r="AK32" i="59"/>
  <c r="AJ32" i="59"/>
  <c r="CD31" i="59"/>
  <c r="CC31" i="59"/>
  <c r="BR31" i="59"/>
  <c r="BD31" i="59"/>
  <c r="AK31" i="59"/>
  <c r="AJ31" i="59"/>
  <c r="CD30" i="59"/>
  <c r="CC30" i="59"/>
  <c r="BR30" i="59"/>
  <c r="BD30" i="59"/>
  <c r="AK30" i="59"/>
  <c r="AJ30" i="59"/>
  <c r="CD29" i="59"/>
  <c r="CC29" i="59"/>
  <c r="BR29" i="59"/>
  <c r="BD29" i="59"/>
  <c r="AK29" i="59"/>
  <c r="AJ29" i="59"/>
  <c r="CD28" i="59"/>
  <c r="CC28" i="59"/>
  <c r="BR28" i="59"/>
  <c r="BD28" i="59"/>
  <c r="AK28" i="59"/>
  <c r="AJ28" i="59"/>
  <c r="CD27" i="59"/>
  <c r="CC27" i="59"/>
  <c r="BR27" i="59"/>
  <c r="BD27" i="59"/>
  <c r="AK27" i="59"/>
  <c r="AJ27" i="59"/>
  <c r="CD26" i="59"/>
  <c r="CC26" i="59"/>
  <c r="BR26" i="59"/>
  <c r="BD26" i="59"/>
  <c r="AK26" i="59"/>
  <c r="AJ26" i="59"/>
  <c r="CD25" i="59"/>
  <c r="CC25" i="59"/>
  <c r="BR25" i="59"/>
  <c r="BD25" i="59"/>
  <c r="AK25" i="59"/>
  <c r="AJ25" i="59"/>
  <c r="CD24" i="59"/>
  <c r="CC24" i="59"/>
  <c r="BR24" i="59"/>
  <c r="BD24" i="59"/>
  <c r="AK24" i="59"/>
  <c r="AJ24" i="59"/>
  <c r="CD23" i="59"/>
  <c r="CC23" i="59"/>
  <c r="BR23" i="59"/>
  <c r="BD23" i="59"/>
  <c r="AK23" i="59"/>
  <c r="AJ23" i="59"/>
  <c r="CD22" i="59"/>
  <c r="CC22" i="59"/>
  <c r="BR22" i="59"/>
  <c r="BD22" i="59"/>
  <c r="AK22" i="59"/>
  <c r="AJ22" i="59"/>
  <c r="CD21" i="59"/>
  <c r="CC21" i="59"/>
  <c r="BR21" i="59"/>
  <c r="BD21" i="59"/>
  <c r="AK21" i="59"/>
  <c r="AJ21" i="59"/>
  <c r="CD20" i="59"/>
  <c r="CC20" i="59"/>
  <c r="BR20" i="59"/>
  <c r="BD20" i="59"/>
  <c r="AK20" i="59"/>
  <c r="AJ20" i="59"/>
  <c r="CD19" i="59"/>
  <c r="CC19" i="59"/>
  <c r="BR19" i="59"/>
  <c r="BD19" i="59"/>
  <c r="AK19" i="59"/>
  <c r="AJ19" i="59"/>
  <c r="CD18" i="59"/>
  <c r="CC18" i="59"/>
  <c r="BR18" i="59"/>
  <c r="BD18" i="59"/>
  <c r="AK18" i="59"/>
  <c r="AJ18" i="59"/>
  <c r="CD17" i="59"/>
  <c r="CC17" i="59"/>
  <c r="BR17" i="59"/>
  <c r="BD17" i="59"/>
  <c r="AK17" i="59"/>
  <c r="AJ17" i="59"/>
  <c r="AF4" i="59"/>
  <c r="AR4" i="59" s="1"/>
  <c r="BI4" i="59" s="1"/>
  <c r="BX4" i="59" s="1"/>
  <c r="M4" i="59"/>
  <c r="F34" i="57"/>
  <c r="F30" i="57"/>
  <c r="F25" i="57" s="1"/>
  <c r="F23" i="57"/>
  <c r="F15" i="57"/>
  <c r="BW14" i="57"/>
  <c r="BW15" i="57" s="1"/>
  <c r="BW16" i="57" s="1"/>
  <c r="BW17" i="57" s="1"/>
  <c r="BW18" i="57" s="1"/>
  <c r="BW19" i="57" s="1"/>
  <c r="BW20" i="57" s="1"/>
  <c r="BW21" i="57" s="1"/>
  <c r="BW22" i="57" s="1"/>
  <c r="BW23" i="57" s="1"/>
  <c r="BW24" i="57" s="1"/>
  <c r="BW25" i="57" s="1"/>
  <c r="BW26" i="57" s="1"/>
  <c r="BW27" i="57" s="1"/>
  <c r="BW28" i="57" s="1"/>
  <c r="BW29" i="57" s="1"/>
  <c r="BW30" i="57" s="1"/>
  <c r="BW31" i="57" s="1"/>
  <c r="BW32" i="57" s="1"/>
  <c r="BW33" i="57" s="1"/>
  <c r="BW34" i="57" s="1"/>
  <c r="BW35" i="57" s="1"/>
  <c r="BW36" i="57" s="1"/>
  <c r="CD34" i="57"/>
  <c r="CC34" i="57"/>
  <c r="CE34" i="57" s="1"/>
  <c r="BR34" i="57"/>
  <c r="BD34" i="57"/>
  <c r="AK34" i="57"/>
  <c r="AJ34" i="57"/>
  <c r="AL34" i="57" s="1"/>
  <c r="CD33" i="57"/>
  <c r="CC33" i="57"/>
  <c r="BR33" i="57"/>
  <c r="BD33" i="57"/>
  <c r="AK33" i="57"/>
  <c r="AJ33" i="57"/>
  <c r="CD32" i="57"/>
  <c r="CC32" i="57"/>
  <c r="CE32" i="57" s="1"/>
  <c r="BR32" i="57"/>
  <c r="BD32" i="57"/>
  <c r="AK32" i="57"/>
  <c r="AJ32" i="57"/>
  <c r="AL32" i="57" s="1"/>
  <c r="CD31" i="57"/>
  <c r="CC31" i="57"/>
  <c r="BR31" i="57"/>
  <c r="BD31" i="57"/>
  <c r="AK31" i="57"/>
  <c r="AJ31" i="57"/>
  <c r="CD30" i="57"/>
  <c r="CC30" i="57"/>
  <c r="CE30" i="57" s="1"/>
  <c r="BR30" i="57"/>
  <c r="BD30" i="57"/>
  <c r="AK30" i="57"/>
  <c r="AJ30" i="57"/>
  <c r="AL30" i="57" s="1"/>
  <c r="CD29" i="57"/>
  <c r="CC29" i="57"/>
  <c r="BR29" i="57"/>
  <c r="BD29" i="57"/>
  <c r="AK29" i="57"/>
  <c r="AJ29" i="57"/>
  <c r="CD28" i="57"/>
  <c r="CC28" i="57"/>
  <c r="CE28" i="57" s="1"/>
  <c r="BR28" i="57"/>
  <c r="BD28" i="57"/>
  <c r="AK28" i="57"/>
  <c r="AJ28" i="57"/>
  <c r="AL28" i="57" s="1"/>
  <c r="CD27" i="57"/>
  <c r="CC27" i="57"/>
  <c r="BR27" i="57"/>
  <c r="BD27" i="57"/>
  <c r="AK27" i="57"/>
  <c r="AJ27" i="57"/>
  <c r="CD26" i="57"/>
  <c r="CC26" i="57"/>
  <c r="CE26" i="57" s="1"/>
  <c r="BR26" i="57"/>
  <c r="BD26" i="57"/>
  <c r="AK26" i="57"/>
  <c r="AJ26" i="57"/>
  <c r="AL26" i="57" s="1"/>
  <c r="CD25" i="57"/>
  <c r="CC25" i="57"/>
  <c r="BR25" i="57"/>
  <c r="BD25" i="57"/>
  <c r="AK25" i="57"/>
  <c r="AJ25" i="57"/>
  <c r="CD24" i="57"/>
  <c r="CC24" i="57"/>
  <c r="CE24" i="57" s="1"/>
  <c r="BR24" i="57"/>
  <c r="BD24" i="57"/>
  <c r="AK24" i="57"/>
  <c r="AJ24" i="57"/>
  <c r="AL24" i="57" s="1"/>
  <c r="CD23" i="57"/>
  <c r="CC23" i="57"/>
  <c r="BR23" i="57"/>
  <c r="BD23" i="57"/>
  <c r="AK23" i="57"/>
  <c r="AJ23" i="57"/>
  <c r="CD22" i="57"/>
  <c r="CC22" i="57"/>
  <c r="CE22" i="57" s="1"/>
  <c r="BR22" i="57"/>
  <c r="BD22" i="57"/>
  <c r="AK22" i="57"/>
  <c r="AJ22" i="57"/>
  <c r="AL22" i="57" s="1"/>
  <c r="CD21" i="57"/>
  <c r="CC21" i="57"/>
  <c r="BR21" i="57"/>
  <c r="BD21" i="57"/>
  <c r="AK21" i="57"/>
  <c r="AJ21" i="57"/>
  <c r="CD20" i="57"/>
  <c r="CC20" i="57"/>
  <c r="CE20" i="57" s="1"/>
  <c r="BR20" i="57"/>
  <c r="BD20" i="57"/>
  <c r="AK20" i="57"/>
  <c r="AJ20" i="57"/>
  <c r="AL20" i="57" s="1"/>
  <c r="CD19" i="57"/>
  <c r="CC19" i="57"/>
  <c r="BR19" i="57"/>
  <c r="BD19" i="57"/>
  <c r="AK19" i="57"/>
  <c r="AJ19" i="57"/>
  <c r="CD18" i="57"/>
  <c r="CC18" i="57"/>
  <c r="CE18" i="57" s="1"/>
  <c r="BR18" i="57"/>
  <c r="BD18" i="57"/>
  <c r="AK18" i="57"/>
  <c r="AJ18" i="57"/>
  <c r="AL18" i="57" s="1"/>
  <c r="CD17" i="57"/>
  <c r="CC17" i="57"/>
  <c r="BR17" i="57"/>
  <c r="BD17" i="57"/>
  <c r="AK17" i="57"/>
  <c r="AJ17" i="57"/>
  <c r="BH14" i="57"/>
  <c r="AE14" i="57"/>
  <c r="AE15" i="57" s="1"/>
  <c r="AE16" i="57" s="1"/>
  <c r="AE17" i="57" s="1"/>
  <c r="AE18" i="57" s="1"/>
  <c r="AE19" i="57" s="1"/>
  <c r="AE20" i="57" s="1"/>
  <c r="AE21" i="57" s="1"/>
  <c r="AE22" i="57" s="1"/>
  <c r="AE23" i="57" s="1"/>
  <c r="AE24" i="57" s="1"/>
  <c r="AE25" i="57" s="1"/>
  <c r="AE26" i="57" s="1"/>
  <c r="AE27" i="57" s="1"/>
  <c r="AE28" i="57" s="1"/>
  <c r="AE29" i="57" s="1"/>
  <c r="AE30" i="57" s="1"/>
  <c r="AE31" i="57" s="1"/>
  <c r="AE32" i="57" s="1"/>
  <c r="AE33" i="57" s="1"/>
  <c r="AE34" i="57" s="1"/>
  <c r="AE35" i="57" s="1"/>
  <c r="AE36" i="57" s="1"/>
  <c r="BX5" i="57"/>
  <c r="BI5" i="57"/>
  <c r="AR5" i="57"/>
  <c r="AF5" i="57"/>
  <c r="M5" i="57"/>
  <c r="AF4" i="57"/>
  <c r="AR4" i="57" s="1"/>
  <c r="BI4" i="57" s="1"/>
  <c r="BX4" i="57" s="1"/>
  <c r="M4" i="57"/>
  <c r="B42" i="12"/>
  <c r="B43" i="12"/>
  <c r="B41" i="12"/>
  <c r="B38" i="12"/>
  <c r="B39" i="12"/>
  <c r="B37" i="12"/>
  <c r="B34" i="12"/>
  <c r="B35" i="12"/>
  <c r="B33" i="12"/>
  <c r="B47" i="12"/>
  <c r="B48" i="12"/>
  <c r="B49" i="12"/>
  <c r="B50" i="12"/>
  <c r="B46" i="12"/>
  <c r="B24" i="12"/>
  <c r="B26" i="12"/>
  <c r="B27" i="12"/>
  <c r="B23" i="12"/>
  <c r="BR14" i="57" l="1"/>
  <c r="AL33" i="60"/>
  <c r="CE33" i="60"/>
  <c r="AL17" i="63"/>
  <c r="CE17" i="63"/>
  <c r="AL19" i="63"/>
  <c r="CE19" i="63"/>
  <c r="AL21" i="63"/>
  <c r="CE21" i="63"/>
  <c r="AL23" i="63"/>
  <c r="CE23" i="63"/>
  <c r="AL25" i="63"/>
  <c r="CE25" i="63"/>
  <c r="AL27" i="63"/>
  <c r="CE27" i="63"/>
  <c r="AL29" i="63"/>
  <c r="CE29" i="63"/>
  <c r="AL31" i="63"/>
  <c r="CE31" i="63"/>
  <c r="AL33" i="63"/>
  <c r="CE33" i="63"/>
  <c r="CE22" i="60"/>
  <c r="CE25" i="60"/>
  <c r="AL28" i="60"/>
  <c r="CE28" i="60"/>
  <c r="AL31" i="60"/>
  <c r="CE31" i="60"/>
  <c r="AL34" i="60"/>
  <c r="CE34" i="60"/>
  <c r="BW14" i="60"/>
  <c r="BW15" i="60" s="1"/>
  <c r="BW16" i="60" s="1"/>
  <c r="BW17" i="60" s="1"/>
  <c r="BW18" i="60" s="1"/>
  <c r="BW19" i="60" s="1"/>
  <c r="BW20" i="60" s="1"/>
  <c r="BW21" i="60" s="1"/>
  <c r="BW22" i="60" s="1"/>
  <c r="BW23" i="60" s="1"/>
  <c r="BW24" i="60" s="1"/>
  <c r="BW25" i="60" s="1"/>
  <c r="BW26" i="60" s="1"/>
  <c r="BW27" i="60" s="1"/>
  <c r="BW28" i="60" s="1"/>
  <c r="BW29" i="60" s="1"/>
  <c r="BW30" i="60" s="1"/>
  <c r="BW31" i="60" s="1"/>
  <c r="BW32" i="60" s="1"/>
  <c r="BW33" i="60" s="1"/>
  <c r="BW34" i="60" s="1"/>
  <c r="BW35" i="60" s="1"/>
  <c r="BW36" i="60" s="1"/>
  <c r="AL18" i="60"/>
  <c r="CE18" i="60"/>
  <c r="AL21" i="60"/>
  <c r="AL17" i="57"/>
  <c r="CE17" i="57"/>
  <c r="AL19" i="57"/>
  <c r="CE19" i="57"/>
  <c r="AL21" i="57"/>
  <c r="CE21" i="57"/>
  <c r="AL23" i="57"/>
  <c r="CE23" i="57"/>
  <c r="AL25" i="57"/>
  <c r="CE25" i="57"/>
  <c r="AL27" i="57"/>
  <c r="CE27" i="57"/>
  <c r="AL29" i="57"/>
  <c r="CE29" i="57"/>
  <c r="AL18" i="59"/>
  <c r="CE18" i="59"/>
  <c r="AL20" i="59"/>
  <c r="CE20" i="59"/>
  <c r="AL22" i="59"/>
  <c r="CE22" i="59"/>
  <c r="AL24" i="59"/>
  <c r="CE24" i="59"/>
  <c r="AL26" i="59"/>
  <c r="CE26" i="59"/>
  <c r="AL28" i="59"/>
  <c r="CE28" i="59"/>
  <c r="AL30" i="59"/>
  <c r="CE30" i="59"/>
  <c r="AL32" i="59"/>
  <c r="CE32" i="59"/>
  <c r="AL34" i="59"/>
  <c r="CE34" i="59"/>
  <c r="Z14" i="59"/>
  <c r="BC14" i="59" s="1"/>
  <c r="CD14" i="59" s="1"/>
  <c r="AF5" i="59"/>
  <c r="BI5" i="60"/>
  <c r="BI5" i="59"/>
  <c r="CE21" i="60"/>
  <c r="AL32" i="60"/>
  <c r="CE32" i="60"/>
  <c r="AL31" i="57"/>
  <c r="CE31" i="57"/>
  <c r="AL33" i="57"/>
  <c r="CE33" i="57"/>
  <c r="AL17" i="59"/>
  <c r="CE17" i="59"/>
  <c r="AL19" i="59"/>
  <c r="CE19" i="59"/>
  <c r="AL21" i="59"/>
  <c r="CE21" i="59"/>
  <c r="AL23" i="59"/>
  <c r="CE23" i="59"/>
  <c r="AL25" i="59"/>
  <c r="CE25" i="59"/>
  <c r="AL27" i="59"/>
  <c r="CE27" i="59"/>
  <c r="AL29" i="59"/>
  <c r="CE29" i="59"/>
  <c r="AL31" i="59"/>
  <c r="CE31" i="59"/>
  <c r="AL33" i="59"/>
  <c r="CE33" i="59"/>
  <c r="AL17" i="60"/>
  <c r="CE17" i="60"/>
  <c r="AL20" i="60"/>
  <c r="CE20" i="60"/>
  <c r="AL23" i="60"/>
  <c r="CE23" i="60"/>
  <c r="AL26" i="60"/>
  <c r="CE26" i="60"/>
  <c r="AL29" i="60"/>
  <c r="CE29" i="60"/>
  <c r="BR14" i="59"/>
  <c r="L14" i="57"/>
  <c r="L15" i="57" s="1"/>
  <c r="L16" i="57" s="1"/>
  <c r="AQ14" i="57"/>
  <c r="L14" i="59"/>
  <c r="L15" i="59" s="1"/>
  <c r="L16" i="59" s="1"/>
  <c r="AF5" i="60"/>
  <c r="BR15" i="60"/>
  <c r="AE14" i="59"/>
  <c r="AE15" i="59" s="1"/>
  <c r="AE16" i="59" s="1"/>
  <c r="AE17" i="59" s="1"/>
  <c r="AE18" i="59" s="1"/>
  <c r="AE19" i="59" s="1"/>
  <c r="AE20" i="59" s="1"/>
  <c r="AE21" i="59" s="1"/>
  <c r="AE22" i="59" s="1"/>
  <c r="AE23" i="59" s="1"/>
  <c r="AE24" i="59" s="1"/>
  <c r="AE25" i="59" s="1"/>
  <c r="AE26" i="59" s="1"/>
  <c r="AE27" i="59" s="1"/>
  <c r="AE28" i="59" s="1"/>
  <c r="AE29" i="59" s="1"/>
  <c r="AE30" i="59" s="1"/>
  <c r="AE31" i="59" s="1"/>
  <c r="AE32" i="59" s="1"/>
  <c r="AE33" i="59" s="1"/>
  <c r="AE34" i="59" s="1"/>
  <c r="AE35" i="59" s="1"/>
  <c r="AE36" i="59" s="1"/>
  <c r="BH14" i="60"/>
  <c r="BH15" i="60" s="1"/>
  <c r="BH16" i="60" s="1"/>
  <c r="J14" i="57"/>
  <c r="AV14" i="63"/>
  <c r="M5" i="59"/>
  <c r="AR5" i="59"/>
  <c r="L15" i="60"/>
  <c r="L16" i="60" s="1"/>
  <c r="AQ14" i="60"/>
  <c r="AQ15" i="60" s="1"/>
  <c r="AQ16" i="60" s="1"/>
  <c r="J14" i="60"/>
  <c r="AV14" i="60" s="1"/>
  <c r="BR14" i="63"/>
  <c r="BR39" i="63" s="1"/>
  <c r="J14" i="59"/>
  <c r="P14" i="59" s="1"/>
  <c r="AQ14" i="59"/>
  <c r="AQ15" i="59" s="1"/>
  <c r="AQ16" i="59" s="1"/>
  <c r="AQ17" i="59" s="1"/>
  <c r="BH14" i="59"/>
  <c r="BH15" i="59" s="1"/>
  <c r="BH16" i="59" s="1"/>
  <c r="M5" i="60"/>
  <c r="AR5" i="60"/>
  <c r="BR14" i="60"/>
  <c r="Z16" i="63"/>
  <c r="AK16" i="63" s="1"/>
  <c r="BI14" i="60"/>
  <c r="BR16" i="63"/>
  <c r="L16" i="63"/>
  <c r="N14" i="63"/>
  <c r="P14" i="63"/>
  <c r="T14" i="63"/>
  <c r="AT14" i="63"/>
  <c r="AU14" i="63" s="1"/>
  <c r="BZ14" i="63" s="1"/>
  <c r="BK14" i="63"/>
  <c r="BM14" i="63"/>
  <c r="BN14" i="63" s="1"/>
  <c r="J15" i="63"/>
  <c r="W15" i="63" s="1"/>
  <c r="AQ16" i="63"/>
  <c r="BH16" i="63"/>
  <c r="BR15" i="63"/>
  <c r="W14" i="63"/>
  <c r="Z15" i="59"/>
  <c r="BR15" i="59"/>
  <c r="BR16" i="57"/>
  <c r="BR15" i="57"/>
  <c r="BH15" i="57"/>
  <c r="BR39" i="60" l="1"/>
  <c r="BR38" i="60"/>
  <c r="BR39" i="59"/>
  <c r="BR38" i="59"/>
  <c r="AQ15" i="57"/>
  <c r="W14" i="57"/>
  <c r="AT14" i="57"/>
  <c r="AU14" i="57" s="1"/>
  <c r="BZ14" i="57" s="1"/>
  <c r="AV14" i="57"/>
  <c r="BR39" i="57"/>
  <c r="BR38" i="57"/>
  <c r="BR38" i="63"/>
  <c r="P14" i="57"/>
  <c r="N14" i="57"/>
  <c r="M14" i="59"/>
  <c r="M16" i="59"/>
  <c r="S16" i="59" s="1"/>
  <c r="W14" i="60"/>
  <c r="BR16" i="59"/>
  <c r="BK14" i="57"/>
  <c r="M14" i="57"/>
  <c r="BK14" i="60"/>
  <c r="BI15" i="63"/>
  <c r="BI16" i="57"/>
  <c r="BI14" i="59"/>
  <c r="BI16" i="63"/>
  <c r="BI14" i="63"/>
  <c r="Z16" i="60"/>
  <c r="AK16" i="60" s="1"/>
  <c r="Z15" i="60"/>
  <c r="AK15" i="60" s="1"/>
  <c r="Z16" i="57"/>
  <c r="BC16" i="57" s="1"/>
  <c r="BI15" i="57"/>
  <c r="Z15" i="57"/>
  <c r="BC15" i="57" s="1"/>
  <c r="J15" i="57"/>
  <c r="P15" i="57" s="1"/>
  <c r="L17" i="59"/>
  <c r="M17" i="59" s="1"/>
  <c r="BM14" i="57"/>
  <c r="BN14" i="57" s="1"/>
  <c r="M15" i="59"/>
  <c r="BJ15" i="59" s="1"/>
  <c r="BM14" i="60"/>
  <c r="BN14" i="60" s="1"/>
  <c r="T14" i="59"/>
  <c r="BM14" i="59"/>
  <c r="BN14" i="59" s="1"/>
  <c r="W14" i="59"/>
  <c r="BI15" i="60"/>
  <c r="Z14" i="57"/>
  <c r="BC14" i="57" s="1"/>
  <c r="CD14" i="57" s="1"/>
  <c r="Z14" i="60"/>
  <c r="BC14" i="60" s="1"/>
  <c r="CD14" i="60" s="1"/>
  <c r="Z14" i="63"/>
  <c r="AK14" i="63" s="1"/>
  <c r="BI14" i="57"/>
  <c r="T14" i="57"/>
  <c r="AK14" i="59"/>
  <c r="J15" i="60"/>
  <c r="BK15" i="60" s="1"/>
  <c r="P14" i="60"/>
  <c r="BK14" i="59"/>
  <c r="J15" i="59"/>
  <c r="W15" i="59" s="1"/>
  <c r="BI16" i="60"/>
  <c r="AT14" i="60"/>
  <c r="AU14" i="60" s="1"/>
  <c r="BZ14" i="60" s="1"/>
  <c r="T14" i="60"/>
  <c r="N14" i="60"/>
  <c r="Z15" i="63"/>
  <c r="AK15" i="63" s="1"/>
  <c r="AV14" i="59"/>
  <c r="N14" i="59"/>
  <c r="AT14" i="59"/>
  <c r="AU14" i="59" s="1"/>
  <c r="BZ14" i="59" s="1"/>
  <c r="AK15" i="59"/>
  <c r="BC15" i="59"/>
  <c r="CD15" i="59" s="1"/>
  <c r="BM15" i="63"/>
  <c r="BN15" i="63" s="1"/>
  <c r="Z16" i="59"/>
  <c r="AK16" i="59" s="1"/>
  <c r="BI15" i="59"/>
  <c r="BI16" i="59"/>
  <c r="J16" i="63"/>
  <c r="AV15" i="63"/>
  <c r="AT15" i="63"/>
  <c r="AU15" i="63" s="1"/>
  <c r="BZ15" i="63" s="1"/>
  <c r="T15" i="63"/>
  <c r="P15" i="63"/>
  <c r="N15" i="63"/>
  <c r="BK15" i="63"/>
  <c r="BH17" i="63"/>
  <c r="AQ17" i="63"/>
  <c r="L17" i="63"/>
  <c r="BC16" i="63"/>
  <c r="CD16" i="63" s="1"/>
  <c r="BR16" i="60"/>
  <c r="BH17" i="60"/>
  <c r="AQ17" i="60"/>
  <c r="L17" i="60"/>
  <c r="AQ18" i="59"/>
  <c r="BH17" i="59"/>
  <c r="AQ16" i="57"/>
  <c r="M16" i="57"/>
  <c r="L17" i="57"/>
  <c r="BH16" i="57"/>
  <c r="M15" i="57"/>
  <c r="S15" i="57" s="1"/>
  <c r="AW14" i="57" l="1"/>
  <c r="BC16" i="60"/>
  <c r="CD16" i="60" s="1"/>
  <c r="O14" i="57"/>
  <c r="BJ16" i="59"/>
  <c r="AV15" i="57"/>
  <c r="AW15" i="57" s="1"/>
  <c r="W15" i="57"/>
  <c r="X15" i="57" s="1"/>
  <c r="T15" i="57"/>
  <c r="U15" i="57" s="1"/>
  <c r="AT15" i="57"/>
  <c r="AU15" i="57" s="1"/>
  <c r="BZ15" i="57" s="1"/>
  <c r="BM15" i="57"/>
  <c r="BN15" i="57" s="1"/>
  <c r="J16" i="57"/>
  <c r="AT16" i="57" s="1"/>
  <c r="AU16" i="57" s="1"/>
  <c r="X15" i="59"/>
  <c r="BK15" i="57"/>
  <c r="N15" i="57"/>
  <c r="O15" i="57" s="1"/>
  <c r="AT15" i="60"/>
  <c r="AU15" i="60" s="1"/>
  <c r="BZ15" i="60" s="1"/>
  <c r="BC16" i="59"/>
  <c r="L18" i="59"/>
  <c r="L19" i="59" s="1"/>
  <c r="X14" i="59"/>
  <c r="AK16" i="57"/>
  <c r="Q14" i="57"/>
  <c r="BC15" i="63"/>
  <c r="CD15" i="63" s="1"/>
  <c r="BC15" i="60"/>
  <c r="CD15" i="60" s="1"/>
  <c r="BC14" i="63"/>
  <c r="CD14" i="63" s="1"/>
  <c r="AK14" i="57"/>
  <c r="S15" i="59"/>
  <c r="S14" i="59"/>
  <c r="U14" i="59" s="1"/>
  <c r="AG14" i="59" s="1"/>
  <c r="AK15" i="57"/>
  <c r="AV15" i="59"/>
  <c r="AW15" i="59" s="1"/>
  <c r="AW14" i="59"/>
  <c r="BM15" i="60"/>
  <c r="BN15" i="60" s="1"/>
  <c r="T15" i="59"/>
  <c r="N15" i="59"/>
  <c r="O15" i="59" s="1"/>
  <c r="AK14" i="60"/>
  <c r="X14" i="57"/>
  <c r="BJ14" i="59"/>
  <c r="CD16" i="59"/>
  <c r="N15" i="60"/>
  <c r="O14" i="59"/>
  <c r="P15" i="60"/>
  <c r="J16" i="60"/>
  <c r="AV15" i="60"/>
  <c r="Q14" i="59"/>
  <c r="T15" i="60"/>
  <c r="W15" i="60"/>
  <c r="BJ14" i="57"/>
  <c r="S14" i="57"/>
  <c r="U14" i="57" s="1"/>
  <c r="BK15" i="59"/>
  <c r="BL15" i="59" s="1"/>
  <c r="P15" i="59"/>
  <c r="Q15" i="59" s="1"/>
  <c r="AT15" i="59"/>
  <c r="AU15" i="59" s="1"/>
  <c r="BZ15" i="59" s="1"/>
  <c r="J16" i="59"/>
  <c r="BM15" i="59"/>
  <c r="BN15" i="59" s="1"/>
  <c r="CD15" i="57"/>
  <c r="CD16" i="57"/>
  <c r="AQ18" i="63"/>
  <c r="BH18" i="63"/>
  <c r="L18" i="63"/>
  <c r="J17" i="63"/>
  <c r="AV16" i="63"/>
  <c r="AT16" i="63"/>
  <c r="AU16" i="63" s="1"/>
  <c r="BZ16" i="63" s="1"/>
  <c r="T16" i="63"/>
  <c r="P16" i="63"/>
  <c r="N16" i="63"/>
  <c r="BK16" i="63"/>
  <c r="W16" i="63"/>
  <c r="BM16" i="63"/>
  <c r="BN16" i="63" s="1"/>
  <c r="AQ18" i="60"/>
  <c r="BH18" i="60"/>
  <c r="L18" i="60"/>
  <c r="BH18" i="59"/>
  <c r="BJ17" i="59"/>
  <c r="S17" i="59"/>
  <c r="AQ19" i="59"/>
  <c r="L18" i="57"/>
  <c r="M17" i="57"/>
  <c r="BJ15" i="57"/>
  <c r="Q15" i="57"/>
  <c r="BH17" i="57"/>
  <c r="BJ16" i="57"/>
  <c r="S16" i="57"/>
  <c r="AQ17" i="57"/>
  <c r="R14" i="57" l="1"/>
  <c r="BX14" i="57" s="1"/>
  <c r="N16" i="57"/>
  <c r="O16" i="57" s="1"/>
  <c r="BY14" i="59"/>
  <c r="BL15" i="57"/>
  <c r="M18" i="59"/>
  <c r="AV16" i="57"/>
  <c r="AW16" i="57" s="1"/>
  <c r="R15" i="57"/>
  <c r="V15" i="57" s="1"/>
  <c r="N16" i="60"/>
  <c r="AT16" i="60"/>
  <c r="AU16" i="60" s="1"/>
  <c r="BZ16" i="60" s="1"/>
  <c r="P16" i="60"/>
  <c r="T16" i="60"/>
  <c r="W16" i="60"/>
  <c r="P16" i="57"/>
  <c r="Q16" i="57" s="1"/>
  <c r="BK16" i="57"/>
  <c r="BL16" i="57" s="1"/>
  <c r="T16" i="57"/>
  <c r="U16" i="57" s="1"/>
  <c r="AG16" i="57" s="1"/>
  <c r="J17" i="57"/>
  <c r="J18" i="57" s="1"/>
  <c r="W16" i="59"/>
  <c r="X16" i="59" s="1"/>
  <c r="BK16" i="59"/>
  <c r="BL16" i="59" s="1"/>
  <c r="AT16" i="59"/>
  <c r="AU16" i="59" s="1"/>
  <c r="BZ16" i="59" s="1"/>
  <c r="BM16" i="59"/>
  <c r="BN16" i="59" s="1"/>
  <c r="T16" i="59"/>
  <c r="U16" i="59" s="1"/>
  <c r="BY16" i="59" s="1"/>
  <c r="AV16" i="59"/>
  <c r="AW16" i="59" s="1"/>
  <c r="W16" i="57"/>
  <c r="X16" i="57" s="1"/>
  <c r="BM16" i="57"/>
  <c r="BN16" i="57" s="1"/>
  <c r="BL14" i="59"/>
  <c r="BP14" i="59" s="1"/>
  <c r="BL14" i="57"/>
  <c r="BP14" i="57" s="1"/>
  <c r="N16" i="59"/>
  <c r="O16" i="59" s="1"/>
  <c r="U15" i="59"/>
  <c r="BY15" i="59" s="1"/>
  <c r="R15" i="59"/>
  <c r="AF15" i="59" s="1"/>
  <c r="AR15" i="59" s="1"/>
  <c r="P16" i="59"/>
  <c r="Q16" i="59" s="1"/>
  <c r="BP15" i="59"/>
  <c r="BT15" i="59" s="1"/>
  <c r="R14" i="59"/>
  <c r="V14" i="59" s="1"/>
  <c r="BM16" i="60"/>
  <c r="BN16" i="60" s="1"/>
  <c r="AV16" i="60"/>
  <c r="J17" i="60"/>
  <c r="N17" i="60" s="1"/>
  <c r="J17" i="59"/>
  <c r="AT17" i="59" s="1"/>
  <c r="AU17" i="59" s="1"/>
  <c r="BZ17" i="59" s="1"/>
  <c r="BK16" i="60"/>
  <c r="AG14" i="57"/>
  <c r="AS14" i="57" s="1"/>
  <c r="BY14" i="57"/>
  <c r="AG15" i="57"/>
  <c r="BZ16" i="57"/>
  <c r="J18" i="63"/>
  <c r="AV17" i="63"/>
  <c r="AT17" i="63"/>
  <c r="AU17" i="63" s="1"/>
  <c r="BZ17" i="63" s="1"/>
  <c r="T17" i="63"/>
  <c r="P17" i="63"/>
  <c r="BK17" i="63"/>
  <c r="BM17" i="63"/>
  <c r="BN17" i="63" s="1"/>
  <c r="W17" i="63"/>
  <c r="N17" i="63"/>
  <c r="BH19" i="63"/>
  <c r="L19" i="63"/>
  <c r="AQ19" i="63"/>
  <c r="L19" i="60"/>
  <c r="BH19" i="60"/>
  <c r="AQ19" i="60"/>
  <c r="L20" i="59"/>
  <c r="M19" i="59"/>
  <c r="AQ20" i="59"/>
  <c r="AS14" i="59"/>
  <c r="BH19" i="59"/>
  <c r="AQ18" i="57"/>
  <c r="T17" i="57"/>
  <c r="BH18" i="57"/>
  <c r="S17" i="57"/>
  <c r="BJ17" i="57"/>
  <c r="L19" i="57"/>
  <c r="M18" i="57"/>
  <c r="W17" i="57" l="1"/>
  <c r="X17" i="57" s="1"/>
  <c r="CA14" i="57"/>
  <c r="AF14" i="57"/>
  <c r="AR14" i="57" s="1"/>
  <c r="N17" i="57"/>
  <c r="O17" i="57" s="1"/>
  <c r="AT17" i="57"/>
  <c r="AU17" i="57" s="1"/>
  <c r="BZ17" i="57" s="1"/>
  <c r="BK17" i="57"/>
  <c r="BL17" i="57" s="1"/>
  <c r="AV17" i="57"/>
  <c r="AW17" i="57" s="1"/>
  <c r="BT14" i="59"/>
  <c r="BJ18" i="59"/>
  <c r="BM17" i="57"/>
  <c r="BN17" i="57" s="1"/>
  <c r="P17" i="57"/>
  <c r="Q17" i="57" s="1"/>
  <c r="V14" i="57"/>
  <c r="R16" i="57"/>
  <c r="V16" i="57" s="1"/>
  <c r="S18" i="59"/>
  <c r="BP16" i="59"/>
  <c r="BT16" i="59" s="1"/>
  <c r="T17" i="59"/>
  <c r="U17" i="59" s="1"/>
  <c r="AG17" i="59" s="1"/>
  <c r="N17" i="59"/>
  <c r="O17" i="59" s="1"/>
  <c r="BP16" i="57"/>
  <c r="BT16" i="57" s="1"/>
  <c r="S19" i="59"/>
  <c r="R16" i="59"/>
  <c r="AF16" i="59" s="1"/>
  <c r="AR16" i="59" s="1"/>
  <c r="J18" i="60"/>
  <c r="AT17" i="60"/>
  <c r="AU17" i="60" s="1"/>
  <c r="BZ17" i="60" s="1"/>
  <c r="BT14" i="57"/>
  <c r="AG15" i="59"/>
  <c r="AS15" i="59" s="1"/>
  <c r="AZ15" i="59" s="1"/>
  <c r="BY16" i="57"/>
  <c r="BX14" i="59"/>
  <c r="CA14" i="59" s="1"/>
  <c r="AG16" i="59"/>
  <c r="AS16" i="59" s="1"/>
  <c r="AF14" i="59"/>
  <c r="AR14" i="59" s="1"/>
  <c r="AZ14" i="59" s="1"/>
  <c r="BX15" i="59"/>
  <c r="CA15" i="59" s="1"/>
  <c r="T17" i="60"/>
  <c r="W17" i="59"/>
  <c r="X17" i="59" s="1"/>
  <c r="AA17" i="59" s="1"/>
  <c r="V15" i="59"/>
  <c r="BM17" i="60"/>
  <c r="BN17" i="60" s="1"/>
  <c r="BK17" i="59"/>
  <c r="BL17" i="59" s="1"/>
  <c r="P17" i="59"/>
  <c r="Q17" i="59" s="1"/>
  <c r="J18" i="59"/>
  <c r="AV18" i="59" s="1"/>
  <c r="AW18" i="59" s="1"/>
  <c r="W17" i="60"/>
  <c r="AV17" i="60"/>
  <c r="AV17" i="59"/>
  <c r="AW17" i="59" s="1"/>
  <c r="BM17" i="59"/>
  <c r="BN17" i="59" s="1"/>
  <c r="BK17" i="60"/>
  <c r="P17" i="60"/>
  <c r="BY15" i="57"/>
  <c r="AZ14" i="57"/>
  <c r="BP15" i="57"/>
  <c r="BT15" i="57" s="1"/>
  <c r="U17" i="57"/>
  <c r="BY17" i="57" s="1"/>
  <c r="AA17" i="57"/>
  <c r="AQ20" i="63"/>
  <c r="BH20" i="63"/>
  <c r="AV18" i="63"/>
  <c r="AT18" i="63"/>
  <c r="AU18" i="63" s="1"/>
  <c r="BZ18" i="63" s="1"/>
  <c r="T18" i="63"/>
  <c r="P18" i="63"/>
  <c r="J19" i="63"/>
  <c r="BM18" i="63"/>
  <c r="BN18" i="63" s="1"/>
  <c r="BK18" i="63"/>
  <c r="W18" i="63"/>
  <c r="N18" i="63"/>
  <c r="L20" i="63"/>
  <c r="AQ20" i="60"/>
  <c r="BH20" i="60"/>
  <c r="L20" i="60"/>
  <c r="AQ21" i="59"/>
  <c r="L21" i="59"/>
  <c r="M20" i="59"/>
  <c r="BH20" i="59"/>
  <c r="BJ19" i="59"/>
  <c r="AS16" i="57"/>
  <c r="BJ18" i="57"/>
  <c r="S18" i="57"/>
  <c r="BX15" i="57"/>
  <c r="AF15" i="57"/>
  <c r="AR15" i="57" s="1"/>
  <c r="AV18" i="57"/>
  <c r="AW18" i="57" s="1"/>
  <c r="AT18" i="57"/>
  <c r="AU18" i="57" s="1"/>
  <c r="T18" i="57"/>
  <c r="P18" i="57"/>
  <c r="Q18" i="57" s="1"/>
  <c r="J19" i="57"/>
  <c r="W18" i="57"/>
  <c r="X18" i="57" s="1"/>
  <c r="BM18" i="57"/>
  <c r="BN18" i="57" s="1"/>
  <c r="N18" i="57"/>
  <c r="O18" i="57" s="1"/>
  <c r="BK18" i="57"/>
  <c r="AQ19" i="57"/>
  <c r="L20" i="57"/>
  <c r="M19" i="57"/>
  <c r="AS15" i="57"/>
  <c r="BH19" i="57"/>
  <c r="CD34" i="52"/>
  <c r="CC34" i="52"/>
  <c r="BD34" i="52"/>
  <c r="AK34" i="52"/>
  <c r="AJ34" i="52"/>
  <c r="CD33" i="52"/>
  <c r="CC33" i="52"/>
  <c r="BD33" i="52"/>
  <c r="AK33" i="52"/>
  <c r="AJ33" i="52"/>
  <c r="CD32" i="52"/>
  <c r="CC32" i="52"/>
  <c r="BD32" i="52"/>
  <c r="AK32" i="52"/>
  <c r="AJ32" i="52"/>
  <c r="CD31" i="52"/>
  <c r="CC31" i="52"/>
  <c r="BD31" i="52"/>
  <c r="AK31" i="52"/>
  <c r="AJ31" i="52"/>
  <c r="CD30" i="52"/>
  <c r="CC30" i="52"/>
  <c r="BD30" i="52"/>
  <c r="AK30" i="52"/>
  <c r="AJ30" i="52"/>
  <c r="CD29" i="52"/>
  <c r="CC29" i="52"/>
  <c r="BD29" i="52"/>
  <c r="AK29" i="52"/>
  <c r="AJ29" i="52"/>
  <c r="CD28" i="52"/>
  <c r="CC28" i="52"/>
  <c r="BD28" i="52"/>
  <c r="AK28" i="52"/>
  <c r="AJ28" i="52"/>
  <c r="CD27" i="52"/>
  <c r="CC27" i="52"/>
  <c r="BD27" i="52"/>
  <c r="AK27" i="52"/>
  <c r="AJ27" i="52"/>
  <c r="CD26" i="52"/>
  <c r="CC26" i="52"/>
  <c r="BD26" i="52"/>
  <c r="AK26" i="52"/>
  <c r="AJ26" i="52"/>
  <c r="CD25" i="52"/>
  <c r="CC25" i="52"/>
  <c r="BD25" i="52"/>
  <c r="AK25" i="52"/>
  <c r="AJ25" i="52"/>
  <c r="CD24" i="52"/>
  <c r="CC24" i="52"/>
  <c r="BD24" i="52"/>
  <c r="AK24" i="52"/>
  <c r="AJ24" i="52"/>
  <c r="CD23" i="52"/>
  <c r="CC23" i="52"/>
  <c r="BD23" i="52"/>
  <c r="AK23" i="52"/>
  <c r="AJ23" i="52"/>
  <c r="CD22" i="52"/>
  <c r="CC22" i="52"/>
  <c r="BD22" i="52"/>
  <c r="AK22" i="52"/>
  <c r="AJ22" i="52"/>
  <c r="CD21" i="52"/>
  <c r="CC21" i="52"/>
  <c r="BD21" i="52"/>
  <c r="AK21" i="52"/>
  <c r="AJ21" i="52"/>
  <c r="CD20" i="52"/>
  <c r="CC20" i="52"/>
  <c r="BD20" i="52"/>
  <c r="AK20" i="52"/>
  <c r="AJ20" i="52"/>
  <c r="CD19" i="52"/>
  <c r="CC19" i="52"/>
  <c r="BD19" i="52"/>
  <c r="AK19" i="52"/>
  <c r="AJ19" i="52"/>
  <c r="CD18" i="52"/>
  <c r="CC18" i="52"/>
  <c r="BD18" i="52"/>
  <c r="AK18" i="52"/>
  <c r="AJ18" i="52"/>
  <c r="CD17" i="52"/>
  <c r="CC17" i="52"/>
  <c r="BD17" i="52"/>
  <c r="AK17" i="52"/>
  <c r="AJ17" i="52"/>
  <c r="BW14" i="52"/>
  <c r="BW15" i="52" s="1"/>
  <c r="BW16" i="52" s="1"/>
  <c r="BW17" i="52" s="1"/>
  <c r="BW18" i="52" s="1"/>
  <c r="BW19" i="52" s="1"/>
  <c r="BW20" i="52" s="1"/>
  <c r="BW21" i="52" s="1"/>
  <c r="BW22" i="52" s="1"/>
  <c r="BW23" i="52" s="1"/>
  <c r="BW24" i="52" s="1"/>
  <c r="BW25" i="52" s="1"/>
  <c r="BW26" i="52" s="1"/>
  <c r="BW27" i="52" s="1"/>
  <c r="BW28" i="52" s="1"/>
  <c r="BW29" i="52" s="1"/>
  <c r="BW30" i="52" s="1"/>
  <c r="BW31" i="52" s="1"/>
  <c r="BW32" i="52" s="1"/>
  <c r="BW33" i="52" s="1"/>
  <c r="BW34" i="52" s="1"/>
  <c r="BW35" i="52" s="1"/>
  <c r="BW36" i="52" s="1"/>
  <c r="BH14" i="52"/>
  <c r="BH15" i="52" s="1"/>
  <c r="AQ14" i="52"/>
  <c r="AQ15" i="52" s="1"/>
  <c r="AE14" i="52"/>
  <c r="AE15" i="52" s="1"/>
  <c r="AE16" i="52" s="1"/>
  <c r="AE17" i="52" s="1"/>
  <c r="AE18" i="52" s="1"/>
  <c r="AE19" i="52" s="1"/>
  <c r="AE20" i="52" s="1"/>
  <c r="AE21" i="52" s="1"/>
  <c r="AE22" i="52" s="1"/>
  <c r="AE23" i="52" s="1"/>
  <c r="AE24" i="52" s="1"/>
  <c r="AE25" i="52" s="1"/>
  <c r="AE26" i="52" s="1"/>
  <c r="AE27" i="52" s="1"/>
  <c r="AE28" i="52" s="1"/>
  <c r="AE29" i="52" s="1"/>
  <c r="AE30" i="52" s="1"/>
  <c r="AE31" i="52" s="1"/>
  <c r="AE32" i="52" s="1"/>
  <c r="AE33" i="52" s="1"/>
  <c r="AE34" i="52" s="1"/>
  <c r="AE35" i="52" s="1"/>
  <c r="AE36" i="52" s="1"/>
  <c r="L14" i="52"/>
  <c r="L15" i="52" s="1"/>
  <c r="J14" i="52"/>
  <c r="BX5" i="52"/>
  <c r="BI5" i="52"/>
  <c r="AR5" i="52"/>
  <c r="AF5" i="52"/>
  <c r="M5" i="52"/>
  <c r="AF4" i="52"/>
  <c r="AR4" i="52" s="1"/>
  <c r="BI4" i="52" s="1"/>
  <c r="BX4" i="52" s="1"/>
  <c r="M4" i="52"/>
  <c r="BR14" i="51"/>
  <c r="AQ14" i="51"/>
  <c r="AQ15" i="51" s="1"/>
  <c r="CD34" i="51"/>
  <c r="CC34" i="51"/>
  <c r="BR34" i="51"/>
  <c r="BD34" i="51"/>
  <c r="AK34" i="51"/>
  <c r="AJ34" i="51"/>
  <c r="CD33" i="51"/>
  <c r="CC33" i="51"/>
  <c r="BR33" i="51"/>
  <c r="BD33" i="51"/>
  <c r="AK33" i="51"/>
  <c r="AJ33" i="51"/>
  <c r="CD32" i="51"/>
  <c r="CC32" i="51"/>
  <c r="BR32" i="51"/>
  <c r="BD32" i="51"/>
  <c r="AK32" i="51"/>
  <c r="AJ32" i="51"/>
  <c r="CD31" i="51"/>
  <c r="CC31" i="51"/>
  <c r="BR31" i="51"/>
  <c r="BD31" i="51"/>
  <c r="AK31" i="51"/>
  <c r="AJ31" i="51"/>
  <c r="CD30" i="51"/>
  <c r="CC30" i="51"/>
  <c r="BR30" i="51"/>
  <c r="BD30" i="51"/>
  <c r="AK30" i="51"/>
  <c r="AJ30" i="51"/>
  <c r="CD29" i="51"/>
  <c r="CC29" i="51"/>
  <c r="BR29" i="51"/>
  <c r="BD29" i="51"/>
  <c r="AK29" i="51"/>
  <c r="AJ29" i="51"/>
  <c r="CD28" i="51"/>
  <c r="CC28" i="51"/>
  <c r="BR28" i="51"/>
  <c r="BD28" i="51"/>
  <c r="AK28" i="51"/>
  <c r="AJ28" i="51"/>
  <c r="CD27" i="51"/>
  <c r="CC27" i="51"/>
  <c r="BR27" i="51"/>
  <c r="BD27" i="51"/>
  <c r="AK27" i="51"/>
  <c r="AJ27" i="51"/>
  <c r="CD26" i="51"/>
  <c r="CC26" i="51"/>
  <c r="BR26" i="51"/>
  <c r="BD26" i="51"/>
  <c r="AK26" i="51"/>
  <c r="AJ26" i="51"/>
  <c r="CD25" i="51"/>
  <c r="CC25" i="51"/>
  <c r="BR25" i="51"/>
  <c r="BD25" i="51"/>
  <c r="AK25" i="51"/>
  <c r="AJ25" i="51"/>
  <c r="CD24" i="51"/>
  <c r="CC24" i="51"/>
  <c r="BR24" i="51"/>
  <c r="BD24" i="51"/>
  <c r="AK24" i="51"/>
  <c r="AJ24" i="51"/>
  <c r="CD23" i="51"/>
  <c r="CC23" i="51"/>
  <c r="BR23" i="51"/>
  <c r="BD23" i="51"/>
  <c r="AK23" i="51"/>
  <c r="AJ23" i="51"/>
  <c r="CD22" i="51"/>
  <c r="CC22" i="51"/>
  <c r="BR22" i="51"/>
  <c r="BD22" i="51"/>
  <c r="AK22" i="51"/>
  <c r="AJ22" i="51"/>
  <c r="CD21" i="51"/>
  <c r="CC21" i="51"/>
  <c r="BR21" i="51"/>
  <c r="BD21" i="51"/>
  <c r="AK21" i="51"/>
  <c r="AJ21" i="51"/>
  <c r="CD20" i="51"/>
  <c r="CC20" i="51"/>
  <c r="BR20" i="51"/>
  <c r="BD20" i="51"/>
  <c r="AK20" i="51"/>
  <c r="AJ20" i="51"/>
  <c r="CD19" i="51"/>
  <c r="CC19" i="51"/>
  <c r="BR19" i="51"/>
  <c r="BD19" i="51"/>
  <c r="AK19" i="51"/>
  <c r="AJ19" i="51"/>
  <c r="CD18" i="51"/>
  <c r="CC18" i="51"/>
  <c r="BR18" i="51"/>
  <c r="BD18" i="51"/>
  <c r="AK18" i="51"/>
  <c r="AJ18" i="51"/>
  <c r="CD17" i="51"/>
  <c r="CC17" i="51"/>
  <c r="BR17" i="51"/>
  <c r="BD17" i="51"/>
  <c r="AK17" i="51"/>
  <c r="AJ17" i="51"/>
  <c r="BW14" i="51"/>
  <c r="BW15" i="51" s="1"/>
  <c r="BW16" i="51" s="1"/>
  <c r="BW17" i="51" s="1"/>
  <c r="BW18" i="51" s="1"/>
  <c r="BW19" i="51" s="1"/>
  <c r="BW20" i="51" s="1"/>
  <c r="BW21" i="51" s="1"/>
  <c r="BW22" i="51" s="1"/>
  <c r="BW23" i="51" s="1"/>
  <c r="BW24" i="51" s="1"/>
  <c r="BW25" i="51" s="1"/>
  <c r="BW26" i="51" s="1"/>
  <c r="BW27" i="51" s="1"/>
  <c r="BW28" i="51" s="1"/>
  <c r="BW29" i="51" s="1"/>
  <c r="BW30" i="51" s="1"/>
  <c r="BW31" i="51" s="1"/>
  <c r="BW32" i="51" s="1"/>
  <c r="BW33" i="51" s="1"/>
  <c r="BW34" i="51" s="1"/>
  <c r="BW35" i="51" s="1"/>
  <c r="BW36" i="51" s="1"/>
  <c r="BH14" i="51"/>
  <c r="BH15" i="51" s="1"/>
  <c r="L14" i="51"/>
  <c r="L15" i="51" s="1"/>
  <c r="BX5" i="51"/>
  <c r="BI5" i="51"/>
  <c r="AR5" i="51"/>
  <c r="AF5" i="51"/>
  <c r="M5" i="51"/>
  <c r="AF4" i="51"/>
  <c r="AR4" i="51" s="1"/>
  <c r="BI4" i="51" s="1"/>
  <c r="BX4" i="51" s="1"/>
  <c r="M4" i="51"/>
  <c r="F34" i="44"/>
  <c r="F15" i="44"/>
  <c r="F23" i="44"/>
  <c r="CD34" i="44"/>
  <c r="CC34" i="44"/>
  <c r="BR34" i="44"/>
  <c r="BD34" i="44"/>
  <c r="AK34" i="44"/>
  <c r="AJ34" i="44"/>
  <c r="CD33" i="44"/>
  <c r="CC33" i="44"/>
  <c r="BR33" i="44"/>
  <c r="BD33" i="44"/>
  <c r="AK33" i="44"/>
  <c r="AJ33" i="44"/>
  <c r="CD32" i="44"/>
  <c r="CC32" i="44"/>
  <c r="BR32" i="44"/>
  <c r="BD32" i="44"/>
  <c r="AK32" i="44"/>
  <c r="AJ32" i="44"/>
  <c r="CD31" i="44"/>
  <c r="CC31" i="44"/>
  <c r="BR31" i="44"/>
  <c r="BD31" i="44"/>
  <c r="AK31" i="44"/>
  <c r="AJ31" i="44"/>
  <c r="CD30" i="44"/>
  <c r="CC30" i="44"/>
  <c r="BR30" i="44"/>
  <c r="BD30" i="44"/>
  <c r="AK30" i="44"/>
  <c r="AJ30" i="44"/>
  <c r="CD29" i="44"/>
  <c r="CC29" i="44"/>
  <c r="BR29" i="44"/>
  <c r="BD29" i="44"/>
  <c r="AK29" i="44"/>
  <c r="AJ29" i="44"/>
  <c r="CD28" i="44"/>
  <c r="CC28" i="44"/>
  <c r="BR28" i="44"/>
  <c r="BD28" i="44"/>
  <c r="AK28" i="44"/>
  <c r="AJ28" i="44"/>
  <c r="CD27" i="44"/>
  <c r="CC27" i="44"/>
  <c r="BR27" i="44"/>
  <c r="BD27" i="44"/>
  <c r="AK27" i="44"/>
  <c r="AJ27" i="44"/>
  <c r="CD26" i="44"/>
  <c r="CC26" i="44"/>
  <c r="BR26" i="44"/>
  <c r="BD26" i="44"/>
  <c r="AK26" i="44"/>
  <c r="AJ26" i="44"/>
  <c r="CD25" i="44"/>
  <c r="CC25" i="44"/>
  <c r="BR25" i="44"/>
  <c r="BD25" i="44"/>
  <c r="AK25" i="44"/>
  <c r="AJ25" i="44"/>
  <c r="CD24" i="44"/>
  <c r="CC24" i="44"/>
  <c r="BR24" i="44"/>
  <c r="BD24" i="44"/>
  <c r="AK24" i="44"/>
  <c r="AJ24" i="44"/>
  <c r="CD23" i="44"/>
  <c r="CC23" i="44"/>
  <c r="BR23" i="44"/>
  <c r="BD23" i="44"/>
  <c r="AK23" i="44"/>
  <c r="AJ23" i="44"/>
  <c r="CD22" i="44"/>
  <c r="CC22" i="44"/>
  <c r="BR22" i="44"/>
  <c r="BD22" i="44"/>
  <c r="AK22" i="44"/>
  <c r="AJ22" i="44"/>
  <c r="CD21" i="44"/>
  <c r="CC21" i="44"/>
  <c r="BR21" i="44"/>
  <c r="BD21" i="44"/>
  <c r="AK21" i="44"/>
  <c r="AJ21" i="44"/>
  <c r="CD20" i="44"/>
  <c r="CC20" i="44"/>
  <c r="BR20" i="44"/>
  <c r="BD20" i="44"/>
  <c r="AK20" i="44"/>
  <c r="AJ20" i="44"/>
  <c r="CD19" i="44"/>
  <c r="CC19" i="44"/>
  <c r="BR19" i="44"/>
  <c r="BD19" i="44"/>
  <c r="AK19" i="44"/>
  <c r="AJ19" i="44"/>
  <c r="CD18" i="44"/>
  <c r="CC18" i="44"/>
  <c r="BR18" i="44"/>
  <c r="BD18" i="44"/>
  <c r="AK18" i="44"/>
  <c r="AJ18" i="44"/>
  <c r="CD17" i="44"/>
  <c r="CC17" i="44"/>
  <c r="BR17" i="44"/>
  <c r="BD17" i="44"/>
  <c r="AK17" i="44"/>
  <c r="AJ17" i="44"/>
  <c r="BW14" i="44"/>
  <c r="BW15" i="44" s="1"/>
  <c r="BW16" i="44" s="1"/>
  <c r="BW17" i="44" s="1"/>
  <c r="BW18" i="44" s="1"/>
  <c r="BW19" i="44" s="1"/>
  <c r="BW20" i="44" s="1"/>
  <c r="BW21" i="44" s="1"/>
  <c r="BW22" i="44" s="1"/>
  <c r="BW23" i="44" s="1"/>
  <c r="BW24" i="44" s="1"/>
  <c r="BW25" i="44" s="1"/>
  <c r="BW26" i="44" s="1"/>
  <c r="BW27" i="44" s="1"/>
  <c r="BW28" i="44" s="1"/>
  <c r="BW29" i="44" s="1"/>
  <c r="BW30" i="44" s="1"/>
  <c r="BW31" i="44" s="1"/>
  <c r="BW32" i="44" s="1"/>
  <c r="BW33" i="44" s="1"/>
  <c r="BW34" i="44" s="1"/>
  <c r="BW35" i="44" s="1"/>
  <c r="BW36" i="44" s="1"/>
  <c r="BH14" i="44"/>
  <c r="BH15" i="44" s="1"/>
  <c r="AQ14" i="44"/>
  <c r="AQ15" i="44" s="1"/>
  <c r="AE14" i="44"/>
  <c r="AE15" i="44" s="1"/>
  <c r="AE16" i="44" s="1"/>
  <c r="AE17" i="44" s="1"/>
  <c r="AE18" i="44" s="1"/>
  <c r="AE19" i="44" s="1"/>
  <c r="AE20" i="44" s="1"/>
  <c r="AE21" i="44" s="1"/>
  <c r="AE22" i="44" s="1"/>
  <c r="AE23" i="44" s="1"/>
  <c r="AE24" i="44" s="1"/>
  <c r="AE25" i="44" s="1"/>
  <c r="AE26" i="44" s="1"/>
  <c r="AE27" i="44" s="1"/>
  <c r="AE28" i="44" s="1"/>
  <c r="AE29" i="44" s="1"/>
  <c r="AE30" i="44" s="1"/>
  <c r="AE31" i="44" s="1"/>
  <c r="AE32" i="44" s="1"/>
  <c r="AE33" i="44" s="1"/>
  <c r="AE34" i="44" s="1"/>
  <c r="AE35" i="44" s="1"/>
  <c r="AE36" i="44" s="1"/>
  <c r="L14" i="44"/>
  <c r="J14" i="44"/>
  <c r="BX5" i="44"/>
  <c r="BI5" i="44"/>
  <c r="AR5" i="44"/>
  <c r="AF5" i="44"/>
  <c r="M5" i="44"/>
  <c r="AF4" i="44"/>
  <c r="AR4" i="44" s="1"/>
  <c r="BI4" i="44" s="1"/>
  <c r="BX4" i="44" s="1"/>
  <c r="M4" i="44"/>
  <c r="AH14" i="57" l="1"/>
  <c r="W18" i="60"/>
  <c r="AF16" i="57"/>
  <c r="AR16" i="57" s="1"/>
  <c r="R17" i="57"/>
  <c r="BX17" i="57" s="1"/>
  <c r="CA17" i="57" s="1"/>
  <c r="CG17" i="57" s="1"/>
  <c r="N18" i="59"/>
  <c r="O18" i="59" s="1"/>
  <c r="BX16" i="57"/>
  <c r="CA16" i="57" s="1"/>
  <c r="AT18" i="60"/>
  <c r="AU18" i="60" s="1"/>
  <c r="BZ18" i="60" s="1"/>
  <c r="T14" i="44"/>
  <c r="N14" i="44"/>
  <c r="L15" i="44"/>
  <c r="L16" i="44" s="1"/>
  <c r="M14" i="44"/>
  <c r="V16" i="59"/>
  <c r="BX16" i="59"/>
  <c r="CA16" i="59" s="1"/>
  <c r="AV18" i="60"/>
  <c r="BK18" i="60"/>
  <c r="N18" i="60"/>
  <c r="P18" i="60"/>
  <c r="J19" i="60"/>
  <c r="J20" i="60" s="1"/>
  <c r="BM18" i="60"/>
  <c r="BN18" i="60" s="1"/>
  <c r="T18" i="60"/>
  <c r="BY17" i="59"/>
  <c r="AZ16" i="59"/>
  <c r="CA15" i="57"/>
  <c r="T18" i="59"/>
  <c r="U18" i="59" s="1"/>
  <c r="AG18" i="59" s="1"/>
  <c r="BR15" i="51"/>
  <c r="BR39" i="51" s="1"/>
  <c r="AL18" i="44"/>
  <c r="CE18" i="44"/>
  <c r="AL20" i="44"/>
  <c r="CE20" i="44"/>
  <c r="AL22" i="44"/>
  <c r="CE22" i="44"/>
  <c r="AL24" i="44"/>
  <c r="CE24" i="44"/>
  <c r="AL26" i="44"/>
  <c r="CE26" i="44"/>
  <c r="AL28" i="44"/>
  <c r="CE28" i="44"/>
  <c r="AL30" i="44"/>
  <c r="CE30" i="44"/>
  <c r="AL32" i="44"/>
  <c r="CE32" i="44"/>
  <c r="AL34" i="44"/>
  <c r="CE34" i="44"/>
  <c r="AL17" i="51"/>
  <c r="CE17" i="51"/>
  <c r="AZ15" i="57"/>
  <c r="AL23" i="51"/>
  <c r="CE23" i="51"/>
  <c r="AL25" i="51"/>
  <c r="CE25" i="51"/>
  <c r="AL27" i="51"/>
  <c r="CE27" i="51"/>
  <c r="AL29" i="51"/>
  <c r="CE29" i="51"/>
  <c r="AL31" i="51"/>
  <c r="CE31" i="51"/>
  <c r="AH15" i="59"/>
  <c r="P18" i="59"/>
  <c r="Q18" i="59" s="1"/>
  <c r="AL24" i="51"/>
  <c r="CE24" i="51"/>
  <c r="AL26" i="51"/>
  <c r="CE26" i="51"/>
  <c r="AL28" i="51"/>
  <c r="CE28" i="51"/>
  <c r="AL30" i="51"/>
  <c r="CE30" i="51"/>
  <c r="AL32" i="51"/>
  <c r="CE32" i="51"/>
  <c r="AL34" i="51"/>
  <c r="CE34" i="51"/>
  <c r="BM18" i="59"/>
  <c r="BN18" i="59" s="1"/>
  <c r="J19" i="59"/>
  <c r="P19" i="59" s="1"/>
  <c r="Q19" i="59" s="1"/>
  <c r="BR14" i="44"/>
  <c r="BR39" i="44" s="1"/>
  <c r="AH16" i="59"/>
  <c r="AH14" i="59"/>
  <c r="BP17" i="59"/>
  <c r="AG17" i="57"/>
  <c r="AS17" i="57" s="1"/>
  <c r="W18" i="59"/>
  <c r="X18" i="59" s="1"/>
  <c r="AA18" i="59" s="1"/>
  <c r="AT18" i="59"/>
  <c r="R17" i="59"/>
  <c r="AF17" i="59" s="1"/>
  <c r="AR17" i="59" s="1"/>
  <c r="BK18" i="59"/>
  <c r="BL18" i="59" s="1"/>
  <c r="AH15" i="57"/>
  <c r="AL17" i="44"/>
  <c r="CE17" i="44"/>
  <c r="AL19" i="44"/>
  <c r="CE19" i="44"/>
  <c r="AL21" i="44"/>
  <c r="CE21" i="44"/>
  <c r="AL23" i="44"/>
  <c r="CE23" i="44"/>
  <c r="CE25" i="44"/>
  <c r="AL27" i="44"/>
  <c r="CE27" i="44"/>
  <c r="AL29" i="44"/>
  <c r="CE29" i="44"/>
  <c r="AL31" i="44"/>
  <c r="CE31" i="44"/>
  <c r="AL33" i="44"/>
  <c r="CE33" i="44"/>
  <c r="AL18" i="51"/>
  <c r="CE18" i="51"/>
  <c r="AL20" i="51"/>
  <c r="CE20" i="51"/>
  <c r="AL22" i="51"/>
  <c r="CE22" i="51"/>
  <c r="AL19" i="51"/>
  <c r="CE19" i="51"/>
  <c r="AL21" i="51"/>
  <c r="CE21" i="51"/>
  <c r="AL33" i="51"/>
  <c r="CE33" i="51"/>
  <c r="AZ16" i="57"/>
  <c r="J14" i="51"/>
  <c r="AE14" i="51"/>
  <c r="AE15" i="51" s="1"/>
  <c r="AE16" i="51" s="1"/>
  <c r="AE17" i="51" s="1"/>
  <c r="AE18" i="51" s="1"/>
  <c r="AE19" i="51" s="1"/>
  <c r="AE20" i="51" s="1"/>
  <c r="AE21" i="51" s="1"/>
  <c r="AE22" i="51" s="1"/>
  <c r="AE23" i="51" s="1"/>
  <c r="AE24" i="51" s="1"/>
  <c r="AE25" i="51" s="1"/>
  <c r="AE26" i="51" s="1"/>
  <c r="AE27" i="51" s="1"/>
  <c r="AE28" i="51" s="1"/>
  <c r="AE29" i="51" s="1"/>
  <c r="AE30" i="51" s="1"/>
  <c r="AE31" i="51" s="1"/>
  <c r="AE32" i="51" s="1"/>
  <c r="AE33" i="51" s="1"/>
  <c r="AE34" i="51" s="1"/>
  <c r="AE35" i="51" s="1"/>
  <c r="AE36" i="51" s="1"/>
  <c r="R18" i="57"/>
  <c r="AF18" i="57" s="1"/>
  <c r="AR18" i="57" s="1"/>
  <c r="AA18" i="57"/>
  <c r="BZ18" i="57"/>
  <c r="BP17" i="57"/>
  <c r="U18" i="57"/>
  <c r="CE18" i="52"/>
  <c r="AL19" i="52"/>
  <c r="CE20" i="52"/>
  <c r="CE24" i="52"/>
  <c r="AL25" i="52"/>
  <c r="CE26" i="52"/>
  <c r="CE28" i="52"/>
  <c r="CE30" i="52"/>
  <c r="AL31" i="52"/>
  <c r="CE32" i="52"/>
  <c r="AL33" i="52"/>
  <c r="CE34" i="52"/>
  <c r="L21" i="63"/>
  <c r="J20" i="63"/>
  <c r="AV19" i="63"/>
  <c r="AT19" i="63"/>
  <c r="AU19" i="63" s="1"/>
  <c r="BZ19" i="63" s="1"/>
  <c r="T19" i="63"/>
  <c r="P19" i="63"/>
  <c r="BK19" i="63"/>
  <c r="W19" i="63"/>
  <c r="N19" i="63"/>
  <c r="BM19" i="63"/>
  <c r="BN19" i="63" s="1"/>
  <c r="BH21" i="63"/>
  <c r="AQ21" i="63"/>
  <c r="L21" i="60"/>
  <c r="AQ21" i="60"/>
  <c r="BH21" i="60"/>
  <c r="L22" i="59"/>
  <c r="M21" i="59"/>
  <c r="AQ22" i="59"/>
  <c r="BK19" i="59"/>
  <c r="BL19" i="59" s="1"/>
  <c r="AS17" i="59"/>
  <c r="BH21" i="59"/>
  <c r="BJ20" i="59"/>
  <c r="S20" i="59"/>
  <c r="BH20" i="57"/>
  <c r="L21" i="57"/>
  <c r="M20" i="57"/>
  <c r="J20" i="57"/>
  <c r="AV19" i="57"/>
  <c r="AW19" i="57" s="1"/>
  <c r="AT19" i="57"/>
  <c r="AU19" i="57" s="1"/>
  <c r="T19" i="57"/>
  <c r="P19" i="57"/>
  <c r="Q19" i="57" s="1"/>
  <c r="BK19" i="57"/>
  <c r="W19" i="57"/>
  <c r="X19" i="57" s="1"/>
  <c r="BM19" i="57"/>
  <c r="BN19" i="57" s="1"/>
  <c r="N19" i="57"/>
  <c r="O19" i="57" s="1"/>
  <c r="BL18" i="57"/>
  <c r="AH16" i="57"/>
  <c r="BJ19" i="57"/>
  <c r="S19" i="57"/>
  <c r="AQ20" i="57"/>
  <c r="CE17" i="52"/>
  <c r="AL18" i="52"/>
  <c r="CE19" i="52"/>
  <c r="CE21" i="52"/>
  <c r="CE23" i="52"/>
  <c r="AL24" i="52"/>
  <c r="CE25" i="52"/>
  <c r="CE27" i="52"/>
  <c r="CE29" i="52"/>
  <c r="CE31" i="52"/>
  <c r="AL34" i="52"/>
  <c r="CE22" i="52"/>
  <c r="CE33" i="52"/>
  <c r="AL26" i="52"/>
  <c r="AL27" i="52"/>
  <c r="AL28" i="52"/>
  <c r="AL29" i="52"/>
  <c r="AL17" i="52"/>
  <c r="AL20" i="52"/>
  <c r="AL21" i="52"/>
  <c r="AL22" i="52"/>
  <c r="AL23" i="52"/>
  <c r="AL30" i="52"/>
  <c r="AL32" i="52"/>
  <c r="BH16" i="52"/>
  <c r="L16" i="52"/>
  <c r="AQ16" i="52"/>
  <c r="J15" i="52"/>
  <c r="BH16" i="51"/>
  <c r="L16" i="51"/>
  <c r="AQ16" i="51"/>
  <c r="P14" i="44"/>
  <c r="AK14" i="44"/>
  <c r="AT14" i="44"/>
  <c r="AU14" i="44" s="1"/>
  <c r="BZ14" i="44" s="1"/>
  <c r="AV14" i="44"/>
  <c r="BI14" i="44"/>
  <c r="BK14" i="44"/>
  <c r="BM14" i="44"/>
  <c r="BN14" i="44" s="1"/>
  <c r="J15" i="44"/>
  <c r="BM15" i="44" s="1"/>
  <c r="AQ16" i="44"/>
  <c r="BH16" i="44"/>
  <c r="W14" i="44"/>
  <c r="AL25" i="44"/>
  <c r="F34" i="34"/>
  <c r="F15" i="34"/>
  <c r="F23" i="34"/>
  <c r="F30" i="34"/>
  <c r="CD34" i="34"/>
  <c r="CC34" i="34"/>
  <c r="BR34" i="34"/>
  <c r="BD34" i="34"/>
  <c r="AK34" i="34"/>
  <c r="AJ34" i="34"/>
  <c r="CD33" i="34"/>
  <c r="CC33" i="34"/>
  <c r="BR33" i="34"/>
  <c r="BD33" i="34"/>
  <c r="AK33" i="34"/>
  <c r="AJ33" i="34"/>
  <c r="CD32" i="34"/>
  <c r="CC32" i="34"/>
  <c r="BR32" i="34"/>
  <c r="BD32" i="34"/>
  <c r="AK32" i="34"/>
  <c r="AJ32" i="34"/>
  <c r="CD31" i="34"/>
  <c r="CC31" i="34"/>
  <c r="BR31" i="34"/>
  <c r="BD31" i="34"/>
  <c r="AK31" i="34"/>
  <c r="AJ31" i="34"/>
  <c r="CD30" i="34"/>
  <c r="CC30" i="34"/>
  <c r="BR30" i="34"/>
  <c r="BD30" i="34"/>
  <c r="AK30" i="34"/>
  <c r="AJ30" i="34"/>
  <c r="CD29" i="34"/>
  <c r="CC29" i="34"/>
  <c r="BR29" i="34"/>
  <c r="BD29" i="34"/>
  <c r="AK29" i="34"/>
  <c r="AJ29" i="34"/>
  <c r="CD28" i="34"/>
  <c r="CC28" i="34"/>
  <c r="BR28" i="34"/>
  <c r="BD28" i="34"/>
  <c r="AK28" i="34"/>
  <c r="AJ28" i="34"/>
  <c r="CD27" i="34"/>
  <c r="CC27" i="34"/>
  <c r="BR27" i="34"/>
  <c r="BD27" i="34"/>
  <c r="AK27" i="34"/>
  <c r="AJ27" i="34"/>
  <c r="CD26" i="34"/>
  <c r="CC26" i="34"/>
  <c r="BR26" i="34"/>
  <c r="BD26" i="34"/>
  <c r="AK26" i="34"/>
  <c r="AJ26" i="34"/>
  <c r="CD25" i="34"/>
  <c r="CC25" i="34"/>
  <c r="BR25" i="34"/>
  <c r="BD25" i="34"/>
  <c r="AK25" i="34"/>
  <c r="AJ25" i="34"/>
  <c r="CD24" i="34"/>
  <c r="CC24" i="34"/>
  <c r="BR24" i="34"/>
  <c r="BD24" i="34"/>
  <c r="AK24" i="34"/>
  <c r="AJ24" i="34"/>
  <c r="CD23" i="34"/>
  <c r="CC23" i="34"/>
  <c r="BR23" i="34"/>
  <c r="BD23" i="34"/>
  <c r="AK23" i="34"/>
  <c r="AJ23" i="34"/>
  <c r="CD22" i="34"/>
  <c r="CC22" i="34"/>
  <c r="BR22" i="34"/>
  <c r="BD22" i="34"/>
  <c r="AK22" i="34"/>
  <c r="AJ22" i="34"/>
  <c r="CD21" i="34"/>
  <c r="CC21" i="34"/>
  <c r="BR21" i="34"/>
  <c r="BD21" i="34"/>
  <c r="AK21" i="34"/>
  <c r="AJ21" i="34"/>
  <c r="CD20" i="34"/>
  <c r="CC20" i="34"/>
  <c r="BR20" i="34"/>
  <c r="BD20" i="34"/>
  <c r="AK20" i="34"/>
  <c r="AJ20" i="34"/>
  <c r="CD19" i="34"/>
  <c r="CC19" i="34"/>
  <c r="BR19" i="34"/>
  <c r="BD19" i="34"/>
  <c r="AK19" i="34"/>
  <c r="AJ19" i="34"/>
  <c r="CD18" i="34"/>
  <c r="CC18" i="34"/>
  <c r="BR18" i="34"/>
  <c r="BD18" i="34"/>
  <c r="AK18" i="34"/>
  <c r="AJ18" i="34"/>
  <c r="CD17" i="34"/>
  <c r="CC17" i="34"/>
  <c r="BR17" i="34"/>
  <c r="BD17" i="34"/>
  <c r="AK17" i="34"/>
  <c r="AJ17" i="34"/>
  <c r="BW14" i="34"/>
  <c r="BW15" i="34" s="1"/>
  <c r="BW16" i="34" s="1"/>
  <c r="BW17" i="34" s="1"/>
  <c r="BW18" i="34" s="1"/>
  <c r="BW19" i="34" s="1"/>
  <c r="BW20" i="34" s="1"/>
  <c r="BW21" i="34" s="1"/>
  <c r="BW22" i="34" s="1"/>
  <c r="BW23" i="34" s="1"/>
  <c r="BW24" i="34" s="1"/>
  <c r="BW25" i="34" s="1"/>
  <c r="BW26" i="34" s="1"/>
  <c r="BW27" i="34" s="1"/>
  <c r="BW28" i="34" s="1"/>
  <c r="BW29" i="34" s="1"/>
  <c r="BW30" i="34" s="1"/>
  <c r="BW31" i="34" s="1"/>
  <c r="BW32" i="34" s="1"/>
  <c r="BW33" i="34" s="1"/>
  <c r="BW34" i="34" s="1"/>
  <c r="BW35" i="34" s="1"/>
  <c r="BW36" i="34" s="1"/>
  <c r="BH14" i="34"/>
  <c r="BH15" i="34" s="1"/>
  <c r="AQ14" i="34"/>
  <c r="AQ15" i="34" s="1"/>
  <c r="AE14" i="34"/>
  <c r="AE15" i="34" s="1"/>
  <c r="AE16" i="34" s="1"/>
  <c r="AE17" i="34" s="1"/>
  <c r="AE18" i="34" s="1"/>
  <c r="AE19" i="34" s="1"/>
  <c r="AE20" i="34" s="1"/>
  <c r="AE21" i="34" s="1"/>
  <c r="AE22" i="34" s="1"/>
  <c r="AE23" i="34" s="1"/>
  <c r="AE24" i="34" s="1"/>
  <c r="AE25" i="34" s="1"/>
  <c r="AE26" i="34" s="1"/>
  <c r="AE27" i="34" s="1"/>
  <c r="AE28" i="34" s="1"/>
  <c r="AE29" i="34" s="1"/>
  <c r="AE30" i="34" s="1"/>
  <c r="AE31" i="34" s="1"/>
  <c r="AE32" i="34" s="1"/>
  <c r="AE33" i="34" s="1"/>
  <c r="AE34" i="34" s="1"/>
  <c r="AE35" i="34" s="1"/>
  <c r="AE36" i="34" s="1"/>
  <c r="L14" i="34"/>
  <c r="BX5" i="34"/>
  <c r="BI5" i="34"/>
  <c r="AR5" i="34"/>
  <c r="AF5" i="34"/>
  <c r="M5" i="34"/>
  <c r="AF4" i="34"/>
  <c r="AR4" i="34" s="1"/>
  <c r="BI4" i="34" s="1"/>
  <c r="BX4" i="34" s="1"/>
  <c r="M4" i="34"/>
  <c r="AF17" i="57" l="1"/>
  <c r="AR17" i="57" s="1"/>
  <c r="V18" i="57"/>
  <c r="R18" i="59"/>
  <c r="BX18" i="59" s="1"/>
  <c r="BC14" i="34"/>
  <c r="F25" i="34"/>
  <c r="M14" i="34" s="1"/>
  <c r="O14" i="34" s="1"/>
  <c r="N14" i="51"/>
  <c r="T14" i="51"/>
  <c r="AV19" i="60"/>
  <c r="V17" i="57"/>
  <c r="T19" i="60"/>
  <c r="BM19" i="59"/>
  <c r="BN19" i="59" s="1"/>
  <c r="BP19" i="59" s="1"/>
  <c r="BT19" i="59" s="1"/>
  <c r="BM19" i="60"/>
  <c r="BN19" i="60" s="1"/>
  <c r="AT19" i="59"/>
  <c r="AU19" i="59" s="1"/>
  <c r="BZ19" i="59" s="1"/>
  <c r="P19" i="60"/>
  <c r="T19" i="59"/>
  <c r="U19" i="59" s="1"/>
  <c r="AG19" i="59" s="1"/>
  <c r="J20" i="59"/>
  <c r="J21" i="59" s="1"/>
  <c r="BK19" i="60"/>
  <c r="AT19" i="60"/>
  <c r="AU19" i="60" s="1"/>
  <c r="BZ19" i="60" s="1"/>
  <c r="W19" i="59"/>
  <c r="X19" i="59" s="1"/>
  <c r="AA19" i="59" s="1"/>
  <c r="N19" i="60"/>
  <c r="W19" i="60"/>
  <c r="X14" i="44"/>
  <c r="AA14" i="44" s="1"/>
  <c r="BN14" i="34"/>
  <c r="AU14" i="34"/>
  <c r="BR14" i="34"/>
  <c r="BT17" i="57"/>
  <c r="AB18" i="57"/>
  <c r="AL18" i="34"/>
  <c r="CE18" i="34"/>
  <c r="AL20" i="34"/>
  <c r="CE20" i="34"/>
  <c r="AL22" i="34"/>
  <c r="CE22" i="34"/>
  <c r="AL24" i="34"/>
  <c r="CE24" i="34"/>
  <c r="AL26" i="34"/>
  <c r="CE26" i="34"/>
  <c r="AL28" i="34"/>
  <c r="CE28" i="34"/>
  <c r="AL30" i="34"/>
  <c r="CE30" i="34"/>
  <c r="AL32" i="34"/>
  <c r="CE32" i="34"/>
  <c r="S14" i="44"/>
  <c r="U14" i="44" s="1"/>
  <c r="O14" i="44"/>
  <c r="L15" i="34"/>
  <c r="L16" i="34" s="1"/>
  <c r="L17" i="34" s="1"/>
  <c r="BY18" i="59"/>
  <c r="BI15" i="51"/>
  <c r="BK14" i="34"/>
  <c r="T14" i="34"/>
  <c r="W14" i="34"/>
  <c r="AV14" i="34"/>
  <c r="N19" i="59"/>
  <c r="O19" i="59" s="1"/>
  <c r="R19" i="59" s="1"/>
  <c r="AF19" i="59" s="1"/>
  <c r="AR19" i="59" s="1"/>
  <c r="AV19" i="59"/>
  <c r="AW19" i="59" s="1"/>
  <c r="AU18" i="59"/>
  <c r="BZ18" i="59" s="1"/>
  <c r="BP18" i="59"/>
  <c r="BT17" i="59"/>
  <c r="BK14" i="51"/>
  <c r="Z14" i="51"/>
  <c r="AK14" i="51" s="1"/>
  <c r="BI14" i="51"/>
  <c r="Z16" i="51"/>
  <c r="AK16" i="51" s="1"/>
  <c r="AH17" i="59"/>
  <c r="AN17" i="59" s="1"/>
  <c r="BI14" i="34"/>
  <c r="V17" i="59"/>
  <c r="P14" i="51"/>
  <c r="J15" i="51"/>
  <c r="W15" i="51" s="1"/>
  <c r="W14" i="51"/>
  <c r="AV14" i="51"/>
  <c r="AT14" i="51"/>
  <c r="AU14" i="51" s="1"/>
  <c r="BZ14" i="51" s="1"/>
  <c r="AZ17" i="57"/>
  <c r="AH17" i="57"/>
  <c r="AN17" i="57" s="1"/>
  <c r="AZ17" i="59"/>
  <c r="BX17" i="59"/>
  <c r="CA17" i="59" s="1"/>
  <c r="AG18" i="57"/>
  <c r="AH18" i="57" s="1"/>
  <c r="BX18" i="57"/>
  <c r="AL17" i="34"/>
  <c r="CE17" i="34"/>
  <c r="AL19" i="34"/>
  <c r="CE19" i="34"/>
  <c r="AL21" i="34"/>
  <c r="CE21" i="34"/>
  <c r="AL23" i="34"/>
  <c r="CE23" i="34"/>
  <c r="AL25" i="34"/>
  <c r="CE25" i="34"/>
  <c r="AL27" i="34"/>
  <c r="CE27" i="34"/>
  <c r="AL29" i="34"/>
  <c r="CE29" i="34"/>
  <c r="AL31" i="34"/>
  <c r="CE31" i="34"/>
  <c r="AL33" i="34"/>
  <c r="Z15" i="51"/>
  <c r="CE33" i="34"/>
  <c r="H19" i="75"/>
  <c r="AL34" i="34"/>
  <c r="CE34" i="34"/>
  <c r="BY18" i="57"/>
  <c r="BI16" i="51"/>
  <c r="BL19" i="57"/>
  <c r="BP19" i="57" s="1"/>
  <c r="BP18" i="57"/>
  <c r="BT18" i="57" s="1"/>
  <c r="BZ19" i="57"/>
  <c r="AA19" i="57"/>
  <c r="AQ22" i="63"/>
  <c r="J21" i="63"/>
  <c r="AV20" i="63"/>
  <c r="AT20" i="63"/>
  <c r="AU20" i="63" s="1"/>
  <c r="BZ20" i="63" s="1"/>
  <c r="P20" i="63"/>
  <c r="BM20" i="63"/>
  <c r="BN20" i="63" s="1"/>
  <c r="W20" i="63"/>
  <c r="N20" i="63"/>
  <c r="BK20" i="63"/>
  <c r="T20" i="63"/>
  <c r="BH22" i="63"/>
  <c r="L22" i="63"/>
  <c r="BH22" i="60"/>
  <c r="AQ22" i="60"/>
  <c r="L22" i="60"/>
  <c r="J21" i="60"/>
  <c r="AV20" i="60"/>
  <c r="AT20" i="60"/>
  <c r="AU20" i="60" s="1"/>
  <c r="BZ20" i="60" s="1"/>
  <c r="P20" i="60"/>
  <c r="BK20" i="60"/>
  <c r="W20" i="60"/>
  <c r="BM20" i="60"/>
  <c r="BN20" i="60" s="1"/>
  <c r="N20" i="60"/>
  <c r="T20" i="60"/>
  <c r="BM20" i="59"/>
  <c r="BN20" i="59" s="1"/>
  <c r="AQ23" i="59"/>
  <c r="S21" i="59"/>
  <c r="BJ21" i="59"/>
  <c r="BH22" i="59"/>
  <c r="L23" i="59"/>
  <c r="M22" i="59"/>
  <c r="AS18" i="59"/>
  <c r="J21" i="57"/>
  <c r="AV20" i="57"/>
  <c r="AW20" i="57" s="1"/>
  <c r="AT20" i="57"/>
  <c r="AU20" i="57" s="1"/>
  <c r="P20" i="57"/>
  <c r="Q20" i="57" s="1"/>
  <c r="N20" i="57"/>
  <c r="O20" i="57" s="1"/>
  <c r="BK20" i="57"/>
  <c r="T20" i="57"/>
  <c r="W20" i="57"/>
  <c r="X20" i="57" s="1"/>
  <c r="BM20" i="57"/>
  <c r="BN20" i="57" s="1"/>
  <c r="S20" i="57"/>
  <c r="BJ20" i="57"/>
  <c r="R19" i="57"/>
  <c r="U19" i="57"/>
  <c r="AQ21" i="57"/>
  <c r="L22" i="57"/>
  <c r="M21" i="57"/>
  <c r="BH21" i="57"/>
  <c r="BK15" i="44"/>
  <c r="W15" i="44"/>
  <c r="BC14" i="44"/>
  <c r="CD14" i="44" s="1"/>
  <c r="AQ17" i="52"/>
  <c r="L17" i="52"/>
  <c r="BH17" i="52"/>
  <c r="J16" i="52"/>
  <c r="BR16" i="51"/>
  <c r="L17" i="51"/>
  <c r="BH17" i="51"/>
  <c r="AQ17" i="51"/>
  <c r="L17" i="44"/>
  <c r="BH17" i="44"/>
  <c r="AQ17" i="44"/>
  <c r="J16" i="44"/>
  <c r="AT15" i="44"/>
  <c r="T15" i="44"/>
  <c r="P15" i="44"/>
  <c r="AV15" i="44"/>
  <c r="N15" i="44"/>
  <c r="P14" i="34"/>
  <c r="J15" i="34"/>
  <c r="AQ16" i="34"/>
  <c r="BH16" i="34"/>
  <c r="C19" i="33"/>
  <c r="V18" i="59" l="1"/>
  <c r="AB18" i="59" s="1"/>
  <c r="AF18" i="59"/>
  <c r="AR18" i="59" s="1"/>
  <c r="AZ18" i="59" s="1"/>
  <c r="BE18" i="59" s="1"/>
  <c r="BR38" i="34"/>
  <c r="BR39" i="34"/>
  <c r="X14" i="34"/>
  <c r="AA14" i="34" s="1"/>
  <c r="AB17" i="57"/>
  <c r="N15" i="34"/>
  <c r="W15" i="34"/>
  <c r="P20" i="59"/>
  <c r="Q20" i="59" s="1"/>
  <c r="BT18" i="59"/>
  <c r="BY19" i="59"/>
  <c r="N20" i="59"/>
  <c r="O20" i="59" s="1"/>
  <c r="AV20" i="59"/>
  <c r="AW20" i="59" s="1"/>
  <c r="W20" i="59"/>
  <c r="X20" i="59" s="1"/>
  <c r="AA20" i="59" s="1"/>
  <c r="AT20" i="59"/>
  <c r="AU20" i="59" s="1"/>
  <c r="BZ20" i="59" s="1"/>
  <c r="T20" i="59"/>
  <c r="U20" i="59" s="1"/>
  <c r="BY20" i="59" s="1"/>
  <c r="BK20" i="59"/>
  <c r="BL20" i="59" s="1"/>
  <c r="T15" i="51"/>
  <c r="CA18" i="59"/>
  <c r="CG18" i="59" s="1"/>
  <c r="BZ14" i="34"/>
  <c r="BR38" i="51"/>
  <c r="AK15" i="51"/>
  <c r="BC15" i="51"/>
  <c r="BE17" i="57"/>
  <c r="BE17" i="59"/>
  <c r="CG17" i="59"/>
  <c r="AB17" i="59"/>
  <c r="BC14" i="51"/>
  <c r="CD14" i="51" s="1"/>
  <c r="BC16" i="51"/>
  <c r="CD16" i="51" s="1"/>
  <c r="BK15" i="51"/>
  <c r="P15" i="51"/>
  <c r="J16" i="51"/>
  <c r="AT16" i="51" s="1"/>
  <c r="AU16" i="51" s="1"/>
  <c r="BZ16" i="51" s="1"/>
  <c r="AT15" i="51"/>
  <c r="AU15" i="51" s="1"/>
  <c r="BZ15" i="51" s="1"/>
  <c r="N15" i="51"/>
  <c r="AV15" i="51"/>
  <c r="CA18" i="57"/>
  <c r="AS18" i="57"/>
  <c r="AZ18" i="57" s="1"/>
  <c r="BE18" i="57" s="1"/>
  <c r="CD15" i="51"/>
  <c r="V19" i="59"/>
  <c r="AB19" i="59" s="1"/>
  <c r="BX19" i="59"/>
  <c r="P15" i="34"/>
  <c r="BK15" i="34"/>
  <c r="BZ20" i="57"/>
  <c r="U20" i="57"/>
  <c r="AG20" i="57" s="1"/>
  <c r="AA20" i="57"/>
  <c r="L23" i="63"/>
  <c r="BH23" i="63"/>
  <c r="AQ23" i="63"/>
  <c r="J22" i="63"/>
  <c r="AV21" i="63"/>
  <c r="AT21" i="63"/>
  <c r="AU21" i="63" s="1"/>
  <c r="BZ21" i="63" s="1"/>
  <c r="P21" i="63"/>
  <c r="BM21" i="63"/>
  <c r="BN21" i="63" s="1"/>
  <c r="BK21" i="63"/>
  <c r="T21" i="63"/>
  <c r="W21" i="63"/>
  <c r="N21" i="63"/>
  <c r="J22" i="60"/>
  <c r="AV21" i="60"/>
  <c r="AT21" i="60"/>
  <c r="AU21" i="60" s="1"/>
  <c r="BZ21" i="60" s="1"/>
  <c r="P21" i="60"/>
  <c r="BK21" i="60"/>
  <c r="W21" i="60"/>
  <c r="BM21" i="60"/>
  <c r="BN21" i="60" s="1"/>
  <c r="T21" i="60"/>
  <c r="N21" i="60"/>
  <c r="L23" i="60"/>
  <c r="AQ23" i="60"/>
  <c r="BH23" i="60"/>
  <c r="BJ22" i="59"/>
  <c r="S22" i="59"/>
  <c r="AS19" i="59"/>
  <c r="AZ19" i="59" s="1"/>
  <c r="AH19" i="59"/>
  <c r="AN19" i="59" s="1"/>
  <c r="J22" i="59"/>
  <c r="AV21" i="59"/>
  <c r="AW21" i="59" s="1"/>
  <c r="AT21" i="59"/>
  <c r="AU21" i="59" s="1"/>
  <c r="BZ21" i="59" s="1"/>
  <c r="P21" i="59"/>
  <c r="Q21" i="59" s="1"/>
  <c r="BK21" i="59"/>
  <c r="BL21" i="59" s="1"/>
  <c r="W21" i="59"/>
  <c r="X21" i="59" s="1"/>
  <c r="AA21" i="59" s="1"/>
  <c r="T21" i="59"/>
  <c r="U21" i="59" s="1"/>
  <c r="BM21" i="59"/>
  <c r="BN21" i="59" s="1"/>
  <c r="N21" i="59"/>
  <c r="O21" i="59" s="1"/>
  <c r="L24" i="59"/>
  <c r="M24" i="59" s="1"/>
  <c r="M23" i="59"/>
  <c r="BH23" i="59"/>
  <c r="AQ24" i="59"/>
  <c r="BP20" i="59"/>
  <c r="BJ21" i="57"/>
  <c r="S21" i="57"/>
  <c r="AQ22" i="57"/>
  <c r="AF19" i="57"/>
  <c r="AR19" i="57" s="1"/>
  <c r="BX19" i="57"/>
  <c r="J22" i="57"/>
  <c r="AV21" i="57"/>
  <c r="AW21" i="57" s="1"/>
  <c r="AT21" i="57"/>
  <c r="AU21" i="57" s="1"/>
  <c r="P21" i="57"/>
  <c r="Q21" i="57" s="1"/>
  <c r="T21" i="57"/>
  <c r="BM21" i="57"/>
  <c r="BN21" i="57" s="1"/>
  <c r="N21" i="57"/>
  <c r="O21" i="57" s="1"/>
  <c r="W21" i="57"/>
  <c r="X21" i="57" s="1"/>
  <c r="BK21" i="57"/>
  <c r="AN18" i="57"/>
  <c r="BL20" i="57"/>
  <c r="BT19" i="57"/>
  <c r="BH22" i="57"/>
  <c r="L23" i="57"/>
  <c r="M22" i="57"/>
  <c r="BY19" i="57"/>
  <c r="V19" i="57"/>
  <c r="AG19" i="57"/>
  <c r="R20" i="57"/>
  <c r="AT15" i="34"/>
  <c r="J16" i="34"/>
  <c r="BH18" i="52"/>
  <c r="AQ18" i="52"/>
  <c r="J17" i="52"/>
  <c r="L18" i="52"/>
  <c r="BH18" i="51"/>
  <c r="L18" i="51"/>
  <c r="AQ18" i="51"/>
  <c r="J17" i="44"/>
  <c r="AV16" i="44"/>
  <c r="AT16" i="44"/>
  <c r="T16" i="44"/>
  <c r="P16" i="44"/>
  <c r="N16" i="44"/>
  <c r="BK16" i="44"/>
  <c r="W16" i="44"/>
  <c r="BM16" i="44"/>
  <c r="AQ18" i="44"/>
  <c r="BH18" i="44"/>
  <c r="L18" i="44"/>
  <c r="AK14" i="34"/>
  <c r="T15" i="34"/>
  <c r="AV15" i="34"/>
  <c r="BM15" i="34"/>
  <c r="L18" i="34"/>
  <c r="BH17" i="34"/>
  <c r="AQ17" i="34"/>
  <c r="AH18" i="59" l="1"/>
  <c r="AN18" i="59" s="1"/>
  <c r="CA19" i="59"/>
  <c r="CG19" i="59" s="1"/>
  <c r="R20" i="59"/>
  <c r="AF20" i="59" s="1"/>
  <c r="AR20" i="59" s="1"/>
  <c r="AV16" i="34"/>
  <c r="T16" i="34"/>
  <c r="W16" i="34"/>
  <c r="AG20" i="59"/>
  <c r="AH20" i="59" s="1"/>
  <c r="AV16" i="51"/>
  <c r="BM16" i="51"/>
  <c r="BN16" i="51" s="1"/>
  <c r="BK16" i="51"/>
  <c r="AB19" i="57"/>
  <c r="N16" i="51"/>
  <c r="P16" i="51"/>
  <c r="W16" i="51"/>
  <c r="T16" i="51"/>
  <c r="J17" i="51"/>
  <c r="AT17" i="51" s="1"/>
  <c r="AU17" i="51" s="1"/>
  <c r="BZ17" i="51" s="1"/>
  <c r="CD14" i="34"/>
  <c r="BN15" i="34"/>
  <c r="B19" i="33"/>
  <c r="CG18" i="57"/>
  <c r="AU15" i="34"/>
  <c r="BR16" i="34"/>
  <c r="V20" i="59"/>
  <c r="AB20" i="59" s="1"/>
  <c r="BK16" i="34"/>
  <c r="P16" i="34"/>
  <c r="BM16" i="34"/>
  <c r="BN16" i="34" s="1"/>
  <c r="AT16" i="34"/>
  <c r="AU16" i="34" s="1"/>
  <c r="J17" i="34"/>
  <c r="W17" i="34" s="1"/>
  <c r="BY20" i="57"/>
  <c r="N16" i="34"/>
  <c r="BP21" i="59"/>
  <c r="BT21" i="59" s="1"/>
  <c r="BM14" i="51"/>
  <c r="BN14" i="51" s="1"/>
  <c r="BM15" i="51"/>
  <c r="BN15" i="51" s="1"/>
  <c r="AA21" i="57"/>
  <c r="BP20" i="57"/>
  <c r="BZ21" i="57"/>
  <c r="J23" i="63"/>
  <c r="AV22" i="63"/>
  <c r="AT22" i="63"/>
  <c r="AU22" i="63" s="1"/>
  <c r="BZ22" i="63" s="1"/>
  <c r="P22" i="63"/>
  <c r="BK22" i="63"/>
  <c r="T22" i="63"/>
  <c r="BM22" i="63"/>
  <c r="BN22" i="63" s="1"/>
  <c r="W22" i="63"/>
  <c r="N22" i="63"/>
  <c r="AQ24" i="63"/>
  <c r="BH24" i="63"/>
  <c r="L24" i="63"/>
  <c r="BH24" i="60"/>
  <c r="AV22" i="60"/>
  <c r="AT22" i="60"/>
  <c r="AU22" i="60" s="1"/>
  <c r="BZ22" i="60" s="1"/>
  <c r="P22" i="60"/>
  <c r="J23" i="60"/>
  <c r="W22" i="60"/>
  <c r="BM22" i="60"/>
  <c r="BN22" i="60" s="1"/>
  <c r="BK22" i="60"/>
  <c r="N22" i="60"/>
  <c r="T22" i="60"/>
  <c r="AQ24" i="60"/>
  <c r="L24" i="60"/>
  <c r="BE19" i="59"/>
  <c r="AQ25" i="59"/>
  <c r="S23" i="59"/>
  <c r="BJ23" i="59"/>
  <c r="J23" i="59"/>
  <c r="AV22" i="59"/>
  <c r="AW22" i="59" s="1"/>
  <c r="AT22" i="59"/>
  <c r="AU22" i="59" s="1"/>
  <c r="BZ22" i="59" s="1"/>
  <c r="P22" i="59"/>
  <c r="Q22" i="59" s="1"/>
  <c r="W22" i="59"/>
  <c r="X22" i="59" s="1"/>
  <c r="AA22" i="59" s="1"/>
  <c r="BM22" i="59"/>
  <c r="BN22" i="59" s="1"/>
  <c r="N22" i="59"/>
  <c r="O22" i="59" s="1"/>
  <c r="BK22" i="59"/>
  <c r="BL22" i="59" s="1"/>
  <c r="T22" i="59"/>
  <c r="U22" i="59" s="1"/>
  <c r="R21" i="59"/>
  <c r="V21" i="59" s="1"/>
  <c r="AB21" i="59" s="1"/>
  <c r="BT20" i="59"/>
  <c r="AG21" i="59"/>
  <c r="BY21" i="59"/>
  <c r="BH24" i="59"/>
  <c r="L25" i="59"/>
  <c r="M25" i="59" s="1"/>
  <c r="R21" i="57"/>
  <c r="AH19" i="57"/>
  <c r="AS19" i="57"/>
  <c r="AZ19" i="57" s="1"/>
  <c r="L24" i="57"/>
  <c r="M23" i="57"/>
  <c r="BH23" i="57"/>
  <c r="J23" i="57"/>
  <c r="AV22" i="57"/>
  <c r="AW22" i="57" s="1"/>
  <c r="AT22" i="57"/>
  <c r="AU22" i="57" s="1"/>
  <c r="P22" i="57"/>
  <c r="Q22" i="57" s="1"/>
  <c r="T22" i="57"/>
  <c r="N22" i="57"/>
  <c r="O22" i="57" s="1"/>
  <c r="W22" i="57"/>
  <c r="X22" i="57" s="1"/>
  <c r="BM22" i="57"/>
  <c r="BN22" i="57" s="1"/>
  <c r="BK22" i="57"/>
  <c r="CA19" i="57"/>
  <c r="U21" i="57"/>
  <c r="BX20" i="57"/>
  <c r="AF20" i="57"/>
  <c r="AR20" i="57" s="1"/>
  <c r="AS20" i="57"/>
  <c r="S22" i="57"/>
  <c r="BJ22" i="57"/>
  <c r="AQ23" i="57"/>
  <c r="BL21" i="57"/>
  <c r="V20" i="57"/>
  <c r="AB20" i="57" s="1"/>
  <c r="BN16" i="44"/>
  <c r="AU16" i="44"/>
  <c r="BZ16" i="44" s="1"/>
  <c r="AU15" i="44"/>
  <c r="BZ15" i="44" s="1"/>
  <c r="BH19" i="52"/>
  <c r="L19" i="52"/>
  <c r="J18" i="52"/>
  <c r="AQ19" i="52"/>
  <c r="J18" i="51"/>
  <c r="AV17" i="51"/>
  <c r="P17" i="51"/>
  <c r="BM17" i="51"/>
  <c r="BN17" i="51" s="1"/>
  <c r="N17" i="51"/>
  <c r="AQ19" i="51"/>
  <c r="L19" i="51"/>
  <c r="BH19" i="51"/>
  <c r="BR16" i="44"/>
  <c r="BR15" i="44"/>
  <c r="BN15" i="44"/>
  <c r="BR15" i="34"/>
  <c r="AQ19" i="44"/>
  <c r="J18" i="44"/>
  <c r="AV17" i="44"/>
  <c r="AT17" i="44"/>
  <c r="AU17" i="44" s="1"/>
  <c r="BZ17" i="44" s="1"/>
  <c r="T17" i="44"/>
  <c r="P17" i="44"/>
  <c r="BM17" i="44"/>
  <c r="BN17" i="44" s="1"/>
  <c r="BK17" i="44"/>
  <c r="W17" i="44"/>
  <c r="N17" i="44"/>
  <c r="L19" i="44"/>
  <c r="BH19" i="44"/>
  <c r="AQ18" i="34"/>
  <c r="BH18" i="34"/>
  <c r="L19" i="34"/>
  <c r="BX20" i="59" l="1"/>
  <c r="CA20" i="59" s="1"/>
  <c r="AS20" i="59"/>
  <c r="AZ20" i="59" s="1"/>
  <c r="BE20" i="59" s="1"/>
  <c r="BR38" i="44"/>
  <c r="BK17" i="51"/>
  <c r="T17" i="51"/>
  <c r="W17" i="51"/>
  <c r="BZ15" i="34"/>
  <c r="BZ16" i="34"/>
  <c r="S25" i="59"/>
  <c r="J18" i="34"/>
  <c r="BT20" i="57"/>
  <c r="BK17" i="34"/>
  <c r="T17" i="34"/>
  <c r="CA20" i="57"/>
  <c r="P17" i="34"/>
  <c r="AT17" i="34"/>
  <c r="AU17" i="34" s="1"/>
  <c r="BM17" i="34"/>
  <c r="BN17" i="34" s="1"/>
  <c r="N17" i="34"/>
  <c r="AV17" i="34"/>
  <c r="AH20" i="57"/>
  <c r="AN20" i="57" s="1"/>
  <c r="BP21" i="57"/>
  <c r="BT21" i="57" s="1"/>
  <c r="BZ22" i="57"/>
  <c r="BL22" i="57"/>
  <c r="BP22" i="57" s="1"/>
  <c r="BT22" i="57" s="1"/>
  <c r="U22" i="57"/>
  <c r="AG22" i="57" s="1"/>
  <c r="AA22" i="57"/>
  <c r="L25" i="63"/>
  <c r="BH25" i="63"/>
  <c r="AQ25" i="63"/>
  <c r="J24" i="63"/>
  <c r="AV23" i="63"/>
  <c r="AT23" i="63"/>
  <c r="AU23" i="63" s="1"/>
  <c r="BZ23" i="63" s="1"/>
  <c r="P23" i="63"/>
  <c r="BK23" i="63"/>
  <c r="W23" i="63"/>
  <c r="N23" i="63"/>
  <c r="BM23" i="63"/>
  <c r="BN23" i="63" s="1"/>
  <c r="T23" i="63"/>
  <c r="M24" i="60"/>
  <c r="L25" i="60"/>
  <c r="J24" i="60"/>
  <c r="AV23" i="60"/>
  <c r="AT23" i="60"/>
  <c r="AU23" i="60" s="1"/>
  <c r="BZ23" i="60" s="1"/>
  <c r="P23" i="60"/>
  <c r="BK23" i="60"/>
  <c r="T23" i="60"/>
  <c r="W23" i="60"/>
  <c r="BM23" i="60"/>
  <c r="BN23" i="60" s="1"/>
  <c r="N23" i="60"/>
  <c r="AQ25" i="60"/>
  <c r="BH25" i="60"/>
  <c r="BP22" i="59"/>
  <c r="R22" i="59"/>
  <c r="BX22" i="59" s="1"/>
  <c r="L26" i="59"/>
  <c r="BH25" i="59"/>
  <c r="BX21" i="59"/>
  <c r="CA21" i="59" s="1"/>
  <c r="AF21" i="59"/>
  <c r="AR21" i="59" s="1"/>
  <c r="AN20" i="59"/>
  <c r="AQ26" i="59"/>
  <c r="BY22" i="59"/>
  <c r="AG22" i="59"/>
  <c r="BJ24" i="59"/>
  <c r="S24" i="59"/>
  <c r="AS21" i="59"/>
  <c r="J24" i="59"/>
  <c r="AV23" i="59"/>
  <c r="AW23" i="59" s="1"/>
  <c r="AT23" i="59"/>
  <c r="AU23" i="59" s="1"/>
  <c r="BZ23" i="59" s="1"/>
  <c r="BM23" i="59"/>
  <c r="BN23" i="59" s="1"/>
  <c r="P23" i="59"/>
  <c r="Q23" i="59" s="1"/>
  <c r="BK23" i="59"/>
  <c r="BL23" i="59" s="1"/>
  <c r="W23" i="59"/>
  <c r="X23" i="59" s="1"/>
  <c r="AA23" i="59" s="1"/>
  <c r="N23" i="59"/>
  <c r="O23" i="59" s="1"/>
  <c r="T23" i="59"/>
  <c r="U23" i="59" s="1"/>
  <c r="BE19" i="57"/>
  <c r="AQ24" i="57"/>
  <c r="BY21" i="57"/>
  <c r="V21" i="57"/>
  <c r="AG21" i="57"/>
  <c r="J24" i="57"/>
  <c r="AV23" i="57"/>
  <c r="AW23" i="57" s="1"/>
  <c r="AT23" i="57"/>
  <c r="AU23" i="57" s="1"/>
  <c r="P23" i="57"/>
  <c r="Q23" i="57" s="1"/>
  <c r="W23" i="57"/>
  <c r="X23" i="57" s="1"/>
  <c r="BK23" i="57"/>
  <c r="N23" i="57"/>
  <c r="O23" i="57" s="1"/>
  <c r="BM23" i="57"/>
  <c r="BN23" i="57" s="1"/>
  <c r="T23" i="57"/>
  <c r="BJ23" i="57"/>
  <c r="S23" i="57"/>
  <c r="AF21" i="57"/>
  <c r="AR21" i="57" s="1"/>
  <c r="BX21" i="57"/>
  <c r="AZ20" i="57"/>
  <c r="BE20" i="57" s="1"/>
  <c r="CG19" i="57"/>
  <c r="BH24" i="57"/>
  <c r="L25" i="57"/>
  <c r="M24" i="57"/>
  <c r="AN19" i="57"/>
  <c r="R22" i="57"/>
  <c r="AQ20" i="52"/>
  <c r="J19" i="52"/>
  <c r="L20" i="52"/>
  <c r="BH20" i="52"/>
  <c r="BH20" i="51"/>
  <c r="L20" i="51"/>
  <c r="AQ20" i="51"/>
  <c r="J19" i="51"/>
  <c r="AV18" i="51"/>
  <c r="AT18" i="51"/>
  <c r="AU18" i="51" s="1"/>
  <c r="BZ18" i="51" s="1"/>
  <c r="T18" i="51"/>
  <c r="P18" i="51"/>
  <c r="BK18" i="51"/>
  <c r="BM18" i="51"/>
  <c r="BN18" i="51" s="1"/>
  <c r="W18" i="51"/>
  <c r="N18" i="51"/>
  <c r="BI15" i="44"/>
  <c r="Z15" i="44"/>
  <c r="BI16" i="44"/>
  <c r="Z16" i="44"/>
  <c r="Z16" i="34"/>
  <c r="BI16" i="34"/>
  <c r="Z15" i="34"/>
  <c r="BI15" i="34"/>
  <c r="BH20" i="44"/>
  <c r="L20" i="44"/>
  <c r="AV18" i="44"/>
  <c r="AT18" i="44"/>
  <c r="AU18" i="44" s="1"/>
  <c r="BZ18" i="44" s="1"/>
  <c r="T18" i="44"/>
  <c r="P18" i="44"/>
  <c r="J19" i="44"/>
  <c r="BM18" i="44"/>
  <c r="BN18" i="44" s="1"/>
  <c r="BK18" i="44"/>
  <c r="W18" i="44"/>
  <c r="N18" i="44"/>
  <c r="AQ20" i="44"/>
  <c r="BH19" i="34"/>
  <c r="AQ19" i="34"/>
  <c r="L20" i="34"/>
  <c r="BM18" i="34" l="1"/>
  <c r="BN18" i="34" s="1"/>
  <c r="W18" i="34"/>
  <c r="BT22" i="59"/>
  <c r="AB21" i="57"/>
  <c r="CG20" i="59"/>
  <c r="CG20" i="57"/>
  <c r="N18" i="34"/>
  <c r="AV18" i="34"/>
  <c r="J19" i="34"/>
  <c r="P18" i="34"/>
  <c r="T18" i="34"/>
  <c r="BK18" i="34"/>
  <c r="AT18" i="34"/>
  <c r="AU18" i="34" s="1"/>
  <c r="BZ18" i="34" s="1"/>
  <c r="BZ17" i="34"/>
  <c r="Y15" i="59"/>
  <c r="AA15" i="59" s="1"/>
  <c r="CA21" i="57"/>
  <c r="CG21" i="57" s="1"/>
  <c r="BP23" i="59"/>
  <c r="BT23" i="59" s="1"/>
  <c r="BY22" i="57"/>
  <c r="V22" i="59"/>
  <c r="AK16" i="52"/>
  <c r="AF22" i="59"/>
  <c r="AR22" i="59" s="1"/>
  <c r="CA22" i="59"/>
  <c r="CG22" i="59" s="1"/>
  <c r="BL23" i="57"/>
  <c r="BP23" i="57" s="1"/>
  <c r="BT23" i="57" s="1"/>
  <c r="V22" i="57"/>
  <c r="U23" i="57"/>
  <c r="AG23" i="57" s="1"/>
  <c r="AA23" i="57"/>
  <c r="BZ23" i="57"/>
  <c r="AQ26" i="63"/>
  <c r="BH26" i="63"/>
  <c r="L26" i="63"/>
  <c r="J25" i="63"/>
  <c r="AV24" i="63"/>
  <c r="AT24" i="63"/>
  <c r="AU24" i="63" s="1"/>
  <c r="BZ24" i="63" s="1"/>
  <c r="P24" i="63"/>
  <c r="BM24" i="63"/>
  <c r="BN24" i="63" s="1"/>
  <c r="W24" i="63"/>
  <c r="T24" i="63"/>
  <c r="BK24" i="63"/>
  <c r="N24" i="63"/>
  <c r="J25" i="60"/>
  <c r="AV24" i="60"/>
  <c r="AW24" i="60" s="1"/>
  <c r="AT24" i="60"/>
  <c r="AU24" i="60" s="1"/>
  <c r="BZ24" i="60" s="1"/>
  <c r="P24" i="60"/>
  <c r="Q24" i="60" s="1"/>
  <c r="W24" i="60"/>
  <c r="X24" i="60" s="1"/>
  <c r="BM24" i="60"/>
  <c r="BN24" i="60" s="1"/>
  <c r="BK24" i="60"/>
  <c r="T24" i="60"/>
  <c r="N24" i="60"/>
  <c r="O24" i="60" s="1"/>
  <c r="L26" i="60"/>
  <c r="M25" i="60"/>
  <c r="BH26" i="60"/>
  <c r="AQ26" i="60"/>
  <c r="S24" i="60"/>
  <c r="BJ24" i="60"/>
  <c r="AH21" i="59"/>
  <c r="AN21" i="59" s="1"/>
  <c r="AZ21" i="59"/>
  <c r="AG23" i="59"/>
  <c r="BY23" i="59"/>
  <c r="AQ27" i="59"/>
  <c r="CG21" i="59"/>
  <c r="BH26" i="59"/>
  <c r="L27" i="59"/>
  <c r="M26" i="59"/>
  <c r="R23" i="59"/>
  <c r="J25" i="59"/>
  <c r="AV24" i="59"/>
  <c r="AW24" i="59" s="1"/>
  <c r="AT24" i="59"/>
  <c r="AU24" i="59" s="1"/>
  <c r="BZ24" i="59" s="1"/>
  <c r="P24" i="59"/>
  <c r="Q24" i="59" s="1"/>
  <c r="BK24" i="59"/>
  <c r="BL24" i="59" s="1"/>
  <c r="N24" i="59"/>
  <c r="O24" i="59" s="1"/>
  <c r="W24" i="59"/>
  <c r="X24" i="59" s="1"/>
  <c r="AA24" i="59" s="1"/>
  <c r="BM24" i="59"/>
  <c r="BN24" i="59" s="1"/>
  <c r="T24" i="59"/>
  <c r="U24" i="59" s="1"/>
  <c r="AS22" i="59"/>
  <c r="BJ25" i="59"/>
  <c r="R23" i="57"/>
  <c r="BX23" i="57" s="1"/>
  <c r="L26" i="57"/>
  <c r="M25" i="57"/>
  <c r="BH25" i="57"/>
  <c r="AS22" i="57"/>
  <c r="BX22" i="57"/>
  <c r="AF22" i="57"/>
  <c r="AR22" i="57" s="1"/>
  <c r="S24" i="57"/>
  <c r="BJ24" i="57"/>
  <c r="J25" i="57"/>
  <c r="AV24" i="57"/>
  <c r="AW24" i="57" s="1"/>
  <c r="AT24" i="57"/>
  <c r="AU24" i="57" s="1"/>
  <c r="P24" i="57"/>
  <c r="Q24" i="57" s="1"/>
  <c r="N24" i="57"/>
  <c r="O24" i="57" s="1"/>
  <c r="W24" i="57"/>
  <c r="X24" i="57" s="1"/>
  <c r="T24" i="57"/>
  <c r="BM24" i="57"/>
  <c r="BN24" i="57" s="1"/>
  <c r="BK24" i="57"/>
  <c r="AH21" i="57"/>
  <c r="AS21" i="57"/>
  <c r="AZ21" i="57" s="1"/>
  <c r="AQ25" i="57"/>
  <c r="BH21" i="52"/>
  <c r="L21" i="52"/>
  <c r="J20" i="52"/>
  <c r="AQ21" i="52"/>
  <c r="J20" i="51"/>
  <c r="AV19" i="51"/>
  <c r="AT19" i="51"/>
  <c r="AU19" i="51" s="1"/>
  <c r="BZ19" i="51" s="1"/>
  <c r="P19" i="51"/>
  <c r="W19" i="51"/>
  <c r="N19" i="51"/>
  <c r="BK19" i="51"/>
  <c r="BM19" i="51"/>
  <c r="BN19" i="51" s="1"/>
  <c r="T19" i="51"/>
  <c r="AQ21" i="51"/>
  <c r="L21" i="51"/>
  <c r="BH21" i="51"/>
  <c r="AK16" i="44"/>
  <c r="BC16" i="44"/>
  <c r="CD16" i="44" s="1"/>
  <c r="AK15" i="44"/>
  <c r="BC15" i="44"/>
  <c r="CD15" i="44" s="1"/>
  <c r="AK15" i="34"/>
  <c r="BC15" i="34"/>
  <c r="AK16" i="34"/>
  <c r="BC16" i="34"/>
  <c r="J20" i="44"/>
  <c r="AV19" i="44"/>
  <c r="AT19" i="44"/>
  <c r="AU19" i="44" s="1"/>
  <c r="BZ19" i="44" s="1"/>
  <c r="T19" i="44"/>
  <c r="P19" i="44"/>
  <c r="BK19" i="44"/>
  <c r="W19" i="44"/>
  <c r="N19" i="44"/>
  <c r="BM19" i="44"/>
  <c r="BN19" i="44" s="1"/>
  <c r="BH21" i="44"/>
  <c r="AQ21" i="44"/>
  <c r="L21" i="44"/>
  <c r="L21" i="34"/>
  <c r="P19" i="34"/>
  <c r="AQ20" i="34"/>
  <c r="BH20" i="34"/>
  <c r="BM19" i="34" l="1"/>
  <c r="BN19" i="34" s="1"/>
  <c r="W19" i="34"/>
  <c r="AB22" i="57"/>
  <c r="AV19" i="34"/>
  <c r="N19" i="34"/>
  <c r="J20" i="34"/>
  <c r="W20" i="34" s="1"/>
  <c r="T19" i="34"/>
  <c r="BK19" i="34"/>
  <c r="AT19" i="34"/>
  <c r="AU19" i="34" s="1"/>
  <c r="BZ19" i="34" s="1"/>
  <c r="CD16" i="52"/>
  <c r="CD15" i="34"/>
  <c r="AA24" i="60"/>
  <c r="U24" i="60"/>
  <c r="AG24" i="60" s="1"/>
  <c r="AB22" i="59"/>
  <c r="N25" i="59"/>
  <c r="O25" i="59" s="1"/>
  <c r="T25" i="59"/>
  <c r="U25" i="59" s="1"/>
  <c r="BE21" i="59"/>
  <c r="BY23" i="57"/>
  <c r="CA23" i="57" s="1"/>
  <c r="CG23" i="57" s="1"/>
  <c r="CA22" i="57"/>
  <c r="CG22" i="57" s="1"/>
  <c r="R24" i="59"/>
  <c r="AF24" i="59" s="1"/>
  <c r="AR24" i="59" s="1"/>
  <c r="AF23" i="57"/>
  <c r="AR23" i="57" s="1"/>
  <c r="AH22" i="59"/>
  <c r="AN22" i="59" s="1"/>
  <c r="Y16" i="44"/>
  <c r="V23" i="57"/>
  <c r="AB23" i="57" s="1"/>
  <c r="AZ22" i="59"/>
  <c r="BE22" i="59" s="1"/>
  <c r="R24" i="60"/>
  <c r="BP24" i="59"/>
  <c r="AA24" i="57"/>
  <c r="BL24" i="57"/>
  <c r="BP24" i="57" s="1"/>
  <c r="BT24" i="57" s="1"/>
  <c r="AZ22" i="57"/>
  <c r="BE22" i="57" s="1"/>
  <c r="BZ24" i="57"/>
  <c r="J26" i="63"/>
  <c r="AV25" i="63"/>
  <c r="AT25" i="63"/>
  <c r="AU25" i="63" s="1"/>
  <c r="BZ25" i="63" s="1"/>
  <c r="P25" i="63"/>
  <c r="BM25" i="63"/>
  <c r="BN25" i="63" s="1"/>
  <c r="BK25" i="63"/>
  <c r="W25" i="63"/>
  <c r="N25" i="63"/>
  <c r="T25" i="63"/>
  <c r="L27" i="63"/>
  <c r="BH27" i="63"/>
  <c r="AQ27" i="63"/>
  <c r="BH27" i="60"/>
  <c r="L27" i="60"/>
  <c r="M26" i="60"/>
  <c r="BL24" i="60"/>
  <c r="BP24" i="60" s="1"/>
  <c r="BT24" i="60" s="1"/>
  <c r="AQ27" i="60"/>
  <c r="BJ25" i="60"/>
  <c r="S25" i="60"/>
  <c r="J26" i="60"/>
  <c r="AV25" i="60"/>
  <c r="AW25" i="60" s="1"/>
  <c r="AT25" i="60"/>
  <c r="AU25" i="60" s="1"/>
  <c r="BZ25" i="60" s="1"/>
  <c r="BM25" i="60"/>
  <c r="BN25" i="60" s="1"/>
  <c r="N25" i="60"/>
  <c r="O25" i="60" s="1"/>
  <c r="W25" i="60"/>
  <c r="X25" i="60" s="1"/>
  <c r="BK25" i="60"/>
  <c r="T25" i="60"/>
  <c r="P25" i="60"/>
  <c r="Q25" i="60" s="1"/>
  <c r="BY24" i="59"/>
  <c r="AG24" i="59"/>
  <c r="BX23" i="59"/>
  <c r="CA23" i="59" s="1"/>
  <c r="AF23" i="59"/>
  <c r="AR23" i="59" s="1"/>
  <c r="L28" i="59"/>
  <c r="M27" i="59"/>
  <c r="BH27" i="59"/>
  <c r="AQ28" i="59"/>
  <c r="AS23" i="59"/>
  <c r="V23" i="59"/>
  <c r="AB23" i="59" s="1"/>
  <c r="J26" i="59"/>
  <c r="AV25" i="59"/>
  <c r="AW25" i="59" s="1"/>
  <c r="AT25" i="59"/>
  <c r="AU25" i="59" s="1"/>
  <c r="BZ25" i="59" s="1"/>
  <c r="BK25" i="59"/>
  <c r="BL25" i="59" s="1"/>
  <c r="P25" i="59"/>
  <c r="Q25" i="59" s="1"/>
  <c r="W25" i="59"/>
  <c r="X25" i="59" s="1"/>
  <c r="AA25" i="59" s="1"/>
  <c r="BM25" i="59"/>
  <c r="BN25" i="59" s="1"/>
  <c r="S26" i="59"/>
  <c r="BJ26" i="59"/>
  <c r="R24" i="57"/>
  <c r="J26" i="57"/>
  <c r="AV25" i="57"/>
  <c r="AW25" i="57" s="1"/>
  <c r="AT25" i="57"/>
  <c r="AU25" i="57" s="1"/>
  <c r="P25" i="57"/>
  <c r="Q25" i="57" s="1"/>
  <c r="N25" i="57"/>
  <c r="O25" i="57" s="1"/>
  <c r="W25" i="57"/>
  <c r="X25" i="57" s="1"/>
  <c r="BK25" i="57"/>
  <c r="BM25" i="57"/>
  <c r="BN25" i="57" s="1"/>
  <c r="T25" i="57"/>
  <c r="AS23" i="57"/>
  <c r="BH26" i="57"/>
  <c r="L27" i="57"/>
  <c r="M26" i="57"/>
  <c r="U24" i="57"/>
  <c r="AQ26" i="57"/>
  <c r="AN21" i="57"/>
  <c r="BE21" i="57"/>
  <c r="BJ25" i="57"/>
  <c r="S25" i="57"/>
  <c r="AH22" i="57"/>
  <c r="AN22" i="57" s="1"/>
  <c r="AQ22" i="52"/>
  <c r="J21" i="52"/>
  <c r="L22" i="52"/>
  <c r="BH22" i="52"/>
  <c r="AQ22" i="51"/>
  <c r="BH22" i="51"/>
  <c r="L22" i="51"/>
  <c r="J21" i="51"/>
  <c r="AV20" i="51"/>
  <c r="AT20" i="51"/>
  <c r="AU20" i="51" s="1"/>
  <c r="BZ20" i="51" s="1"/>
  <c r="P20" i="51"/>
  <c r="BK20" i="51"/>
  <c r="BM20" i="51"/>
  <c r="BN20" i="51" s="1"/>
  <c r="N20" i="51"/>
  <c r="W20" i="51"/>
  <c r="T20" i="51"/>
  <c r="CD16" i="34"/>
  <c r="L22" i="44"/>
  <c r="J21" i="44"/>
  <c r="AV20" i="44"/>
  <c r="AT20" i="44"/>
  <c r="AU20" i="44" s="1"/>
  <c r="BZ20" i="44" s="1"/>
  <c r="P20" i="44"/>
  <c r="BK20" i="44"/>
  <c r="W20" i="44"/>
  <c r="N20" i="44"/>
  <c r="BM20" i="44"/>
  <c r="BN20" i="44" s="1"/>
  <c r="T20" i="44"/>
  <c r="AQ22" i="44"/>
  <c r="BH22" i="44"/>
  <c r="BH21" i="34"/>
  <c r="AQ21" i="34"/>
  <c r="L22" i="34"/>
  <c r="T20" i="34" l="1"/>
  <c r="BM20" i="34"/>
  <c r="BN20" i="34" s="1"/>
  <c r="AT20" i="34"/>
  <c r="AU20" i="34" s="1"/>
  <c r="AV20" i="34"/>
  <c r="J21" i="34"/>
  <c r="W21" i="34" s="1"/>
  <c r="N20" i="34"/>
  <c r="P20" i="34"/>
  <c r="BK20" i="34"/>
  <c r="AA25" i="60"/>
  <c r="BX24" i="60"/>
  <c r="BY24" i="60"/>
  <c r="BT24" i="59"/>
  <c r="Y16" i="59"/>
  <c r="AA16" i="59" s="1"/>
  <c r="AB16" i="59" s="1"/>
  <c r="V24" i="59"/>
  <c r="BX24" i="59"/>
  <c r="CA24" i="59" s="1"/>
  <c r="R25" i="59"/>
  <c r="V25" i="59" s="1"/>
  <c r="AB25" i="59" s="1"/>
  <c r="AF24" i="60"/>
  <c r="AR24" i="60" s="1"/>
  <c r="AH23" i="57"/>
  <c r="AN23" i="57" s="1"/>
  <c r="AZ23" i="57"/>
  <c r="BE23" i="57" s="1"/>
  <c r="AH23" i="59"/>
  <c r="AN23" i="59" s="1"/>
  <c r="Y16" i="60"/>
  <c r="Y16" i="57"/>
  <c r="AA16" i="57" s="1"/>
  <c r="AB16" i="57" s="1"/>
  <c r="Y16" i="51"/>
  <c r="V24" i="60"/>
  <c r="Y15" i="57"/>
  <c r="AA15" i="57" s="1"/>
  <c r="AB15" i="57" s="1"/>
  <c r="Y14" i="57"/>
  <c r="Y15" i="44"/>
  <c r="M18" i="33"/>
  <c r="M16" i="33"/>
  <c r="F13" i="59"/>
  <c r="M17" i="33"/>
  <c r="F13" i="60"/>
  <c r="F12" i="75" s="1"/>
  <c r="J12" i="75" s="1"/>
  <c r="U25" i="60"/>
  <c r="U25" i="57"/>
  <c r="AG25" i="57" s="1"/>
  <c r="BZ25" i="57"/>
  <c r="AA25" i="57"/>
  <c r="BL25" i="57"/>
  <c r="BP25" i="57" s="1"/>
  <c r="BT25" i="57" s="1"/>
  <c r="AQ28" i="63"/>
  <c r="BH28" i="63"/>
  <c r="L28" i="63"/>
  <c r="AV26" i="63"/>
  <c r="AT26" i="63"/>
  <c r="AU26" i="63" s="1"/>
  <c r="BZ26" i="63" s="1"/>
  <c r="J27" i="63"/>
  <c r="BK26" i="63"/>
  <c r="N26" i="63"/>
  <c r="P26" i="63"/>
  <c r="BM26" i="63"/>
  <c r="BN26" i="63" s="1"/>
  <c r="W26" i="63"/>
  <c r="T26" i="63"/>
  <c r="Y16" i="63"/>
  <c r="Y14" i="60"/>
  <c r="R25" i="60"/>
  <c r="AS24" i="60"/>
  <c r="L28" i="60"/>
  <c r="M27" i="60"/>
  <c r="BL25" i="60"/>
  <c r="BP25" i="60" s="1"/>
  <c r="BT25" i="60" s="1"/>
  <c r="AV26" i="60"/>
  <c r="AW26" i="60" s="1"/>
  <c r="AT26" i="60"/>
  <c r="AU26" i="60" s="1"/>
  <c r="BZ26" i="60" s="1"/>
  <c r="J27" i="60"/>
  <c r="W26" i="60"/>
  <c r="X26" i="60" s="1"/>
  <c r="BK26" i="60"/>
  <c r="P26" i="60"/>
  <c r="Q26" i="60" s="1"/>
  <c r="N26" i="60"/>
  <c r="O26" i="60" s="1"/>
  <c r="BM26" i="60"/>
  <c r="BN26" i="60" s="1"/>
  <c r="T26" i="60"/>
  <c r="AQ28" i="60"/>
  <c r="BJ26" i="60"/>
  <c r="S26" i="60"/>
  <c r="BH28" i="60"/>
  <c r="BP25" i="59"/>
  <c r="BT25" i="59" s="1"/>
  <c r="AZ23" i="59"/>
  <c r="BE23" i="59" s="1"/>
  <c r="BY25" i="59"/>
  <c r="AG25" i="59"/>
  <c r="AQ29" i="59"/>
  <c r="BH28" i="59"/>
  <c r="L29" i="59"/>
  <c r="M28" i="59"/>
  <c r="CG23" i="59"/>
  <c r="AH24" i="59"/>
  <c r="AS24" i="59"/>
  <c r="AZ24" i="59" s="1"/>
  <c r="J27" i="59"/>
  <c r="N27" i="59" s="1"/>
  <c r="AV26" i="59"/>
  <c r="AW26" i="59" s="1"/>
  <c r="AT26" i="59"/>
  <c r="AU26" i="59" s="1"/>
  <c r="BZ26" i="59" s="1"/>
  <c r="BM26" i="59"/>
  <c r="BN26" i="59" s="1"/>
  <c r="N26" i="59"/>
  <c r="O26" i="59" s="1"/>
  <c r="P26" i="59"/>
  <c r="Q26" i="59" s="1"/>
  <c r="BK26" i="59"/>
  <c r="BL26" i="59" s="1"/>
  <c r="W26" i="59"/>
  <c r="X26" i="59" s="1"/>
  <c r="AA26" i="59" s="1"/>
  <c r="T26" i="59"/>
  <c r="U26" i="59" s="1"/>
  <c r="BJ27" i="59"/>
  <c r="S27" i="59"/>
  <c r="AQ27" i="57"/>
  <c r="S26" i="57"/>
  <c r="BJ26" i="57"/>
  <c r="BX24" i="57"/>
  <c r="AF24" i="57"/>
  <c r="AR24" i="57" s="1"/>
  <c r="R25" i="57"/>
  <c r="AG24" i="57"/>
  <c r="BY24" i="57"/>
  <c r="V24" i="57"/>
  <c r="AB24" i="57" s="1"/>
  <c r="L28" i="57"/>
  <c r="M27" i="57"/>
  <c r="BH27" i="57"/>
  <c r="J27" i="57"/>
  <c r="AV26" i="57"/>
  <c r="AW26" i="57" s="1"/>
  <c r="AT26" i="57"/>
  <c r="AU26" i="57" s="1"/>
  <c r="BK26" i="57"/>
  <c r="BM26" i="57"/>
  <c r="BN26" i="57" s="1"/>
  <c r="N26" i="57"/>
  <c r="O26" i="57" s="1"/>
  <c r="P26" i="57"/>
  <c r="Q26" i="57" s="1"/>
  <c r="W26" i="57"/>
  <c r="X26" i="57" s="1"/>
  <c r="T26" i="57"/>
  <c r="AJ16" i="44"/>
  <c r="AL16" i="44" s="1"/>
  <c r="BH23" i="52"/>
  <c r="L23" i="52"/>
  <c r="J22" i="52"/>
  <c r="AQ23" i="52"/>
  <c r="AQ23" i="51"/>
  <c r="J22" i="51"/>
  <c r="AV21" i="51"/>
  <c r="AT21" i="51"/>
  <c r="AU21" i="51" s="1"/>
  <c r="BZ21" i="51" s="1"/>
  <c r="P21" i="51"/>
  <c r="BK21" i="51"/>
  <c r="BM21" i="51"/>
  <c r="BN21" i="51" s="1"/>
  <c r="N21" i="51"/>
  <c r="W21" i="51"/>
  <c r="T21" i="51"/>
  <c r="L23" i="51"/>
  <c r="BH23" i="51"/>
  <c r="BH23" i="44"/>
  <c r="AQ23" i="44"/>
  <c r="L23" i="44"/>
  <c r="J22" i="44"/>
  <c r="AV21" i="44"/>
  <c r="AT21" i="44"/>
  <c r="AU21" i="44" s="1"/>
  <c r="BZ21" i="44" s="1"/>
  <c r="P21" i="44"/>
  <c r="BM21" i="44"/>
  <c r="BN21" i="44" s="1"/>
  <c r="T21" i="44"/>
  <c r="BK21" i="44"/>
  <c r="W21" i="44"/>
  <c r="N21" i="44"/>
  <c r="L23" i="34"/>
  <c r="AQ22" i="34"/>
  <c r="BH22" i="34"/>
  <c r="BK21" i="34" l="1"/>
  <c r="N21" i="34"/>
  <c r="BM21" i="34"/>
  <c r="BN21" i="34" s="1"/>
  <c r="AT21" i="34"/>
  <c r="AU21" i="34" s="1"/>
  <c r="AV21" i="34"/>
  <c r="P21" i="34"/>
  <c r="J22" i="34"/>
  <c r="W22" i="34" s="1"/>
  <c r="T21" i="34"/>
  <c r="BZ20" i="34"/>
  <c r="CA24" i="60"/>
  <c r="CG24" i="60" s="1"/>
  <c r="AG25" i="60"/>
  <c r="AS25" i="60" s="1"/>
  <c r="AA26" i="60"/>
  <c r="AB24" i="60"/>
  <c r="M10" i="33"/>
  <c r="AN24" i="59"/>
  <c r="CG24" i="59"/>
  <c r="AB24" i="59"/>
  <c r="BE24" i="59"/>
  <c r="F11" i="75"/>
  <c r="J11" i="75" s="1"/>
  <c r="BY25" i="60"/>
  <c r="AZ24" i="60"/>
  <c r="BE24" i="60" s="1"/>
  <c r="AH24" i="60"/>
  <c r="AN24" i="60" s="1"/>
  <c r="AF25" i="59"/>
  <c r="AR25" i="59" s="1"/>
  <c r="BX25" i="59"/>
  <c r="CA25" i="59" s="1"/>
  <c r="CG25" i="59" s="1"/>
  <c r="AJ16" i="51"/>
  <c r="AL16" i="51" s="1"/>
  <c r="BB16" i="51"/>
  <c r="BD16" i="51" s="1"/>
  <c r="BY25" i="57"/>
  <c r="F13" i="57"/>
  <c r="F10" i="75" s="1"/>
  <c r="J10" i="75" s="1"/>
  <c r="BB16" i="57"/>
  <c r="Y14" i="51"/>
  <c r="AJ14" i="51" s="1"/>
  <c r="AL14" i="51" s="1"/>
  <c r="AL39" i="51" s="1"/>
  <c r="F13" i="51"/>
  <c r="F18" i="75" s="1"/>
  <c r="J18" i="75" s="1"/>
  <c r="Y14" i="63"/>
  <c r="AJ14" i="63" s="1"/>
  <c r="AL14" i="63" s="1"/>
  <c r="AL39" i="63" s="1"/>
  <c r="Y15" i="51"/>
  <c r="Y14" i="59"/>
  <c r="AJ14" i="59" s="1"/>
  <c r="AL14" i="59" s="1"/>
  <c r="AL39" i="59" s="1"/>
  <c r="BB16" i="44"/>
  <c r="CC16" i="44" s="1"/>
  <c r="CE16" i="44" s="1"/>
  <c r="BB16" i="63"/>
  <c r="BD16" i="63" s="1"/>
  <c r="M11" i="33"/>
  <c r="BL26" i="60"/>
  <c r="BP26" i="60" s="1"/>
  <c r="BT26" i="60" s="1"/>
  <c r="V25" i="60"/>
  <c r="AJ14" i="44"/>
  <c r="AL14" i="44" s="1"/>
  <c r="AL39" i="44" s="1"/>
  <c r="F13" i="44"/>
  <c r="F16" i="75" s="1"/>
  <c r="J16" i="75" s="1"/>
  <c r="F13" i="63"/>
  <c r="F17" i="75" s="1"/>
  <c r="J17" i="75" s="1"/>
  <c r="AA14" i="57"/>
  <c r="AJ14" i="57"/>
  <c r="AL14" i="57" s="1"/>
  <c r="M12" i="33"/>
  <c r="R26" i="60"/>
  <c r="BZ26" i="57"/>
  <c r="CA24" i="57"/>
  <c r="CG24" i="57" s="1"/>
  <c r="AA26" i="57"/>
  <c r="BB14" i="59"/>
  <c r="CC14" i="59" s="1"/>
  <c r="CE14" i="59" s="1"/>
  <c r="CE39" i="59" s="1"/>
  <c r="BB14" i="60"/>
  <c r="BD14" i="60" s="1"/>
  <c r="BD39" i="60" s="1"/>
  <c r="J28" i="63"/>
  <c r="AV27" i="63"/>
  <c r="AT27" i="63"/>
  <c r="AU27" i="63" s="1"/>
  <c r="BZ27" i="63" s="1"/>
  <c r="BM27" i="63"/>
  <c r="BN27" i="63" s="1"/>
  <c r="W27" i="63"/>
  <c r="T27" i="63"/>
  <c r="BK27" i="63"/>
  <c r="N27" i="63"/>
  <c r="P27" i="63"/>
  <c r="L29" i="63"/>
  <c r="BH29" i="63"/>
  <c r="AQ29" i="63"/>
  <c r="AJ16" i="63"/>
  <c r="AL16" i="63" s="1"/>
  <c r="Y15" i="63"/>
  <c r="Y15" i="60"/>
  <c r="AJ16" i="60"/>
  <c r="AL16" i="60" s="1"/>
  <c r="AJ14" i="60"/>
  <c r="AL14" i="60" s="1"/>
  <c r="AL39" i="60" s="1"/>
  <c r="BJ27" i="60"/>
  <c r="S27" i="60"/>
  <c r="BX25" i="60"/>
  <c r="AF25" i="60"/>
  <c r="AR25" i="60" s="1"/>
  <c r="U26" i="60"/>
  <c r="BH29" i="60"/>
  <c r="AQ29" i="60"/>
  <c r="J28" i="60"/>
  <c r="AV27" i="60"/>
  <c r="AW27" i="60" s="1"/>
  <c r="AT27" i="60"/>
  <c r="AU27" i="60" s="1"/>
  <c r="BZ27" i="60" s="1"/>
  <c r="BM27" i="60"/>
  <c r="BN27" i="60" s="1"/>
  <c r="T27" i="60"/>
  <c r="W27" i="60"/>
  <c r="X27" i="60" s="1"/>
  <c r="BK27" i="60"/>
  <c r="P27" i="60"/>
  <c r="Q27" i="60" s="1"/>
  <c r="N27" i="60"/>
  <c r="O27" i="60" s="1"/>
  <c r="L29" i="60"/>
  <c r="M28" i="60"/>
  <c r="AJ16" i="59"/>
  <c r="AL16" i="59" s="1"/>
  <c r="AN16" i="59" s="1"/>
  <c r="J28" i="59"/>
  <c r="AV27" i="59"/>
  <c r="AW27" i="59" s="1"/>
  <c r="AT27" i="59"/>
  <c r="AU27" i="59" s="1"/>
  <c r="BZ27" i="59" s="1"/>
  <c r="BM27" i="59"/>
  <c r="BN27" i="59" s="1"/>
  <c r="T27" i="59"/>
  <c r="U27" i="59" s="1"/>
  <c r="BK27" i="59"/>
  <c r="BL27" i="59" s="1"/>
  <c r="W27" i="59"/>
  <c r="X27" i="59" s="1"/>
  <c r="AA27" i="59" s="1"/>
  <c r="O27" i="59"/>
  <c r="P27" i="59"/>
  <c r="Q27" i="59" s="1"/>
  <c r="S28" i="59"/>
  <c r="BJ28" i="59"/>
  <c r="BP26" i="59"/>
  <c r="BT26" i="59" s="1"/>
  <c r="R26" i="59"/>
  <c r="V26" i="59" s="1"/>
  <c r="AB26" i="59" s="1"/>
  <c r="AG26" i="59"/>
  <c r="BY26" i="59"/>
  <c r="L30" i="59"/>
  <c r="M29" i="59"/>
  <c r="BH29" i="59"/>
  <c r="AQ30" i="59"/>
  <c r="AS25" i="59"/>
  <c r="J28" i="57"/>
  <c r="AV27" i="57"/>
  <c r="AW27" i="57" s="1"/>
  <c r="AT27" i="57"/>
  <c r="AU27" i="57" s="1"/>
  <c r="T27" i="57"/>
  <c r="BK27" i="57"/>
  <c r="BM27" i="57"/>
  <c r="BN27" i="57" s="1"/>
  <c r="N27" i="57"/>
  <c r="O27" i="57" s="1"/>
  <c r="P27" i="57"/>
  <c r="Q27" i="57" s="1"/>
  <c r="W27" i="57"/>
  <c r="X27" i="57" s="1"/>
  <c r="BH28" i="57"/>
  <c r="L29" i="57"/>
  <c r="M28" i="57"/>
  <c r="AF25" i="57"/>
  <c r="AR25" i="57" s="1"/>
  <c r="BX25" i="57"/>
  <c r="AJ15" i="57"/>
  <c r="AL15" i="57" s="1"/>
  <c r="AN15" i="57" s="1"/>
  <c r="BL26" i="57"/>
  <c r="V25" i="57"/>
  <c r="AB25" i="57" s="1"/>
  <c r="S27" i="57"/>
  <c r="BJ27" i="57"/>
  <c r="AS24" i="57"/>
  <c r="AZ24" i="57" s="1"/>
  <c r="BE24" i="57" s="1"/>
  <c r="AH24" i="57"/>
  <c r="AN24" i="57" s="1"/>
  <c r="AJ16" i="57"/>
  <c r="AL16" i="57" s="1"/>
  <c r="AN16" i="57" s="1"/>
  <c r="AQ28" i="57"/>
  <c r="AS25" i="57"/>
  <c r="R26" i="57"/>
  <c r="U26" i="57"/>
  <c r="BB15" i="51"/>
  <c r="AJ15" i="44"/>
  <c r="AL15" i="44" s="1"/>
  <c r="CD15" i="52"/>
  <c r="AK15" i="52"/>
  <c r="J23" i="52"/>
  <c r="L24" i="52"/>
  <c r="AQ24" i="52"/>
  <c r="BH24" i="52"/>
  <c r="BH24" i="51"/>
  <c r="L24" i="51"/>
  <c r="AQ24" i="51"/>
  <c r="J23" i="51"/>
  <c r="AV22" i="51"/>
  <c r="AT22" i="51"/>
  <c r="AU22" i="51" s="1"/>
  <c r="BZ22" i="51" s="1"/>
  <c r="P22" i="51"/>
  <c r="W22" i="51"/>
  <c r="N22" i="51"/>
  <c r="BK22" i="51"/>
  <c r="BM22" i="51"/>
  <c r="BN22" i="51" s="1"/>
  <c r="T22" i="51"/>
  <c r="J23" i="44"/>
  <c r="AV22" i="44"/>
  <c r="AT22" i="44"/>
  <c r="AU22" i="44" s="1"/>
  <c r="BZ22" i="44" s="1"/>
  <c r="P22" i="44"/>
  <c r="BM22" i="44"/>
  <c r="BN22" i="44" s="1"/>
  <c r="N22" i="44"/>
  <c r="BK22" i="44"/>
  <c r="W22" i="44"/>
  <c r="T22" i="44"/>
  <c r="L24" i="44"/>
  <c r="BH24" i="44"/>
  <c r="AQ24" i="44"/>
  <c r="AQ23" i="34"/>
  <c r="BH23" i="34"/>
  <c r="L24" i="34"/>
  <c r="AV22" i="34"/>
  <c r="AT22" i="34"/>
  <c r="AU22" i="34" s="1"/>
  <c r="T22" i="34"/>
  <c r="P22" i="34"/>
  <c r="N22" i="34"/>
  <c r="J23" i="34"/>
  <c r="W23" i="34" s="1"/>
  <c r="BM22" i="34"/>
  <c r="BN22" i="34" s="1"/>
  <c r="BK22" i="34"/>
  <c r="BZ14" i="52"/>
  <c r="AL39" i="57" l="1"/>
  <c r="AL38" i="57"/>
  <c r="AN14" i="59"/>
  <c r="AL38" i="60"/>
  <c r="AB14" i="57"/>
  <c r="AL38" i="44"/>
  <c r="BZ21" i="34"/>
  <c r="BZ22" i="34"/>
  <c r="CA25" i="60"/>
  <c r="CG25" i="60" s="1"/>
  <c r="AA27" i="60"/>
  <c r="AF26" i="60"/>
  <c r="AR26" i="60" s="1"/>
  <c r="AB25" i="60"/>
  <c r="CC16" i="57"/>
  <c r="CE16" i="57" s="1"/>
  <c r="CG16" i="57" s="1"/>
  <c r="BD16" i="57"/>
  <c r="BE16" i="57" s="1"/>
  <c r="BB16" i="59"/>
  <c r="BD16" i="59" s="1"/>
  <c r="AN14" i="57"/>
  <c r="BB15" i="59"/>
  <c r="BD15" i="59" s="1"/>
  <c r="BE15" i="59" s="1"/>
  <c r="AZ25" i="59"/>
  <c r="BB16" i="60"/>
  <c r="BD16" i="60" s="1"/>
  <c r="BD38" i="60" s="1"/>
  <c r="AH25" i="59"/>
  <c r="CA25" i="57"/>
  <c r="CG25" i="57" s="1"/>
  <c r="BB14" i="57"/>
  <c r="AA14" i="59"/>
  <c r="BB15" i="44"/>
  <c r="BD15" i="44" s="1"/>
  <c r="BB14" i="51"/>
  <c r="BD14" i="51" s="1"/>
  <c r="AJ15" i="51"/>
  <c r="AL15" i="51" s="1"/>
  <c r="CC16" i="51"/>
  <c r="CE16" i="51" s="1"/>
  <c r="BB14" i="44"/>
  <c r="CC14" i="44" s="1"/>
  <c r="CE14" i="44" s="1"/>
  <c r="CE39" i="44" s="1"/>
  <c r="BB14" i="63"/>
  <c r="BD14" i="63" s="1"/>
  <c r="BD39" i="63" s="1"/>
  <c r="BD16" i="44"/>
  <c r="BB15" i="60"/>
  <c r="BD15" i="60" s="1"/>
  <c r="CC16" i="63"/>
  <c r="CE16" i="63" s="1"/>
  <c r="BB15" i="63"/>
  <c r="CC15" i="63" s="1"/>
  <c r="CE15" i="63" s="1"/>
  <c r="BB15" i="57"/>
  <c r="BD15" i="57" s="1"/>
  <c r="BE15" i="57" s="1"/>
  <c r="F19" i="75"/>
  <c r="J19" i="75" s="1"/>
  <c r="BX26" i="60"/>
  <c r="CC14" i="60"/>
  <c r="CE14" i="60" s="1"/>
  <c r="CE39" i="60" s="1"/>
  <c r="BD14" i="59"/>
  <c r="BD39" i="59" s="1"/>
  <c r="U27" i="60"/>
  <c r="BZ27" i="57"/>
  <c r="BL27" i="57"/>
  <c r="BP27" i="57" s="1"/>
  <c r="BT27" i="57" s="1"/>
  <c r="BP26" i="57"/>
  <c r="BT26" i="57" s="1"/>
  <c r="AA27" i="57"/>
  <c r="AJ15" i="63"/>
  <c r="AL15" i="63" s="1"/>
  <c r="AL38" i="63" s="1"/>
  <c r="AQ30" i="63"/>
  <c r="BH30" i="63"/>
  <c r="L30" i="63"/>
  <c r="J29" i="63"/>
  <c r="AV28" i="63"/>
  <c r="BK28" i="63"/>
  <c r="W28" i="63"/>
  <c r="N28" i="63"/>
  <c r="P28" i="63"/>
  <c r="AT28" i="63"/>
  <c r="AU28" i="63" s="1"/>
  <c r="BZ28" i="63" s="1"/>
  <c r="BM28" i="63"/>
  <c r="BN28" i="63" s="1"/>
  <c r="T28" i="63"/>
  <c r="BP27" i="59"/>
  <c r="BT27" i="59" s="1"/>
  <c r="AJ15" i="60"/>
  <c r="AL15" i="60" s="1"/>
  <c r="S28" i="60"/>
  <c r="BJ28" i="60"/>
  <c r="AQ30" i="60"/>
  <c r="BY26" i="60"/>
  <c r="V26" i="60"/>
  <c r="AG26" i="60"/>
  <c r="AH25" i="60"/>
  <c r="AN25" i="60" s="1"/>
  <c r="BL27" i="60"/>
  <c r="BP27" i="60" s="1"/>
  <c r="BT27" i="60" s="1"/>
  <c r="L30" i="60"/>
  <c r="M29" i="60"/>
  <c r="J29" i="60"/>
  <c r="AV28" i="60"/>
  <c r="AW28" i="60" s="1"/>
  <c r="BK28" i="60"/>
  <c r="W28" i="60"/>
  <c r="X28" i="60" s="1"/>
  <c r="BM28" i="60"/>
  <c r="BN28" i="60" s="1"/>
  <c r="T28" i="60"/>
  <c r="AT28" i="60"/>
  <c r="AU28" i="60" s="1"/>
  <c r="BZ28" i="60" s="1"/>
  <c r="P28" i="60"/>
  <c r="Q28" i="60" s="1"/>
  <c r="N28" i="60"/>
  <c r="O28" i="60" s="1"/>
  <c r="BH30" i="60"/>
  <c r="AZ25" i="60"/>
  <c r="BE25" i="60" s="1"/>
  <c r="R27" i="60"/>
  <c r="AJ15" i="59"/>
  <c r="AL15" i="59" s="1"/>
  <c r="AN15" i="59" s="1"/>
  <c r="AB15" i="59"/>
  <c r="CG14" i="59"/>
  <c r="BJ29" i="59"/>
  <c r="S29" i="59"/>
  <c r="AS26" i="59"/>
  <c r="BX26" i="59"/>
  <c r="CA26" i="59" s="1"/>
  <c r="CG26" i="59" s="1"/>
  <c r="AF26" i="59"/>
  <c r="AR26" i="59" s="1"/>
  <c r="J29" i="59"/>
  <c r="AV28" i="59"/>
  <c r="AW28" i="59" s="1"/>
  <c r="BK28" i="59"/>
  <c r="BL28" i="59" s="1"/>
  <c r="W28" i="59"/>
  <c r="X28" i="59" s="1"/>
  <c r="AA28" i="59" s="1"/>
  <c r="T28" i="59"/>
  <c r="U28" i="59" s="1"/>
  <c r="BM28" i="59"/>
  <c r="BN28" i="59" s="1"/>
  <c r="N28" i="59"/>
  <c r="O28" i="59" s="1"/>
  <c r="P28" i="59"/>
  <c r="Q28" i="59" s="1"/>
  <c r="AT28" i="59"/>
  <c r="AU28" i="59" s="1"/>
  <c r="BZ28" i="59" s="1"/>
  <c r="R27" i="59"/>
  <c r="V27" i="59" s="1"/>
  <c r="BY27" i="59"/>
  <c r="AG27" i="59"/>
  <c r="AQ31" i="59"/>
  <c r="BH30" i="59"/>
  <c r="L31" i="59"/>
  <c r="M30" i="59"/>
  <c r="AH25" i="57"/>
  <c r="AN25" i="57" s="1"/>
  <c r="AZ25" i="57"/>
  <c r="BE25" i="57" s="1"/>
  <c r="AG26" i="57"/>
  <c r="BY26" i="57"/>
  <c r="V26" i="57"/>
  <c r="AB26" i="57" s="1"/>
  <c r="BJ28" i="57"/>
  <c r="S28" i="57"/>
  <c r="J29" i="57"/>
  <c r="AV28" i="57"/>
  <c r="AW28" i="57" s="1"/>
  <c r="BK28" i="57"/>
  <c r="BM28" i="57"/>
  <c r="BN28" i="57" s="1"/>
  <c r="T28" i="57"/>
  <c r="W28" i="57"/>
  <c r="X28" i="57" s="1"/>
  <c r="N28" i="57"/>
  <c r="O28" i="57" s="1"/>
  <c r="P28" i="57"/>
  <c r="Q28" i="57" s="1"/>
  <c r="AT28" i="57"/>
  <c r="AU28" i="57" s="1"/>
  <c r="R27" i="57"/>
  <c r="U27" i="57"/>
  <c r="BX26" i="57"/>
  <c r="AF26" i="57"/>
  <c r="AR26" i="57" s="1"/>
  <c r="AQ29" i="57"/>
  <c r="L30" i="57"/>
  <c r="M29" i="57"/>
  <c r="BH29" i="57"/>
  <c r="BD15" i="51"/>
  <c r="CC15" i="51"/>
  <c r="CE15" i="51" s="1"/>
  <c r="BH25" i="52"/>
  <c r="L25" i="52"/>
  <c r="AQ25" i="52"/>
  <c r="J24" i="52"/>
  <c r="L25" i="51"/>
  <c r="BH25" i="51"/>
  <c r="J24" i="51"/>
  <c r="AV23" i="51"/>
  <c r="AT23" i="51"/>
  <c r="AU23" i="51" s="1"/>
  <c r="BZ23" i="51" s="1"/>
  <c r="W23" i="51"/>
  <c r="N23" i="51"/>
  <c r="T23" i="51"/>
  <c r="BK23" i="51"/>
  <c r="BM23" i="51"/>
  <c r="BN23" i="51" s="1"/>
  <c r="P23" i="51"/>
  <c r="AQ25" i="51"/>
  <c r="AQ25" i="44"/>
  <c r="BH25" i="44"/>
  <c r="L25" i="44"/>
  <c r="J24" i="44"/>
  <c r="AV23" i="44"/>
  <c r="AT23" i="44"/>
  <c r="AU23" i="44" s="1"/>
  <c r="BZ23" i="44" s="1"/>
  <c r="P23" i="44"/>
  <c r="BK23" i="44"/>
  <c r="W23" i="44"/>
  <c r="N23" i="44"/>
  <c r="BM23" i="44"/>
  <c r="BN23" i="44" s="1"/>
  <c r="T23" i="44"/>
  <c r="W24" i="34"/>
  <c r="AV23" i="34"/>
  <c r="AT23" i="34"/>
  <c r="AU23" i="34" s="1"/>
  <c r="T23" i="34"/>
  <c r="P23" i="34"/>
  <c r="N23" i="34"/>
  <c r="BM23" i="34"/>
  <c r="BN23" i="34" s="1"/>
  <c r="BK23" i="34"/>
  <c r="L25" i="34"/>
  <c r="BH24" i="34"/>
  <c r="AQ24" i="34"/>
  <c r="BR39" i="52"/>
  <c r="BD39" i="51" l="1"/>
  <c r="BD14" i="57"/>
  <c r="BD39" i="57" s="1"/>
  <c r="CC14" i="57"/>
  <c r="CE14" i="57" s="1"/>
  <c r="CE39" i="57" s="1"/>
  <c r="AL38" i="59"/>
  <c r="BD38" i="59"/>
  <c r="BZ23" i="34"/>
  <c r="AB26" i="60"/>
  <c r="CC16" i="59"/>
  <c r="CE16" i="59" s="1"/>
  <c r="CG16" i="59" s="1"/>
  <c r="AG27" i="60"/>
  <c r="AS27" i="60" s="1"/>
  <c r="AA28" i="60"/>
  <c r="CC16" i="60"/>
  <c r="CE16" i="60" s="1"/>
  <c r="BR38" i="52"/>
  <c r="BE16" i="59"/>
  <c r="AB27" i="59"/>
  <c r="AN25" i="59"/>
  <c r="BE25" i="59"/>
  <c r="BE14" i="59"/>
  <c r="AB14" i="59"/>
  <c r="AL38" i="51"/>
  <c r="BD38" i="51"/>
  <c r="CC15" i="59"/>
  <c r="CE15" i="59" s="1"/>
  <c r="BY27" i="60"/>
  <c r="V27" i="60"/>
  <c r="CC14" i="63"/>
  <c r="CE14" i="63" s="1"/>
  <c r="CE39" i="63" s="1"/>
  <c r="CA26" i="60"/>
  <c r="BD14" i="44"/>
  <c r="BD39" i="44" s="1"/>
  <c r="CC15" i="60"/>
  <c r="CE15" i="60" s="1"/>
  <c r="CC15" i="44"/>
  <c r="CE15" i="44" s="1"/>
  <c r="CE38" i="44" s="1"/>
  <c r="CC14" i="51"/>
  <c r="CE14" i="51" s="1"/>
  <c r="CE39" i="51" s="1"/>
  <c r="BD15" i="63"/>
  <c r="BD38" i="63" s="1"/>
  <c r="CC15" i="57"/>
  <c r="CE15" i="57" s="1"/>
  <c r="CG15" i="57" s="1"/>
  <c r="H13" i="75"/>
  <c r="H21" i="75" s="1"/>
  <c r="AZ26" i="59"/>
  <c r="BE26" i="59" s="1"/>
  <c r="CA26" i="57"/>
  <c r="CG26" i="57" s="1"/>
  <c r="BP28" i="59"/>
  <c r="BT28" i="59" s="1"/>
  <c r="R28" i="60"/>
  <c r="BZ28" i="57"/>
  <c r="AA28" i="57"/>
  <c r="BL28" i="57"/>
  <c r="BP28" i="57" s="1"/>
  <c r="BT28" i="57" s="1"/>
  <c r="J30" i="63"/>
  <c r="AV29" i="63"/>
  <c r="BK29" i="63"/>
  <c r="N29" i="63"/>
  <c r="P29" i="63"/>
  <c r="AT29" i="63"/>
  <c r="AU29" i="63" s="1"/>
  <c r="BZ29" i="63" s="1"/>
  <c r="BM29" i="63"/>
  <c r="BN29" i="63" s="1"/>
  <c r="W29" i="63"/>
  <c r="T29" i="63"/>
  <c r="L31" i="63"/>
  <c r="BH31" i="63"/>
  <c r="AQ31" i="63"/>
  <c r="AF27" i="60"/>
  <c r="AR27" i="60" s="1"/>
  <c r="BX27" i="60"/>
  <c r="L31" i="60"/>
  <c r="M30" i="60"/>
  <c r="AH26" i="60"/>
  <c r="AN26" i="60" s="1"/>
  <c r="AS26" i="60"/>
  <c r="AZ26" i="60" s="1"/>
  <c r="BE26" i="60" s="1"/>
  <c r="AQ31" i="60"/>
  <c r="U28" i="60"/>
  <c r="BH31" i="60"/>
  <c r="AV29" i="60"/>
  <c r="AW29" i="60" s="1"/>
  <c r="J30" i="60"/>
  <c r="W29" i="60"/>
  <c r="X29" i="60" s="1"/>
  <c r="BK29" i="60"/>
  <c r="BM29" i="60"/>
  <c r="BN29" i="60" s="1"/>
  <c r="T29" i="60"/>
  <c r="P29" i="60"/>
  <c r="Q29" i="60" s="1"/>
  <c r="N29" i="60"/>
  <c r="O29" i="60" s="1"/>
  <c r="AT29" i="60"/>
  <c r="AU29" i="60" s="1"/>
  <c r="BZ29" i="60" s="1"/>
  <c r="BJ29" i="60"/>
  <c r="S29" i="60"/>
  <c r="BL28" i="60"/>
  <c r="BP28" i="60" s="1"/>
  <c r="BT28" i="60" s="1"/>
  <c r="R28" i="59"/>
  <c r="V28" i="59" s="1"/>
  <c r="AB28" i="59" s="1"/>
  <c r="AG28" i="59"/>
  <c r="BY28" i="59"/>
  <c r="S30" i="59"/>
  <c r="BJ30" i="59"/>
  <c r="AS27" i="59"/>
  <c r="L32" i="59"/>
  <c r="M31" i="59"/>
  <c r="BH31" i="59"/>
  <c r="AQ32" i="59"/>
  <c r="AF27" i="59"/>
  <c r="AR27" i="59" s="1"/>
  <c r="BX27" i="59"/>
  <c r="CA27" i="59" s="1"/>
  <c r="J30" i="59"/>
  <c r="AV29" i="59"/>
  <c r="AW29" i="59" s="1"/>
  <c r="BK29" i="59"/>
  <c r="BL29" i="59" s="1"/>
  <c r="W29" i="59"/>
  <c r="X29" i="59" s="1"/>
  <c r="AA29" i="59" s="1"/>
  <c r="N29" i="59"/>
  <c r="O29" i="59" s="1"/>
  <c r="P29" i="59"/>
  <c r="Q29" i="59" s="1"/>
  <c r="BM29" i="59"/>
  <c r="BN29" i="59" s="1"/>
  <c r="T29" i="59"/>
  <c r="U29" i="59" s="1"/>
  <c r="AT29" i="59"/>
  <c r="AU29" i="59" s="1"/>
  <c r="BZ29" i="59" s="1"/>
  <c r="AH26" i="59"/>
  <c r="AN26" i="59" s="1"/>
  <c r="R28" i="57"/>
  <c r="S29" i="57"/>
  <c r="BJ29" i="57"/>
  <c r="AG27" i="57"/>
  <c r="BY27" i="57"/>
  <c r="V27" i="57"/>
  <c r="AB27" i="57" s="1"/>
  <c r="AS26" i="57"/>
  <c r="AZ26" i="57" s="1"/>
  <c r="BE26" i="57" s="1"/>
  <c r="AH26" i="57"/>
  <c r="AN26" i="57" s="1"/>
  <c r="U28" i="57"/>
  <c r="BH30" i="57"/>
  <c r="L31" i="57"/>
  <c r="M30" i="57"/>
  <c r="AQ30" i="57"/>
  <c r="BX27" i="57"/>
  <c r="AF27" i="57"/>
  <c r="AR27" i="57" s="1"/>
  <c r="J30" i="57"/>
  <c r="AV29" i="57"/>
  <c r="AW29" i="57" s="1"/>
  <c r="BK29" i="57"/>
  <c r="BM29" i="57"/>
  <c r="BN29" i="57" s="1"/>
  <c r="N29" i="57"/>
  <c r="O29" i="57" s="1"/>
  <c r="P29" i="57"/>
  <c r="Q29" i="57" s="1"/>
  <c r="W29" i="57"/>
  <c r="X29" i="57" s="1"/>
  <c r="T29" i="57"/>
  <c r="AT29" i="57"/>
  <c r="AU29" i="57" s="1"/>
  <c r="BZ15" i="52"/>
  <c r="J25" i="52"/>
  <c r="AQ26" i="52"/>
  <c r="L26" i="52"/>
  <c r="BH26" i="52"/>
  <c r="AQ26" i="51"/>
  <c r="BH26" i="51"/>
  <c r="L26" i="51"/>
  <c r="J25" i="51"/>
  <c r="AV24" i="51"/>
  <c r="AT24" i="51"/>
  <c r="AU24" i="51" s="1"/>
  <c r="BZ24" i="51" s="1"/>
  <c r="P24" i="51"/>
  <c r="BK24" i="51"/>
  <c r="BM24" i="51"/>
  <c r="BN24" i="51" s="1"/>
  <c r="N24" i="51"/>
  <c r="W24" i="51"/>
  <c r="T24" i="51"/>
  <c r="J25" i="44"/>
  <c r="AV24" i="44"/>
  <c r="AT24" i="44"/>
  <c r="AU24" i="44" s="1"/>
  <c r="BZ24" i="44" s="1"/>
  <c r="P24" i="44"/>
  <c r="BK24" i="44"/>
  <c r="W24" i="44"/>
  <c r="N24" i="44"/>
  <c r="BM24" i="44"/>
  <c r="BN24" i="44" s="1"/>
  <c r="T24" i="44"/>
  <c r="L26" i="44"/>
  <c r="BH26" i="44"/>
  <c r="AQ26" i="44"/>
  <c r="AQ25" i="34"/>
  <c r="L26" i="34"/>
  <c r="BH25" i="34"/>
  <c r="J25" i="34"/>
  <c r="W25" i="34" s="1"/>
  <c r="BM24" i="34"/>
  <c r="BN24" i="34" s="1"/>
  <c r="BK24" i="34"/>
  <c r="AV24" i="34"/>
  <c r="AT24" i="34"/>
  <c r="AU24" i="34" s="1"/>
  <c r="T24" i="34"/>
  <c r="P24" i="34"/>
  <c r="N24" i="34"/>
  <c r="BD38" i="57" l="1"/>
  <c r="BE14" i="57"/>
  <c r="CE38" i="57"/>
  <c r="CG14" i="57"/>
  <c r="AF28" i="59"/>
  <c r="AR28" i="59" s="1"/>
  <c r="CE38" i="60"/>
  <c r="CE38" i="59"/>
  <c r="CA27" i="60"/>
  <c r="CG27" i="60" s="1"/>
  <c r="BD38" i="44"/>
  <c r="CE38" i="63"/>
  <c r="BZ24" i="34"/>
  <c r="AB27" i="60"/>
  <c r="AF28" i="60"/>
  <c r="AR28" i="60" s="1"/>
  <c r="AA29" i="60"/>
  <c r="CE38" i="51"/>
  <c r="CG26" i="60"/>
  <c r="CG15" i="59"/>
  <c r="CG27" i="59"/>
  <c r="BX28" i="60"/>
  <c r="BL29" i="60"/>
  <c r="BP29" i="60" s="1"/>
  <c r="BT29" i="60" s="1"/>
  <c r="CA27" i="57"/>
  <c r="CG27" i="57" s="1"/>
  <c r="AH27" i="60"/>
  <c r="AN27" i="60" s="1"/>
  <c r="R29" i="59"/>
  <c r="V29" i="59" s="1"/>
  <c r="AB29" i="59" s="1"/>
  <c r="R29" i="60"/>
  <c r="BX28" i="59"/>
  <c r="CA28" i="59" s="1"/>
  <c r="CG28" i="59" s="1"/>
  <c r="BZ29" i="57"/>
  <c r="AA29" i="57"/>
  <c r="R29" i="57"/>
  <c r="BX29" i="57" s="1"/>
  <c r="BL29" i="57"/>
  <c r="BP29" i="57" s="1"/>
  <c r="BT29" i="57" s="1"/>
  <c r="AQ32" i="63"/>
  <c r="BH32" i="63"/>
  <c r="L32" i="63"/>
  <c r="J31" i="63"/>
  <c r="AV30" i="63"/>
  <c r="BM30" i="63"/>
  <c r="BN30" i="63" s="1"/>
  <c r="T30" i="63"/>
  <c r="BK30" i="63"/>
  <c r="W30" i="63"/>
  <c r="N30" i="63"/>
  <c r="P30" i="63"/>
  <c r="AT30" i="63"/>
  <c r="AU30" i="63" s="1"/>
  <c r="BZ30" i="63" s="1"/>
  <c r="BH32" i="60"/>
  <c r="AG28" i="60"/>
  <c r="BY28" i="60"/>
  <c r="V28" i="60"/>
  <c r="AQ32" i="60"/>
  <c r="L32" i="60"/>
  <c r="M31" i="60"/>
  <c r="U29" i="60"/>
  <c r="AZ27" i="60"/>
  <c r="BE27" i="60" s="1"/>
  <c r="AV30" i="60"/>
  <c r="AW30" i="60" s="1"/>
  <c r="J31" i="60"/>
  <c r="BM30" i="60"/>
  <c r="BN30" i="60" s="1"/>
  <c r="W30" i="60"/>
  <c r="X30" i="60" s="1"/>
  <c r="BK30" i="60"/>
  <c r="P30" i="60"/>
  <c r="Q30" i="60" s="1"/>
  <c r="N30" i="60"/>
  <c r="O30" i="60" s="1"/>
  <c r="AT30" i="60"/>
  <c r="AU30" i="60" s="1"/>
  <c r="BZ30" i="60" s="1"/>
  <c r="T30" i="60"/>
  <c r="BJ30" i="60"/>
  <c r="S30" i="60"/>
  <c r="AZ27" i="59"/>
  <c r="AH27" i="59"/>
  <c r="BP29" i="59"/>
  <c r="BT29" i="59" s="1"/>
  <c r="J31" i="59"/>
  <c r="AV30" i="59"/>
  <c r="AW30" i="59" s="1"/>
  <c r="BM30" i="59"/>
  <c r="BN30" i="59" s="1"/>
  <c r="N30" i="59"/>
  <c r="O30" i="59" s="1"/>
  <c r="P30" i="59"/>
  <c r="Q30" i="59" s="1"/>
  <c r="BK30" i="59"/>
  <c r="BL30" i="59" s="1"/>
  <c r="W30" i="59"/>
  <c r="X30" i="59" s="1"/>
  <c r="AA30" i="59" s="1"/>
  <c r="T30" i="59"/>
  <c r="U30" i="59" s="1"/>
  <c r="AT30" i="59"/>
  <c r="AU30" i="59" s="1"/>
  <c r="BZ30" i="59" s="1"/>
  <c r="AQ33" i="59"/>
  <c r="BH32" i="59"/>
  <c r="L33" i="59"/>
  <c r="M32" i="59"/>
  <c r="AS28" i="59"/>
  <c r="BY29" i="59"/>
  <c r="AG29" i="59"/>
  <c r="S31" i="59"/>
  <c r="BJ31" i="59"/>
  <c r="AV30" i="57"/>
  <c r="AW30" i="57" s="1"/>
  <c r="J31" i="57"/>
  <c r="N30" i="57"/>
  <c r="O30" i="57" s="1"/>
  <c r="P30" i="57"/>
  <c r="Q30" i="57" s="1"/>
  <c r="BK30" i="57"/>
  <c r="BM30" i="57"/>
  <c r="BN30" i="57" s="1"/>
  <c r="T30" i="57"/>
  <c r="W30" i="57"/>
  <c r="X30" i="57" s="1"/>
  <c r="AT30" i="57"/>
  <c r="AU30" i="57" s="1"/>
  <c r="BJ30" i="57"/>
  <c r="S30" i="57"/>
  <c r="BY28" i="57"/>
  <c r="V28" i="57"/>
  <c r="AB28" i="57" s="1"/>
  <c r="AG28" i="57"/>
  <c r="AS27" i="57"/>
  <c r="AZ27" i="57" s="1"/>
  <c r="BE27" i="57" s="1"/>
  <c r="AH27" i="57"/>
  <c r="AN27" i="57" s="1"/>
  <c r="U29" i="57"/>
  <c r="AQ31" i="57"/>
  <c r="L32" i="57"/>
  <c r="M31" i="57"/>
  <c r="BH31" i="57"/>
  <c r="AF28" i="57"/>
  <c r="AR28" i="57" s="1"/>
  <c r="BX28" i="57"/>
  <c r="BZ16" i="52"/>
  <c r="BH27" i="52"/>
  <c r="L27" i="52"/>
  <c r="AQ27" i="52"/>
  <c r="J26" i="52"/>
  <c r="J26" i="51"/>
  <c r="AV25" i="51"/>
  <c r="AT25" i="51"/>
  <c r="AU25" i="51" s="1"/>
  <c r="BZ25" i="51" s="1"/>
  <c r="P25" i="51"/>
  <c r="BK25" i="51"/>
  <c r="BM25" i="51"/>
  <c r="BN25" i="51" s="1"/>
  <c r="N25" i="51"/>
  <c r="W25" i="51"/>
  <c r="T25" i="51"/>
  <c r="L27" i="51"/>
  <c r="BH27" i="51"/>
  <c r="AQ27" i="51"/>
  <c r="AQ27" i="44"/>
  <c r="BH27" i="44"/>
  <c r="L27" i="44"/>
  <c r="J26" i="44"/>
  <c r="AV25" i="44"/>
  <c r="AT25" i="44"/>
  <c r="AU25" i="44" s="1"/>
  <c r="BZ25" i="44" s="1"/>
  <c r="P25" i="44"/>
  <c r="BK25" i="44"/>
  <c r="T25" i="44"/>
  <c r="BM25" i="44"/>
  <c r="BN25" i="44" s="1"/>
  <c r="W25" i="44"/>
  <c r="N25" i="44"/>
  <c r="BH26" i="34"/>
  <c r="AV25" i="34"/>
  <c r="AT25" i="34"/>
  <c r="AU25" i="34" s="1"/>
  <c r="J26" i="34"/>
  <c r="BM25" i="34"/>
  <c r="BN25" i="34" s="1"/>
  <c r="BK25" i="34"/>
  <c r="T25" i="34"/>
  <c r="P25" i="34"/>
  <c r="N25" i="34"/>
  <c r="L27" i="34"/>
  <c r="AQ26" i="34"/>
  <c r="AZ28" i="59" l="1"/>
  <c r="BE28" i="59" s="1"/>
  <c r="N26" i="34"/>
  <c r="W26" i="34"/>
  <c r="AH28" i="59"/>
  <c r="AN28" i="59" s="1"/>
  <c r="BZ25" i="34"/>
  <c r="AA30" i="60"/>
  <c r="AB28" i="60"/>
  <c r="BX29" i="60"/>
  <c r="BE27" i="59"/>
  <c r="AN27" i="59"/>
  <c r="BX29" i="59"/>
  <c r="CA29" i="59" s="1"/>
  <c r="CG29" i="59" s="1"/>
  <c r="CA28" i="60"/>
  <c r="CG28" i="60" s="1"/>
  <c r="AF29" i="60"/>
  <c r="AR29" i="60" s="1"/>
  <c r="CA28" i="57"/>
  <c r="CG28" i="57" s="1"/>
  <c r="U30" i="60"/>
  <c r="AF29" i="57"/>
  <c r="AR29" i="57" s="1"/>
  <c r="AF29" i="59"/>
  <c r="AR29" i="59" s="1"/>
  <c r="BL30" i="60"/>
  <c r="BP30" i="60" s="1"/>
  <c r="BT30" i="60" s="1"/>
  <c r="AA30" i="57"/>
  <c r="U30" i="57"/>
  <c r="AG30" i="57" s="1"/>
  <c r="BZ30" i="57"/>
  <c r="L33" i="63"/>
  <c r="BH33" i="63"/>
  <c r="AQ33" i="63"/>
  <c r="J32" i="63"/>
  <c r="AV31" i="63"/>
  <c r="BK31" i="63"/>
  <c r="W31" i="63"/>
  <c r="N31" i="63"/>
  <c r="P31" i="63"/>
  <c r="AT31" i="63"/>
  <c r="AU31" i="63" s="1"/>
  <c r="BZ31" i="63" s="1"/>
  <c r="BM31" i="63"/>
  <c r="BN31" i="63" s="1"/>
  <c r="T31" i="63"/>
  <c r="BJ31" i="60"/>
  <c r="S31" i="60"/>
  <c r="AS28" i="60"/>
  <c r="AZ28" i="60" s="1"/>
  <c r="BE28" i="60" s="1"/>
  <c r="AH28" i="60"/>
  <c r="AN28" i="60" s="1"/>
  <c r="R30" i="60"/>
  <c r="AV31" i="60"/>
  <c r="AW31" i="60" s="1"/>
  <c r="J32" i="60"/>
  <c r="W31" i="60"/>
  <c r="X31" i="60" s="1"/>
  <c r="BK31" i="60"/>
  <c r="P31" i="60"/>
  <c r="Q31" i="60" s="1"/>
  <c r="N31" i="60"/>
  <c r="O31" i="60" s="1"/>
  <c r="AT31" i="60"/>
  <c r="AU31" i="60" s="1"/>
  <c r="BZ31" i="60" s="1"/>
  <c r="BM31" i="60"/>
  <c r="BN31" i="60" s="1"/>
  <c r="T31" i="60"/>
  <c r="BY29" i="60"/>
  <c r="V29" i="60"/>
  <c r="AG29" i="60"/>
  <c r="L33" i="60"/>
  <c r="M32" i="60"/>
  <c r="AQ33" i="60"/>
  <c r="BH33" i="60"/>
  <c r="BP30" i="59"/>
  <c r="BT30" i="59" s="1"/>
  <c r="R30" i="59"/>
  <c r="V30" i="59" s="1"/>
  <c r="AB30" i="59" s="1"/>
  <c r="S32" i="59"/>
  <c r="BJ32" i="59"/>
  <c r="J32" i="59"/>
  <c r="AV31" i="59"/>
  <c r="AW31" i="59" s="1"/>
  <c r="BK31" i="59"/>
  <c r="BL31" i="59" s="1"/>
  <c r="W31" i="59"/>
  <c r="X31" i="59" s="1"/>
  <c r="AA31" i="59" s="1"/>
  <c r="T31" i="59"/>
  <c r="U31" i="59" s="1"/>
  <c r="AT31" i="59"/>
  <c r="AU31" i="59" s="1"/>
  <c r="BZ31" i="59" s="1"/>
  <c r="BM31" i="59"/>
  <c r="BN31" i="59" s="1"/>
  <c r="N31" i="59"/>
  <c r="O31" i="59" s="1"/>
  <c r="P31" i="59"/>
  <c r="Q31" i="59" s="1"/>
  <c r="AG30" i="59"/>
  <c r="BY30" i="59"/>
  <c r="AS29" i="59"/>
  <c r="L34" i="59"/>
  <c r="M33" i="59"/>
  <c r="BH33" i="59"/>
  <c r="AQ34" i="59"/>
  <c r="AQ35" i="59" s="1"/>
  <c r="AQ36" i="59" s="1"/>
  <c r="R30" i="57"/>
  <c r="AF30" i="57" s="1"/>
  <c r="AR30" i="57" s="1"/>
  <c r="BJ31" i="57"/>
  <c r="S31" i="57"/>
  <c r="AG29" i="57"/>
  <c r="BY29" i="57"/>
  <c r="CA29" i="57" s="1"/>
  <c r="CG29" i="57" s="1"/>
  <c r="V29" i="57"/>
  <c r="AB29" i="57" s="1"/>
  <c r="AH28" i="57"/>
  <c r="AN28" i="57" s="1"/>
  <c r="AS28" i="57"/>
  <c r="AZ28" i="57" s="1"/>
  <c r="BE28" i="57" s="1"/>
  <c r="AV31" i="57"/>
  <c r="AW31" i="57" s="1"/>
  <c r="J32" i="57"/>
  <c r="BK31" i="57"/>
  <c r="BM31" i="57"/>
  <c r="BN31" i="57" s="1"/>
  <c r="T31" i="57"/>
  <c r="W31" i="57"/>
  <c r="X31" i="57" s="1"/>
  <c r="N31" i="57"/>
  <c r="O31" i="57" s="1"/>
  <c r="P31" i="57"/>
  <c r="Q31" i="57" s="1"/>
  <c r="AT31" i="57"/>
  <c r="AU31" i="57" s="1"/>
  <c r="BL30" i="57"/>
  <c r="BH32" i="57"/>
  <c r="L33" i="57"/>
  <c r="M32" i="57"/>
  <c r="AQ32" i="57"/>
  <c r="BZ17" i="52"/>
  <c r="AQ28" i="52"/>
  <c r="L28" i="52"/>
  <c r="J27" i="52"/>
  <c r="BH28" i="52"/>
  <c r="AQ28" i="51"/>
  <c r="BH28" i="51"/>
  <c r="L28" i="51"/>
  <c r="J27" i="51"/>
  <c r="AV26" i="51"/>
  <c r="AT26" i="51"/>
  <c r="AU26" i="51" s="1"/>
  <c r="BZ26" i="51" s="1"/>
  <c r="W26" i="51"/>
  <c r="N26" i="51"/>
  <c r="P26" i="51"/>
  <c r="BK26" i="51"/>
  <c r="BM26" i="51"/>
  <c r="BN26" i="51" s="1"/>
  <c r="T26" i="51"/>
  <c r="L28" i="44"/>
  <c r="BH28" i="44"/>
  <c r="AQ28" i="44"/>
  <c r="AV26" i="44"/>
  <c r="AT26" i="44"/>
  <c r="AU26" i="44" s="1"/>
  <c r="BZ26" i="44" s="1"/>
  <c r="J27" i="44"/>
  <c r="BM26" i="44"/>
  <c r="BN26" i="44" s="1"/>
  <c r="N26" i="44"/>
  <c r="P26" i="44"/>
  <c r="BK26" i="44"/>
  <c r="W26" i="44"/>
  <c r="T26" i="44"/>
  <c r="L28" i="34"/>
  <c r="AV26" i="34"/>
  <c r="AT26" i="34"/>
  <c r="AU26" i="34" s="1"/>
  <c r="T26" i="34"/>
  <c r="P26" i="34"/>
  <c r="J27" i="34"/>
  <c r="W27" i="34" s="1"/>
  <c r="BM26" i="34"/>
  <c r="BN26" i="34" s="1"/>
  <c r="BK26" i="34"/>
  <c r="BH27" i="34"/>
  <c r="AQ27" i="34"/>
  <c r="BZ26" i="34" l="1"/>
  <c r="CA29" i="60"/>
  <c r="CG29" i="60" s="1"/>
  <c r="BY30" i="60"/>
  <c r="AB29" i="60"/>
  <c r="AA31" i="60"/>
  <c r="M34" i="59"/>
  <c r="BJ34" i="59" s="1"/>
  <c r="L35" i="59"/>
  <c r="BY30" i="57"/>
  <c r="AH29" i="59"/>
  <c r="AZ29" i="59"/>
  <c r="BE29" i="59" s="1"/>
  <c r="AG30" i="60"/>
  <c r="AS30" i="60" s="1"/>
  <c r="BP31" i="59"/>
  <c r="BT31" i="59" s="1"/>
  <c r="V30" i="57"/>
  <c r="AB30" i="57" s="1"/>
  <c r="BX30" i="57"/>
  <c r="R31" i="59"/>
  <c r="V31" i="59" s="1"/>
  <c r="AB31" i="59" s="1"/>
  <c r="BL31" i="60"/>
  <c r="BP31" i="60" s="1"/>
  <c r="BT31" i="60" s="1"/>
  <c r="BX30" i="59"/>
  <c r="CA30" i="59" s="1"/>
  <c r="CG30" i="59" s="1"/>
  <c r="BP30" i="57"/>
  <c r="BT30" i="57" s="1"/>
  <c r="AA31" i="57"/>
  <c r="BZ31" i="57"/>
  <c r="J33" i="63"/>
  <c r="AV32" i="63"/>
  <c r="BM32" i="63"/>
  <c r="BN32" i="63" s="1"/>
  <c r="T32" i="63"/>
  <c r="BK32" i="63"/>
  <c r="W32" i="63"/>
  <c r="N32" i="63"/>
  <c r="P32" i="63"/>
  <c r="AT32" i="63"/>
  <c r="AU32" i="63" s="1"/>
  <c r="BZ32" i="63" s="1"/>
  <c r="AQ34" i="63"/>
  <c r="AQ35" i="63" s="1"/>
  <c r="AQ36" i="63" s="1"/>
  <c r="BH34" i="63"/>
  <c r="BH35" i="63" s="1"/>
  <c r="BH36" i="63" s="1"/>
  <c r="L34" i="63"/>
  <c r="R31" i="60"/>
  <c r="BH34" i="60"/>
  <c r="BH35" i="60" s="1"/>
  <c r="BH36" i="60" s="1"/>
  <c r="BJ32" i="60"/>
  <c r="S32" i="60"/>
  <c r="AH29" i="60"/>
  <c r="AN29" i="60" s="1"/>
  <c r="AS29" i="60"/>
  <c r="AZ29" i="60" s="1"/>
  <c r="BE29" i="60" s="1"/>
  <c r="AV32" i="60"/>
  <c r="AW32" i="60" s="1"/>
  <c r="J33" i="60"/>
  <c r="BM32" i="60"/>
  <c r="BN32" i="60" s="1"/>
  <c r="T32" i="60"/>
  <c r="W32" i="60"/>
  <c r="X32" i="60" s="1"/>
  <c r="BK32" i="60"/>
  <c r="P32" i="60"/>
  <c r="Q32" i="60" s="1"/>
  <c r="N32" i="60"/>
  <c r="O32" i="60" s="1"/>
  <c r="AT32" i="60"/>
  <c r="AU32" i="60" s="1"/>
  <c r="BZ32" i="60" s="1"/>
  <c r="U31" i="60"/>
  <c r="AQ34" i="60"/>
  <c r="AQ35" i="60" s="1"/>
  <c r="AQ36" i="60" s="1"/>
  <c r="L34" i="60"/>
  <c r="M33" i="60"/>
  <c r="AF30" i="60"/>
  <c r="AR30" i="60" s="1"/>
  <c r="BX30" i="60"/>
  <c r="V30" i="60"/>
  <c r="AF30" i="59"/>
  <c r="AR30" i="59" s="1"/>
  <c r="BH34" i="59"/>
  <c r="BH35" i="59" s="1"/>
  <c r="BH36" i="59" s="1"/>
  <c r="J33" i="59"/>
  <c r="AV32" i="59"/>
  <c r="AW32" i="59" s="1"/>
  <c r="BM32" i="59"/>
  <c r="BN32" i="59" s="1"/>
  <c r="N32" i="59"/>
  <c r="O32" i="59" s="1"/>
  <c r="P32" i="59"/>
  <c r="Q32" i="59" s="1"/>
  <c r="BK32" i="59"/>
  <c r="BL32" i="59" s="1"/>
  <c r="W32" i="59"/>
  <c r="X32" i="59" s="1"/>
  <c r="AA32" i="59" s="1"/>
  <c r="T32" i="59"/>
  <c r="U32" i="59" s="1"/>
  <c r="AT32" i="59"/>
  <c r="AU32" i="59" s="1"/>
  <c r="BZ32" i="59" s="1"/>
  <c r="S33" i="59"/>
  <c r="BJ33" i="59"/>
  <c r="AS30" i="59"/>
  <c r="AG31" i="59"/>
  <c r="BY31" i="59"/>
  <c r="R31" i="57"/>
  <c r="AF31" i="57" s="1"/>
  <c r="AR31" i="57" s="1"/>
  <c r="BJ32" i="57"/>
  <c r="S32" i="57"/>
  <c r="AV32" i="57"/>
  <c r="AW32" i="57" s="1"/>
  <c r="J33" i="57"/>
  <c r="N32" i="57"/>
  <c r="O32" i="57" s="1"/>
  <c r="P32" i="57"/>
  <c r="Q32" i="57" s="1"/>
  <c r="AT32" i="57"/>
  <c r="AU32" i="57" s="1"/>
  <c r="BK32" i="57"/>
  <c r="BM32" i="57"/>
  <c r="BN32" i="57" s="1"/>
  <c r="T32" i="57"/>
  <c r="W32" i="57"/>
  <c r="X32" i="57" s="1"/>
  <c r="AS29" i="57"/>
  <c r="AZ29" i="57" s="1"/>
  <c r="BE29" i="57" s="1"/>
  <c r="AH29" i="57"/>
  <c r="AN29" i="57" s="1"/>
  <c r="BL31" i="57"/>
  <c r="AH30" i="57"/>
  <c r="AN30" i="57" s="1"/>
  <c r="AS30" i="57"/>
  <c r="AZ30" i="57" s="1"/>
  <c r="BE30" i="57" s="1"/>
  <c r="AQ33" i="57"/>
  <c r="L34" i="57"/>
  <c r="M33" i="57"/>
  <c r="BH33" i="57"/>
  <c r="U31" i="57"/>
  <c r="BZ18" i="52"/>
  <c r="L29" i="52"/>
  <c r="AQ29" i="52"/>
  <c r="BH29" i="52"/>
  <c r="J28" i="52"/>
  <c r="L29" i="51"/>
  <c r="BH29" i="51"/>
  <c r="AQ29" i="51"/>
  <c r="J28" i="51"/>
  <c r="AV27" i="51"/>
  <c r="AT27" i="51"/>
  <c r="AU27" i="51" s="1"/>
  <c r="BZ27" i="51" s="1"/>
  <c r="BK27" i="51"/>
  <c r="BM27" i="51"/>
  <c r="BN27" i="51" s="1"/>
  <c r="T27" i="51"/>
  <c r="W27" i="51"/>
  <c r="N27" i="51"/>
  <c r="P27" i="51"/>
  <c r="J28" i="44"/>
  <c r="AV27" i="44"/>
  <c r="AT27" i="44"/>
  <c r="AU27" i="44" s="1"/>
  <c r="BZ27" i="44" s="1"/>
  <c r="BK27" i="44"/>
  <c r="W27" i="44"/>
  <c r="T27" i="44"/>
  <c r="BM27" i="44"/>
  <c r="BN27" i="44" s="1"/>
  <c r="N27" i="44"/>
  <c r="P27" i="44"/>
  <c r="AQ29" i="44"/>
  <c r="BH29" i="44"/>
  <c r="L29" i="44"/>
  <c r="AQ28" i="34"/>
  <c r="BH28" i="34"/>
  <c r="AV27" i="34"/>
  <c r="AT27" i="34"/>
  <c r="AU27" i="34" s="1"/>
  <c r="T27" i="34"/>
  <c r="P27" i="34"/>
  <c r="N27" i="34"/>
  <c r="J28" i="34"/>
  <c r="W28" i="34" s="1"/>
  <c r="BM27" i="34"/>
  <c r="BN27" i="34" s="1"/>
  <c r="BK27" i="34"/>
  <c r="L29" i="34"/>
  <c r="S34" i="59" l="1"/>
  <c r="CA30" i="60"/>
  <c r="CG30" i="60" s="1"/>
  <c r="CA30" i="57"/>
  <c r="CG30" i="57" s="1"/>
  <c r="BZ27" i="34"/>
  <c r="AB30" i="60"/>
  <c r="AA32" i="60"/>
  <c r="M34" i="57"/>
  <c r="BJ34" i="57" s="1"/>
  <c r="L35" i="57"/>
  <c r="AN29" i="59"/>
  <c r="L36" i="59"/>
  <c r="M36" i="59" s="1"/>
  <c r="M35" i="59"/>
  <c r="M34" i="63"/>
  <c r="S34" i="63" s="1"/>
  <c r="L35" i="63"/>
  <c r="M34" i="60"/>
  <c r="L35" i="60"/>
  <c r="AH30" i="59"/>
  <c r="AN30" i="59" s="1"/>
  <c r="BX31" i="59"/>
  <c r="CA31" i="59" s="1"/>
  <c r="CG31" i="59" s="1"/>
  <c r="AF31" i="59"/>
  <c r="AR31" i="59" s="1"/>
  <c r="BL32" i="60"/>
  <c r="BP32" i="60" s="1"/>
  <c r="BT32" i="60" s="1"/>
  <c r="BX31" i="57"/>
  <c r="AZ30" i="59"/>
  <c r="BE30" i="59" s="1"/>
  <c r="AZ30" i="60"/>
  <c r="BE30" i="60" s="1"/>
  <c r="R32" i="60"/>
  <c r="BZ32" i="57"/>
  <c r="BP31" i="57"/>
  <c r="BT31" i="57" s="1"/>
  <c r="AA32" i="57"/>
  <c r="J34" i="63"/>
  <c r="J35" i="63" s="1"/>
  <c r="BK33" i="63"/>
  <c r="W33" i="63"/>
  <c r="N33" i="63"/>
  <c r="P33" i="63"/>
  <c r="BM33" i="63"/>
  <c r="BN33" i="63" s="1"/>
  <c r="T33" i="63"/>
  <c r="AV33" i="63"/>
  <c r="AT33" i="63"/>
  <c r="AU33" i="63" s="1"/>
  <c r="BZ33" i="63" s="1"/>
  <c r="BJ33" i="60"/>
  <c r="S33" i="60"/>
  <c r="BY31" i="60"/>
  <c r="V31" i="60"/>
  <c r="AG31" i="60"/>
  <c r="J34" i="60"/>
  <c r="J35" i="60" s="1"/>
  <c r="W33" i="60"/>
  <c r="X33" i="60" s="1"/>
  <c r="BK33" i="60"/>
  <c r="BM33" i="60"/>
  <c r="BN33" i="60" s="1"/>
  <c r="T33" i="60"/>
  <c r="AT33" i="60"/>
  <c r="AU33" i="60" s="1"/>
  <c r="BZ33" i="60" s="1"/>
  <c r="P33" i="60"/>
  <c r="Q33" i="60" s="1"/>
  <c r="N33" i="60"/>
  <c r="O33" i="60" s="1"/>
  <c r="AV33" i="60"/>
  <c r="AW33" i="60" s="1"/>
  <c r="AF31" i="60"/>
  <c r="AR31" i="60" s="1"/>
  <c r="BX31" i="60"/>
  <c r="AH30" i="60"/>
  <c r="AN30" i="60" s="1"/>
  <c r="U32" i="60"/>
  <c r="AS31" i="59"/>
  <c r="BP32" i="59"/>
  <c r="BT32" i="59" s="1"/>
  <c r="R32" i="59"/>
  <c r="V32" i="59" s="1"/>
  <c r="AB32" i="59" s="1"/>
  <c r="AG32" i="59"/>
  <c r="BY32" i="59"/>
  <c r="J34" i="59"/>
  <c r="J35" i="59" s="1"/>
  <c r="BK33" i="59"/>
  <c r="BL33" i="59" s="1"/>
  <c r="W33" i="59"/>
  <c r="X33" i="59" s="1"/>
  <c r="AA33" i="59" s="1"/>
  <c r="T33" i="59"/>
  <c r="U33" i="59" s="1"/>
  <c r="AT33" i="59"/>
  <c r="AU33" i="59" s="1"/>
  <c r="BZ33" i="59" s="1"/>
  <c r="BM33" i="59"/>
  <c r="BN33" i="59" s="1"/>
  <c r="N33" i="59"/>
  <c r="O33" i="59" s="1"/>
  <c r="P33" i="59"/>
  <c r="Q33" i="59" s="1"/>
  <c r="AV33" i="59"/>
  <c r="AW33" i="59" s="1"/>
  <c r="BY31" i="57"/>
  <c r="V31" i="57"/>
  <c r="AB31" i="57" s="1"/>
  <c r="AG31" i="57"/>
  <c r="BJ33" i="57"/>
  <c r="S33" i="57"/>
  <c r="BL32" i="57"/>
  <c r="BH34" i="57"/>
  <c r="BH35" i="57" s="1"/>
  <c r="BH36" i="57" s="1"/>
  <c r="AQ34" i="57"/>
  <c r="AQ35" i="57" s="1"/>
  <c r="AQ36" i="57" s="1"/>
  <c r="J34" i="57"/>
  <c r="J35" i="57" s="1"/>
  <c r="BK33" i="57"/>
  <c r="BM33" i="57"/>
  <c r="BN33" i="57" s="1"/>
  <c r="T33" i="57"/>
  <c r="W33" i="57"/>
  <c r="X33" i="57" s="1"/>
  <c r="N33" i="57"/>
  <c r="O33" i="57" s="1"/>
  <c r="P33" i="57"/>
  <c r="Q33" i="57" s="1"/>
  <c r="AT33" i="57"/>
  <c r="AU33" i="57" s="1"/>
  <c r="AV33" i="57"/>
  <c r="AW33" i="57" s="1"/>
  <c r="R32" i="57"/>
  <c r="U32" i="57"/>
  <c r="BZ19" i="52"/>
  <c r="J29" i="52"/>
  <c r="BH30" i="52"/>
  <c r="AQ30" i="52"/>
  <c r="L30" i="52"/>
  <c r="J29" i="51"/>
  <c r="AV28" i="51"/>
  <c r="W28" i="51"/>
  <c r="T28" i="51"/>
  <c r="BK28" i="51"/>
  <c r="BM28" i="51"/>
  <c r="BN28" i="51" s="1"/>
  <c r="N28" i="51"/>
  <c r="P28" i="51"/>
  <c r="AT28" i="51"/>
  <c r="AU28" i="51" s="1"/>
  <c r="BZ28" i="51" s="1"/>
  <c r="AQ30" i="51"/>
  <c r="BH30" i="51"/>
  <c r="L30" i="51"/>
  <c r="M29" i="51"/>
  <c r="L30" i="44"/>
  <c r="BH30" i="44"/>
  <c r="AQ30" i="44"/>
  <c r="J29" i="44"/>
  <c r="AV28" i="44"/>
  <c r="BM28" i="44"/>
  <c r="BN28" i="44" s="1"/>
  <c r="W28" i="44"/>
  <c r="N28" i="44"/>
  <c r="P28" i="44"/>
  <c r="BK28" i="44"/>
  <c r="T28" i="44"/>
  <c r="AT28" i="44"/>
  <c r="AU28" i="44" s="1"/>
  <c r="BZ28" i="44" s="1"/>
  <c r="L30" i="34"/>
  <c r="AV28" i="34"/>
  <c r="AT28" i="34"/>
  <c r="AU28" i="34" s="1"/>
  <c r="T28" i="34"/>
  <c r="P28" i="34"/>
  <c r="N28" i="34"/>
  <c r="J29" i="34"/>
  <c r="W29" i="34" s="1"/>
  <c r="BM28" i="34"/>
  <c r="BN28" i="34" s="1"/>
  <c r="BK28" i="34"/>
  <c r="BH29" i="34"/>
  <c r="AQ29" i="34"/>
  <c r="M38" i="59" l="1"/>
  <c r="S34" i="57"/>
  <c r="BJ34" i="63"/>
  <c r="BZ28" i="34"/>
  <c r="BX32" i="60"/>
  <c r="AB31" i="60"/>
  <c r="AA33" i="60"/>
  <c r="S34" i="60"/>
  <c r="J36" i="57"/>
  <c r="T35" i="57"/>
  <c r="W35" i="57"/>
  <c r="AT35" i="57"/>
  <c r="AU35" i="57" s="1"/>
  <c r="BZ35" i="57" s="1"/>
  <c r="BM35" i="57"/>
  <c r="BN35" i="57" s="1"/>
  <c r="BK35" i="57"/>
  <c r="N35" i="57"/>
  <c r="P35" i="57"/>
  <c r="AV35" i="57"/>
  <c r="BJ36" i="59"/>
  <c r="S36" i="59"/>
  <c r="L36" i="57"/>
  <c r="M36" i="57" s="1"/>
  <c r="M35" i="57"/>
  <c r="BJ35" i="59"/>
  <c r="S35" i="59"/>
  <c r="BJ34" i="60"/>
  <c r="L36" i="63"/>
  <c r="M36" i="63" s="1"/>
  <c r="M35" i="63"/>
  <c r="J36" i="60"/>
  <c r="P35" i="60"/>
  <c r="AV35" i="60"/>
  <c r="N35" i="60"/>
  <c r="AT35" i="60"/>
  <c r="AU35" i="60" s="1"/>
  <c r="BZ35" i="60" s="1"/>
  <c r="BK35" i="60"/>
  <c r="W35" i="60"/>
  <c r="BM35" i="60"/>
  <c r="BN35" i="60" s="1"/>
  <c r="T35" i="60"/>
  <c r="BK35" i="59"/>
  <c r="J36" i="59"/>
  <c r="P35" i="59"/>
  <c r="Q35" i="59" s="1"/>
  <c r="T35" i="59"/>
  <c r="AV35" i="59"/>
  <c r="AW35" i="59" s="1"/>
  <c r="BM35" i="59"/>
  <c r="BN35" i="59" s="1"/>
  <c r="W35" i="59"/>
  <c r="X35" i="59" s="1"/>
  <c r="AA35" i="59" s="1"/>
  <c r="N35" i="59"/>
  <c r="O35" i="59" s="1"/>
  <c r="AT35" i="59"/>
  <c r="AU35" i="59" s="1"/>
  <c r="BZ35" i="59" s="1"/>
  <c r="J36" i="63"/>
  <c r="W35" i="63"/>
  <c r="BK35" i="63"/>
  <c r="P35" i="63"/>
  <c r="T35" i="63"/>
  <c r="BM35" i="63"/>
  <c r="BN35" i="63" s="1"/>
  <c r="AV35" i="63"/>
  <c r="N35" i="63"/>
  <c r="AT35" i="63"/>
  <c r="AU35" i="63" s="1"/>
  <c r="BZ35" i="63" s="1"/>
  <c r="L36" i="60"/>
  <c r="M36" i="60" s="1"/>
  <c r="M35" i="60"/>
  <c r="AH31" i="59"/>
  <c r="AN31" i="59" s="1"/>
  <c r="AZ31" i="59"/>
  <c r="BE31" i="59" s="1"/>
  <c r="CA31" i="57"/>
  <c r="CG31" i="57" s="1"/>
  <c r="AF32" i="60"/>
  <c r="AR32" i="60" s="1"/>
  <c r="CA31" i="60"/>
  <c r="CG31" i="60" s="1"/>
  <c r="BP33" i="59"/>
  <c r="BT33" i="59" s="1"/>
  <c r="R33" i="59"/>
  <c r="AF33" i="59" s="1"/>
  <c r="AR33" i="59" s="1"/>
  <c r="BZ33" i="57"/>
  <c r="R33" i="57"/>
  <c r="BX33" i="57" s="1"/>
  <c r="AA33" i="57"/>
  <c r="BP32" i="57"/>
  <c r="BT32" i="57" s="1"/>
  <c r="BM34" i="63"/>
  <c r="BN34" i="63" s="1"/>
  <c r="T34" i="63"/>
  <c r="U34" i="63" s="1"/>
  <c r="AT34" i="63"/>
  <c r="AU34" i="63" s="1"/>
  <c r="BZ34" i="63" s="1"/>
  <c r="BK34" i="63"/>
  <c r="W34" i="63"/>
  <c r="X34" i="63" s="1"/>
  <c r="AA34" i="63" s="1"/>
  <c r="N34" i="63"/>
  <c r="O34" i="63" s="1"/>
  <c r="P34" i="63"/>
  <c r="Q34" i="63" s="1"/>
  <c r="AV34" i="63"/>
  <c r="AW34" i="63" s="1"/>
  <c r="AH31" i="60"/>
  <c r="AN31" i="60" s="1"/>
  <c r="AS31" i="60"/>
  <c r="AZ31" i="60" s="1"/>
  <c r="BE31" i="60" s="1"/>
  <c r="BL33" i="60"/>
  <c r="BP33" i="60" s="1"/>
  <c r="BT33" i="60" s="1"/>
  <c r="BY32" i="60"/>
  <c r="V32" i="60"/>
  <c r="AG32" i="60"/>
  <c r="W34" i="60"/>
  <c r="X34" i="60" s="1"/>
  <c r="BM34" i="60"/>
  <c r="BN34" i="60" s="1"/>
  <c r="AT34" i="60"/>
  <c r="AU34" i="60" s="1"/>
  <c r="BZ34" i="60" s="1"/>
  <c r="BK34" i="60"/>
  <c r="P34" i="60"/>
  <c r="Q34" i="60" s="1"/>
  <c r="N34" i="60"/>
  <c r="O34" i="60" s="1"/>
  <c r="AV34" i="60"/>
  <c r="AW34" i="60" s="1"/>
  <c r="T34" i="60"/>
  <c r="R33" i="60"/>
  <c r="U33" i="60"/>
  <c r="AG33" i="59"/>
  <c r="BY33" i="59"/>
  <c r="AS32" i="59"/>
  <c r="BM34" i="59"/>
  <c r="BN34" i="59" s="1"/>
  <c r="N34" i="59"/>
  <c r="O34" i="59" s="1"/>
  <c r="P34" i="59"/>
  <c r="Q34" i="59" s="1"/>
  <c r="BK34" i="59"/>
  <c r="BL34" i="59" s="1"/>
  <c r="W34" i="59"/>
  <c r="X34" i="59" s="1"/>
  <c r="AA34" i="59" s="1"/>
  <c r="T34" i="59"/>
  <c r="U34" i="59" s="1"/>
  <c r="AV34" i="59"/>
  <c r="AW34" i="59" s="1"/>
  <c r="AT34" i="59"/>
  <c r="AU34" i="59" s="1"/>
  <c r="BZ34" i="59" s="1"/>
  <c r="BX32" i="59"/>
  <c r="CA32" i="59" s="1"/>
  <c r="CG32" i="59" s="1"/>
  <c r="AF32" i="59"/>
  <c r="AR32" i="59" s="1"/>
  <c r="BY32" i="57"/>
  <c r="V32" i="57"/>
  <c r="AB32" i="57" s="1"/>
  <c r="AG32" i="57"/>
  <c r="N34" i="57"/>
  <c r="O34" i="57" s="1"/>
  <c r="P34" i="57"/>
  <c r="Q34" i="57" s="1"/>
  <c r="BK34" i="57"/>
  <c r="BL34" i="57" s="1"/>
  <c r="BM34" i="57"/>
  <c r="BN34" i="57" s="1"/>
  <c r="T34" i="57"/>
  <c r="W34" i="57"/>
  <c r="X34" i="57" s="1"/>
  <c r="AV34" i="57"/>
  <c r="AW34" i="57" s="1"/>
  <c r="AT34" i="57"/>
  <c r="AU34" i="57" s="1"/>
  <c r="AH31" i="57"/>
  <c r="AN31" i="57" s="1"/>
  <c r="AS31" i="57"/>
  <c r="AZ31" i="57" s="1"/>
  <c r="BE31" i="57" s="1"/>
  <c r="U33" i="57"/>
  <c r="AF32" i="57"/>
  <c r="AR32" i="57" s="1"/>
  <c r="BX32" i="57"/>
  <c r="BL33" i="57"/>
  <c r="BZ20" i="52"/>
  <c r="L31" i="52"/>
  <c r="AQ31" i="52"/>
  <c r="BH31" i="52"/>
  <c r="J30" i="52"/>
  <c r="S29" i="51"/>
  <c r="BJ29" i="51"/>
  <c r="J30" i="51"/>
  <c r="AV29" i="51"/>
  <c r="AW29" i="51" s="1"/>
  <c r="W29" i="51"/>
  <c r="X29" i="51" s="1"/>
  <c r="AA29" i="51" s="1"/>
  <c r="N29" i="51"/>
  <c r="O29" i="51" s="1"/>
  <c r="P29" i="51"/>
  <c r="Q29" i="51" s="1"/>
  <c r="AT29" i="51"/>
  <c r="AU29" i="51" s="1"/>
  <c r="BZ29" i="51" s="1"/>
  <c r="BK29" i="51"/>
  <c r="BM29" i="51"/>
  <c r="BN29" i="51" s="1"/>
  <c r="T29" i="51"/>
  <c r="L31" i="51"/>
  <c r="M30" i="51"/>
  <c r="BH31" i="51"/>
  <c r="AQ31" i="51"/>
  <c r="J30" i="44"/>
  <c r="AV29" i="44"/>
  <c r="BM29" i="44"/>
  <c r="BN29" i="44" s="1"/>
  <c r="N29" i="44"/>
  <c r="P29" i="44"/>
  <c r="BK29" i="44"/>
  <c r="W29" i="44"/>
  <c r="T29" i="44"/>
  <c r="AT29" i="44"/>
  <c r="AU29" i="44" s="1"/>
  <c r="BZ29" i="44" s="1"/>
  <c r="AQ31" i="44"/>
  <c r="BH31" i="44"/>
  <c r="L31" i="44"/>
  <c r="AQ30" i="34"/>
  <c r="BH30" i="34"/>
  <c r="J30" i="34"/>
  <c r="W30" i="34" s="1"/>
  <c r="AV29" i="34"/>
  <c r="AT29" i="34"/>
  <c r="AU29" i="34" s="1"/>
  <c r="T29" i="34"/>
  <c r="P29" i="34"/>
  <c r="N29" i="34"/>
  <c r="BM29" i="34"/>
  <c r="BN29" i="34" s="1"/>
  <c r="BK29" i="34"/>
  <c r="L31" i="34"/>
  <c r="U34" i="57" l="1"/>
  <c r="AG34" i="57" s="1"/>
  <c r="M38" i="57"/>
  <c r="CA32" i="60"/>
  <c r="CG32" i="60" s="1"/>
  <c r="BJ38" i="59"/>
  <c r="X35" i="63"/>
  <c r="AA35" i="63" s="1"/>
  <c r="AW35" i="63"/>
  <c r="O35" i="63"/>
  <c r="U34" i="60"/>
  <c r="BY34" i="60" s="1"/>
  <c r="BL34" i="63"/>
  <c r="BP34" i="63" s="1"/>
  <c r="BZ29" i="34"/>
  <c r="BL34" i="60"/>
  <c r="BP34" i="60" s="1"/>
  <c r="AA34" i="60"/>
  <c r="AB32" i="60"/>
  <c r="R35" i="59"/>
  <c r="BJ35" i="60"/>
  <c r="BL35" i="60" s="1"/>
  <c r="BP35" i="60" s="1"/>
  <c r="BT35" i="60" s="1"/>
  <c r="S35" i="60"/>
  <c r="U35" i="60" s="1"/>
  <c r="O35" i="60"/>
  <c r="S35" i="63"/>
  <c r="U35" i="63" s="1"/>
  <c r="Q35" i="63"/>
  <c r="BJ35" i="63"/>
  <c r="BL35" i="63" s="1"/>
  <c r="BP35" i="63" s="1"/>
  <c r="BT35" i="63" s="1"/>
  <c r="BJ35" i="57"/>
  <c r="BL35" i="57" s="1"/>
  <c r="BP35" i="57" s="1"/>
  <c r="BT35" i="57" s="1"/>
  <c r="S35" i="57"/>
  <c r="U35" i="57" s="1"/>
  <c r="BJ36" i="60"/>
  <c r="S36" i="60"/>
  <c r="X35" i="60"/>
  <c r="AW35" i="60"/>
  <c r="BJ36" i="63"/>
  <c r="S36" i="63"/>
  <c r="U35" i="59"/>
  <c r="S36" i="57"/>
  <c r="BJ36" i="57"/>
  <c r="AW35" i="57"/>
  <c r="BK36" i="57"/>
  <c r="BM36" i="57"/>
  <c r="BN36" i="57" s="1"/>
  <c r="AT36" i="57"/>
  <c r="AU36" i="57" s="1"/>
  <c r="BZ36" i="57" s="1"/>
  <c r="W36" i="57"/>
  <c r="X36" i="57" s="1"/>
  <c r="AA36" i="57" s="1"/>
  <c r="AV36" i="57"/>
  <c r="AW36" i="57" s="1"/>
  <c r="N36" i="57"/>
  <c r="O36" i="57" s="1"/>
  <c r="P36" i="57"/>
  <c r="Q36" i="57" s="1"/>
  <c r="T36" i="57"/>
  <c r="P36" i="63"/>
  <c r="Q36" i="63" s="1"/>
  <c r="T36" i="63"/>
  <c r="AT36" i="63"/>
  <c r="AU36" i="63" s="1"/>
  <c r="BZ36" i="63" s="1"/>
  <c r="BM36" i="63"/>
  <c r="BN36" i="63" s="1"/>
  <c r="N36" i="63"/>
  <c r="O36" i="63" s="1"/>
  <c r="AV36" i="63"/>
  <c r="AW36" i="63" s="1"/>
  <c r="W36" i="63"/>
  <c r="X36" i="63" s="1"/>
  <c r="AA36" i="63" s="1"/>
  <c r="BK36" i="63"/>
  <c r="BK36" i="59"/>
  <c r="BL36" i="59" s="1"/>
  <c r="P36" i="59"/>
  <c r="Q36" i="59" s="1"/>
  <c r="N36" i="59"/>
  <c r="O36" i="59" s="1"/>
  <c r="T36" i="59"/>
  <c r="U36" i="59" s="1"/>
  <c r="AV36" i="59"/>
  <c r="AW36" i="59" s="1"/>
  <c r="W36" i="59"/>
  <c r="X36" i="59" s="1"/>
  <c r="AA36" i="59" s="1"/>
  <c r="AA39" i="59" s="1"/>
  <c r="AT36" i="59"/>
  <c r="AU36" i="59" s="1"/>
  <c r="BZ36" i="59" s="1"/>
  <c r="BM36" i="59"/>
  <c r="BN36" i="59" s="1"/>
  <c r="Q35" i="60"/>
  <c r="BL35" i="59"/>
  <c r="BP35" i="59" s="1"/>
  <c r="BT35" i="59" s="1"/>
  <c r="Q35" i="57"/>
  <c r="W36" i="60"/>
  <c r="X36" i="60" s="1"/>
  <c r="BM36" i="60"/>
  <c r="BN36" i="60" s="1"/>
  <c r="P36" i="60"/>
  <c r="Q36" i="60" s="1"/>
  <c r="T36" i="60"/>
  <c r="BK36" i="60"/>
  <c r="AV36" i="60"/>
  <c r="AW36" i="60" s="1"/>
  <c r="N36" i="60"/>
  <c r="O36" i="60" s="1"/>
  <c r="AT36" i="60"/>
  <c r="AU36" i="60" s="1"/>
  <c r="BZ36" i="60" s="1"/>
  <c r="O35" i="57"/>
  <c r="X35" i="57"/>
  <c r="AA35" i="57" s="1"/>
  <c r="AF33" i="57"/>
  <c r="AR33" i="57" s="1"/>
  <c r="BX33" i="59"/>
  <c r="CA33" i="59" s="1"/>
  <c r="CG33" i="59" s="1"/>
  <c r="V33" i="59"/>
  <c r="AB33" i="59" s="1"/>
  <c r="CA32" i="57"/>
  <c r="CG32" i="57" s="1"/>
  <c r="G27" i="12"/>
  <c r="BP33" i="57"/>
  <c r="BT33" i="57" s="1"/>
  <c r="BZ34" i="57"/>
  <c r="BP34" i="57"/>
  <c r="R34" i="57"/>
  <c r="AA34" i="57"/>
  <c r="G49" i="12"/>
  <c r="AG34" i="63"/>
  <c r="BY34" i="63"/>
  <c r="R34" i="63"/>
  <c r="BY33" i="60"/>
  <c r="V33" i="60"/>
  <c r="AG33" i="60"/>
  <c r="AH32" i="60"/>
  <c r="AN32" i="60" s="1"/>
  <c r="AS32" i="60"/>
  <c r="AZ32" i="60" s="1"/>
  <c r="BE32" i="60" s="1"/>
  <c r="R34" i="60"/>
  <c r="AF33" i="60"/>
  <c r="AR33" i="60" s="1"/>
  <c r="BX33" i="60"/>
  <c r="AG34" i="59"/>
  <c r="BY34" i="59"/>
  <c r="AS33" i="59"/>
  <c r="AZ33" i="59" s="1"/>
  <c r="BE33" i="59" s="1"/>
  <c r="AH33" i="59"/>
  <c r="AN33" i="59" s="1"/>
  <c r="AZ32" i="59"/>
  <c r="BE32" i="59" s="1"/>
  <c r="BP34" i="59"/>
  <c r="R34" i="59"/>
  <c r="V34" i="59" s="1"/>
  <c r="AH32" i="59"/>
  <c r="AN32" i="59" s="1"/>
  <c r="AH32" i="57"/>
  <c r="AN32" i="57" s="1"/>
  <c r="AS32" i="57"/>
  <c r="AZ32" i="57" s="1"/>
  <c r="BE32" i="57" s="1"/>
  <c r="BY33" i="57"/>
  <c r="CA33" i="57" s="1"/>
  <c r="CG33" i="57" s="1"/>
  <c r="V33" i="57"/>
  <c r="AB33" i="57" s="1"/>
  <c r="AG33" i="57"/>
  <c r="BZ21" i="52"/>
  <c r="J31" i="52"/>
  <c r="BH32" i="52"/>
  <c r="AQ32" i="52"/>
  <c r="L32" i="52"/>
  <c r="R29" i="51"/>
  <c r="AQ32" i="51"/>
  <c r="BH32" i="51"/>
  <c r="L32" i="51"/>
  <c r="M31" i="51"/>
  <c r="U29" i="51"/>
  <c r="BJ30" i="51"/>
  <c r="S30" i="51"/>
  <c r="AV30" i="51"/>
  <c r="AW30" i="51" s="1"/>
  <c r="J31" i="51"/>
  <c r="BK30" i="51"/>
  <c r="BM30" i="51"/>
  <c r="BN30" i="51" s="1"/>
  <c r="N30" i="51"/>
  <c r="O30" i="51" s="1"/>
  <c r="P30" i="51"/>
  <c r="Q30" i="51" s="1"/>
  <c r="AT30" i="51"/>
  <c r="AU30" i="51" s="1"/>
  <c r="BZ30" i="51" s="1"/>
  <c r="W30" i="51"/>
  <c r="X30" i="51" s="1"/>
  <c r="AA30" i="51" s="1"/>
  <c r="T30" i="51"/>
  <c r="BL29" i="51"/>
  <c r="BP29" i="51" s="1"/>
  <c r="BT29" i="51" s="1"/>
  <c r="BH32" i="44"/>
  <c r="J31" i="44"/>
  <c r="AV30" i="44"/>
  <c r="BK30" i="44"/>
  <c r="T30" i="44"/>
  <c r="AT30" i="44"/>
  <c r="AU30" i="44" s="1"/>
  <c r="BZ30" i="44" s="1"/>
  <c r="BM30" i="44"/>
  <c r="BN30" i="44" s="1"/>
  <c r="W30" i="44"/>
  <c r="N30" i="44"/>
  <c r="P30" i="44"/>
  <c r="L32" i="44"/>
  <c r="AQ32" i="44"/>
  <c r="L32" i="34"/>
  <c r="BM30" i="34"/>
  <c r="BN30" i="34" s="1"/>
  <c r="BK30" i="34"/>
  <c r="J31" i="34"/>
  <c r="W31" i="34" s="1"/>
  <c r="AV30" i="34"/>
  <c r="AT30" i="34"/>
  <c r="AU30" i="34" s="1"/>
  <c r="T30" i="34"/>
  <c r="P30" i="34"/>
  <c r="N30" i="34"/>
  <c r="BH31" i="34"/>
  <c r="AQ31" i="34"/>
  <c r="BY34" i="57" l="1"/>
  <c r="V34" i="57"/>
  <c r="AB34" i="57" s="1"/>
  <c r="AA39" i="57"/>
  <c r="AA38" i="57"/>
  <c r="BJ38" i="57"/>
  <c r="R36" i="63"/>
  <c r="BX36" i="63" s="1"/>
  <c r="AA38" i="59"/>
  <c r="R35" i="63"/>
  <c r="V35" i="63" s="1"/>
  <c r="AB35" i="63" s="1"/>
  <c r="AG34" i="60"/>
  <c r="AS34" i="60" s="1"/>
  <c r="R35" i="57"/>
  <c r="V35" i="57" s="1"/>
  <c r="AB35" i="57" s="1"/>
  <c r="BZ30" i="34"/>
  <c r="R36" i="60"/>
  <c r="BX36" i="60" s="1"/>
  <c r="V34" i="60"/>
  <c r="AB34" i="60" s="1"/>
  <c r="AB33" i="60"/>
  <c r="AA35" i="60"/>
  <c r="AA36" i="60"/>
  <c r="BY35" i="57"/>
  <c r="AG35" i="57"/>
  <c r="BY35" i="60"/>
  <c r="AG35" i="60"/>
  <c r="R36" i="59"/>
  <c r="V36" i="59" s="1"/>
  <c r="BL36" i="57"/>
  <c r="BP36" i="57" s="1"/>
  <c r="U36" i="63"/>
  <c r="AG35" i="63"/>
  <c r="BY35" i="63"/>
  <c r="U36" i="57"/>
  <c r="BL36" i="63"/>
  <c r="BP36" i="63" s="1"/>
  <c r="R35" i="60"/>
  <c r="BY36" i="59"/>
  <c r="AG36" i="59"/>
  <c r="BY35" i="59"/>
  <c r="AG35" i="59"/>
  <c r="V35" i="59"/>
  <c r="AB35" i="59" s="1"/>
  <c r="U36" i="60"/>
  <c r="BP36" i="59"/>
  <c r="R36" i="57"/>
  <c r="BL36" i="60"/>
  <c r="BP36" i="60" s="1"/>
  <c r="BX35" i="59"/>
  <c r="AF35" i="59"/>
  <c r="AR35" i="59" s="1"/>
  <c r="BT34" i="57"/>
  <c r="BT34" i="60"/>
  <c r="G47" i="12"/>
  <c r="AF34" i="57"/>
  <c r="AR34" i="57" s="1"/>
  <c r="G35" i="12"/>
  <c r="G42" i="12"/>
  <c r="D39" i="12"/>
  <c r="G38" i="12"/>
  <c r="G39" i="12"/>
  <c r="G43" i="12"/>
  <c r="G34" i="12"/>
  <c r="BX34" i="57"/>
  <c r="G50" i="12"/>
  <c r="CA33" i="60"/>
  <c r="CG33" i="60" s="1"/>
  <c r="D50" i="12"/>
  <c r="D49" i="12"/>
  <c r="G48" i="12"/>
  <c r="G46" i="12"/>
  <c r="D46" i="12"/>
  <c r="D38" i="12"/>
  <c r="BX34" i="63"/>
  <c r="CA34" i="63" s="1"/>
  <c r="AF34" i="63"/>
  <c r="AR34" i="63" s="1"/>
  <c r="AS34" i="63"/>
  <c r="V34" i="63"/>
  <c r="BT34" i="63"/>
  <c r="D27" i="12"/>
  <c r="AH33" i="60"/>
  <c r="AN33" i="60" s="1"/>
  <c r="AS33" i="60"/>
  <c r="AZ33" i="60" s="1"/>
  <c r="BE33" i="60" s="1"/>
  <c r="BX34" i="60"/>
  <c r="CA34" i="60" s="1"/>
  <c r="AF34" i="60"/>
  <c r="AR34" i="60" s="1"/>
  <c r="AB34" i="59"/>
  <c r="BT34" i="59"/>
  <c r="AS34" i="59"/>
  <c r="BX34" i="59"/>
  <c r="CA34" i="59" s="1"/>
  <c r="AF34" i="59"/>
  <c r="AR34" i="59" s="1"/>
  <c r="G23" i="12"/>
  <c r="D23" i="12"/>
  <c r="AH33" i="57"/>
  <c r="AN33" i="57" s="1"/>
  <c r="AS33" i="57"/>
  <c r="AZ33" i="57" s="1"/>
  <c r="BE33" i="57" s="1"/>
  <c r="AS34" i="57"/>
  <c r="BZ22" i="52"/>
  <c r="L33" i="52"/>
  <c r="AQ33" i="52"/>
  <c r="BH33" i="52"/>
  <c r="J32" i="52"/>
  <c r="R30" i="51"/>
  <c r="AF30" i="51" s="1"/>
  <c r="AR30" i="51" s="1"/>
  <c r="AV31" i="51"/>
  <c r="AW31" i="51" s="1"/>
  <c r="J32" i="51"/>
  <c r="W31" i="51"/>
  <c r="X31" i="51" s="1"/>
  <c r="AA31" i="51" s="1"/>
  <c r="T31" i="51"/>
  <c r="BK31" i="51"/>
  <c r="BM31" i="51"/>
  <c r="BN31" i="51" s="1"/>
  <c r="N31" i="51"/>
  <c r="O31" i="51" s="1"/>
  <c r="P31" i="51"/>
  <c r="Q31" i="51" s="1"/>
  <c r="AT31" i="51"/>
  <c r="AU31" i="51" s="1"/>
  <c r="BZ31" i="51" s="1"/>
  <c r="AG29" i="51"/>
  <c r="BY29" i="51"/>
  <c r="V29" i="51"/>
  <c r="AB29" i="51" s="1"/>
  <c r="L33" i="51"/>
  <c r="M32" i="51"/>
  <c r="BH33" i="51"/>
  <c r="AQ33" i="51"/>
  <c r="BX29" i="51"/>
  <c r="AF29" i="51"/>
  <c r="AR29" i="51" s="1"/>
  <c r="U30" i="51"/>
  <c r="BJ31" i="51"/>
  <c r="S31" i="51"/>
  <c r="BL30" i="51"/>
  <c r="BP30" i="51" s="1"/>
  <c r="BT30" i="51" s="1"/>
  <c r="AQ33" i="44"/>
  <c r="J32" i="44"/>
  <c r="AV31" i="44"/>
  <c r="BM31" i="44"/>
  <c r="BN31" i="44" s="1"/>
  <c r="W31" i="44"/>
  <c r="N31" i="44"/>
  <c r="P31" i="44"/>
  <c r="BK31" i="44"/>
  <c r="T31" i="44"/>
  <c r="AT31" i="44"/>
  <c r="AU31" i="44" s="1"/>
  <c r="BZ31" i="44" s="1"/>
  <c r="BH33" i="44"/>
  <c r="L33" i="44"/>
  <c r="AQ32" i="34"/>
  <c r="BH32" i="34"/>
  <c r="AV31" i="34"/>
  <c r="AT31" i="34"/>
  <c r="AU31" i="34" s="1"/>
  <c r="T31" i="34"/>
  <c r="P31" i="34"/>
  <c r="N31" i="34"/>
  <c r="J32" i="34"/>
  <c r="W32" i="34" s="1"/>
  <c r="BM31" i="34"/>
  <c r="BN31" i="34" s="1"/>
  <c r="BK31" i="34"/>
  <c r="L33" i="34"/>
  <c r="CA34" i="57" l="1"/>
  <c r="CG34" i="57" s="1"/>
  <c r="BP39" i="59"/>
  <c r="BJ42" i="59" s="1"/>
  <c r="BP38" i="59"/>
  <c r="V39" i="59"/>
  <c r="N42" i="59" s="1"/>
  <c r="AF36" i="63"/>
  <c r="AR36" i="63" s="1"/>
  <c r="BP38" i="57"/>
  <c r="BP39" i="57"/>
  <c r="BT36" i="59"/>
  <c r="BX35" i="63"/>
  <c r="CA35" i="63" s="1"/>
  <c r="CG35" i="63" s="1"/>
  <c r="V38" i="59"/>
  <c r="AF35" i="63"/>
  <c r="AR35" i="63" s="1"/>
  <c r="BL31" i="51"/>
  <c r="BP31" i="51" s="1"/>
  <c r="BT31" i="51" s="1"/>
  <c r="AF36" i="60"/>
  <c r="AR36" i="60" s="1"/>
  <c r="BX35" i="57"/>
  <c r="CA35" i="57" s="1"/>
  <c r="CG35" i="57" s="1"/>
  <c r="AF35" i="57"/>
  <c r="AR35" i="57" s="1"/>
  <c r="CA35" i="59"/>
  <c r="CG35" i="59" s="1"/>
  <c r="BT36" i="57"/>
  <c r="BZ31" i="34"/>
  <c r="BT36" i="60"/>
  <c r="BT36" i="63"/>
  <c r="AH35" i="59"/>
  <c r="AN35" i="59" s="1"/>
  <c r="AS35" i="59"/>
  <c r="AZ35" i="59" s="1"/>
  <c r="BE35" i="59" s="1"/>
  <c r="AB36" i="59"/>
  <c r="AB39" i="59" s="1"/>
  <c r="AS35" i="63"/>
  <c r="AS35" i="60"/>
  <c r="V36" i="60"/>
  <c r="BY36" i="60"/>
  <c r="CA36" i="60" s="1"/>
  <c r="CG36" i="60" s="1"/>
  <c r="AG36" i="60"/>
  <c r="AS36" i="59"/>
  <c r="V35" i="60"/>
  <c r="BX35" i="60"/>
  <c r="CA35" i="60" s="1"/>
  <c r="CG35" i="60" s="1"/>
  <c r="AF35" i="60"/>
  <c r="AR35" i="60" s="1"/>
  <c r="AS35" i="57"/>
  <c r="AF36" i="57"/>
  <c r="AR36" i="57" s="1"/>
  <c r="BX36" i="57"/>
  <c r="BY36" i="57"/>
  <c r="V36" i="57"/>
  <c r="V39" i="57" s="1"/>
  <c r="N42" i="57" s="1"/>
  <c r="AG36" i="57"/>
  <c r="BY36" i="63"/>
  <c r="CA36" i="63" s="1"/>
  <c r="AG36" i="63"/>
  <c r="V36" i="63"/>
  <c r="AF36" i="59"/>
  <c r="AR36" i="59" s="1"/>
  <c r="BX36" i="59"/>
  <c r="CA36" i="59" s="1"/>
  <c r="H35" i="12"/>
  <c r="AH34" i="57"/>
  <c r="AZ34" i="57"/>
  <c r="D35" i="12"/>
  <c r="AH34" i="63"/>
  <c r="U31" i="51"/>
  <c r="BY31" i="51" s="1"/>
  <c r="AZ34" i="59"/>
  <c r="CA29" i="51"/>
  <c r="CG29" i="51" s="1"/>
  <c r="H42" i="12"/>
  <c r="H49" i="12"/>
  <c r="H34" i="12"/>
  <c r="H43" i="12"/>
  <c r="D34" i="12"/>
  <c r="H39" i="12"/>
  <c r="D43" i="12"/>
  <c r="D42" i="12"/>
  <c r="AZ34" i="60"/>
  <c r="H50" i="12"/>
  <c r="D48" i="12"/>
  <c r="H47" i="12"/>
  <c r="D47" i="12"/>
  <c r="H46" i="12"/>
  <c r="AZ34" i="63"/>
  <c r="AB34" i="63"/>
  <c r="CG34" i="63"/>
  <c r="H27" i="12"/>
  <c r="CG34" i="60"/>
  <c r="AH34" i="60"/>
  <c r="CG34" i="59"/>
  <c r="AH34" i="59"/>
  <c r="H23" i="12"/>
  <c r="BX30" i="51"/>
  <c r="BZ23" i="52"/>
  <c r="BH34" i="52"/>
  <c r="BH35" i="52" s="1"/>
  <c r="BH36" i="52" s="1"/>
  <c r="AQ34" i="52"/>
  <c r="AQ35" i="52" s="1"/>
  <c r="AQ36" i="52" s="1"/>
  <c r="L34" i="52"/>
  <c r="L35" i="52" s="1"/>
  <c r="L36" i="52" s="1"/>
  <c r="J33" i="52"/>
  <c r="BY30" i="51"/>
  <c r="V30" i="51"/>
  <c r="AB30" i="51" s="1"/>
  <c r="AG30" i="51"/>
  <c r="AQ34" i="51"/>
  <c r="AQ35" i="51" s="1"/>
  <c r="AQ36" i="51" s="1"/>
  <c r="BH34" i="51"/>
  <c r="BH35" i="51" s="1"/>
  <c r="BH36" i="51" s="1"/>
  <c r="L34" i="51"/>
  <c r="M33" i="51"/>
  <c r="BJ32" i="51"/>
  <c r="S32" i="51"/>
  <c r="AS29" i="51"/>
  <c r="AZ29" i="51" s="1"/>
  <c r="BE29" i="51" s="1"/>
  <c r="AH29" i="51"/>
  <c r="AN29" i="51" s="1"/>
  <c r="AV32" i="51"/>
  <c r="AW32" i="51" s="1"/>
  <c r="J33" i="51"/>
  <c r="BK32" i="51"/>
  <c r="BM32" i="51"/>
  <c r="BN32" i="51" s="1"/>
  <c r="N32" i="51"/>
  <c r="O32" i="51" s="1"/>
  <c r="P32" i="51"/>
  <c r="Q32" i="51" s="1"/>
  <c r="AT32" i="51"/>
  <c r="AU32" i="51" s="1"/>
  <c r="BZ32" i="51" s="1"/>
  <c r="W32" i="51"/>
  <c r="X32" i="51" s="1"/>
  <c r="AA32" i="51" s="1"/>
  <c r="T32" i="51"/>
  <c r="R31" i="51"/>
  <c r="BH34" i="44"/>
  <c r="BH35" i="44" s="1"/>
  <c r="BH36" i="44" s="1"/>
  <c r="J33" i="44"/>
  <c r="AV32" i="44"/>
  <c r="BK32" i="44"/>
  <c r="T32" i="44"/>
  <c r="AT32" i="44"/>
  <c r="AU32" i="44" s="1"/>
  <c r="BZ32" i="44" s="1"/>
  <c r="BM32" i="44"/>
  <c r="BN32" i="44" s="1"/>
  <c r="W32" i="44"/>
  <c r="N32" i="44"/>
  <c r="P32" i="44"/>
  <c r="AQ34" i="44"/>
  <c r="AQ35" i="44" s="1"/>
  <c r="AQ36" i="44" s="1"/>
  <c r="L34" i="44"/>
  <c r="L34" i="34"/>
  <c r="BH33" i="34"/>
  <c r="AQ33" i="34"/>
  <c r="J33" i="34"/>
  <c r="W33" i="34" s="1"/>
  <c r="AV32" i="34"/>
  <c r="AT32" i="34"/>
  <c r="AU32" i="34" s="1"/>
  <c r="T32" i="34"/>
  <c r="P32" i="34"/>
  <c r="N32" i="34"/>
  <c r="BM32" i="34"/>
  <c r="BN32" i="34" s="1"/>
  <c r="BK32" i="34"/>
  <c r="CA39" i="59" l="1"/>
  <c r="BY42" i="59" s="1"/>
  <c r="G46" i="59" s="1"/>
  <c r="H24" i="12" s="1"/>
  <c r="BT38" i="59"/>
  <c r="BT39" i="59"/>
  <c r="BJ42" i="57"/>
  <c r="G45" i="57" s="1"/>
  <c r="G14" i="12" s="1"/>
  <c r="BT38" i="57"/>
  <c r="BT39" i="57"/>
  <c r="BJ41" i="57" s="1"/>
  <c r="F45" i="57" s="1"/>
  <c r="G42" i="59"/>
  <c r="D24" i="12" s="1"/>
  <c r="G45" i="59"/>
  <c r="G24" i="12" s="1"/>
  <c r="V38" i="57"/>
  <c r="AZ35" i="63"/>
  <c r="BE35" i="63" s="1"/>
  <c r="BJ41" i="59"/>
  <c r="F45" i="59" s="1"/>
  <c r="AB38" i="59"/>
  <c r="N41" i="59"/>
  <c r="F42" i="59" s="1"/>
  <c r="AB36" i="57"/>
  <c r="AB39" i="57" s="1"/>
  <c r="CA38" i="59"/>
  <c r="AH35" i="63"/>
  <c r="AN35" i="63" s="1"/>
  <c r="AZ35" i="57"/>
  <c r="BE35" i="57" s="1"/>
  <c r="AH35" i="57"/>
  <c r="AN35" i="57" s="1"/>
  <c r="BZ32" i="34"/>
  <c r="AZ35" i="60"/>
  <c r="BE35" i="60" s="1"/>
  <c r="AB35" i="60"/>
  <c r="AH35" i="60"/>
  <c r="AN35" i="60" s="1"/>
  <c r="CG36" i="63"/>
  <c r="AB36" i="63"/>
  <c r="AH36" i="60"/>
  <c r="AS36" i="60"/>
  <c r="AZ36" i="60" s="1"/>
  <c r="BE36" i="60" s="1"/>
  <c r="L35" i="44"/>
  <c r="M34" i="44"/>
  <c r="S34" i="44" s="1"/>
  <c r="M34" i="51"/>
  <c r="S34" i="51" s="1"/>
  <c r="L35" i="51"/>
  <c r="AH36" i="63"/>
  <c r="AS36" i="63"/>
  <c r="AZ36" i="63" s="1"/>
  <c r="BE36" i="63" s="1"/>
  <c r="L35" i="34"/>
  <c r="M34" i="34"/>
  <c r="BJ34" i="34" s="1"/>
  <c r="CG36" i="59"/>
  <c r="CG39" i="59" s="1"/>
  <c r="CA36" i="57"/>
  <c r="CA39" i="57" s="1"/>
  <c r="BY42" i="57" s="1"/>
  <c r="AB36" i="60"/>
  <c r="AZ36" i="59"/>
  <c r="AZ39" i="59" s="1"/>
  <c r="AS36" i="57"/>
  <c r="AZ36" i="57" s="1"/>
  <c r="AH36" i="57"/>
  <c r="AH36" i="59"/>
  <c r="AH39" i="59" s="1"/>
  <c r="BE34" i="60"/>
  <c r="E39" i="12"/>
  <c r="H38" i="12"/>
  <c r="F23" i="12"/>
  <c r="BE34" i="63"/>
  <c r="AN34" i="63"/>
  <c r="E38" i="12"/>
  <c r="BE34" i="57"/>
  <c r="AN34" i="57"/>
  <c r="BE34" i="59"/>
  <c r="E47" i="12"/>
  <c r="AG31" i="51"/>
  <c r="AS31" i="51" s="1"/>
  <c r="V31" i="51"/>
  <c r="AB31" i="51" s="1"/>
  <c r="F46" i="12"/>
  <c r="E42" i="12"/>
  <c r="F47" i="12"/>
  <c r="CA30" i="51"/>
  <c r="CG30" i="51" s="1"/>
  <c r="F50" i="12"/>
  <c r="E49" i="12"/>
  <c r="F49" i="12"/>
  <c r="H48" i="12"/>
  <c r="E46" i="12"/>
  <c r="E43" i="12"/>
  <c r="AN34" i="60"/>
  <c r="AN34" i="59"/>
  <c r="U32" i="51"/>
  <c r="AG32" i="51" s="1"/>
  <c r="BZ24" i="52"/>
  <c r="J34" i="52"/>
  <c r="J35" i="52" s="1"/>
  <c r="J36" i="52" s="1"/>
  <c r="BJ33" i="51"/>
  <c r="S33" i="51"/>
  <c r="AH30" i="51"/>
  <c r="AN30" i="51" s="1"/>
  <c r="AS30" i="51"/>
  <c r="AZ30" i="51" s="1"/>
  <c r="BE30" i="51" s="1"/>
  <c r="BL32" i="51"/>
  <c r="BP32" i="51" s="1"/>
  <c r="BT32" i="51" s="1"/>
  <c r="AF31" i="51"/>
  <c r="AR31" i="51" s="1"/>
  <c r="BX31" i="51"/>
  <c r="CA31" i="51" s="1"/>
  <c r="CG31" i="51" s="1"/>
  <c r="J34" i="51"/>
  <c r="J35" i="51" s="1"/>
  <c r="W33" i="51"/>
  <c r="X33" i="51" s="1"/>
  <c r="AA33" i="51" s="1"/>
  <c r="T33" i="51"/>
  <c r="AV33" i="51"/>
  <c r="AW33" i="51" s="1"/>
  <c r="BK33" i="51"/>
  <c r="BM33" i="51"/>
  <c r="BN33" i="51" s="1"/>
  <c r="N33" i="51"/>
  <c r="O33" i="51" s="1"/>
  <c r="P33" i="51"/>
  <c r="Q33" i="51" s="1"/>
  <c r="AT33" i="51"/>
  <c r="AU33" i="51" s="1"/>
  <c r="BZ33" i="51" s="1"/>
  <c r="R32" i="51"/>
  <c r="J34" i="44"/>
  <c r="J35" i="44" s="1"/>
  <c r="N35" i="44" s="1"/>
  <c r="BM33" i="44"/>
  <c r="BN33" i="44" s="1"/>
  <c r="W33" i="44"/>
  <c r="N33" i="44"/>
  <c r="P33" i="44"/>
  <c r="AV33" i="44"/>
  <c r="BK33" i="44"/>
  <c r="T33" i="44"/>
  <c r="AT33" i="44"/>
  <c r="AU33" i="44" s="1"/>
  <c r="BZ33" i="44" s="1"/>
  <c r="BM33" i="34"/>
  <c r="BN33" i="34" s="1"/>
  <c r="BK33" i="34"/>
  <c r="J34" i="34"/>
  <c r="AV33" i="34"/>
  <c r="AT33" i="34"/>
  <c r="AU33" i="34" s="1"/>
  <c r="T33" i="34"/>
  <c r="P33" i="34"/>
  <c r="N33" i="34"/>
  <c r="AQ34" i="34"/>
  <c r="AQ35" i="34" s="1"/>
  <c r="AQ36" i="34" s="1"/>
  <c r="BH34" i="34"/>
  <c r="BH35" i="34" s="1"/>
  <c r="BH36" i="34" s="1"/>
  <c r="AZ39" i="57" l="1"/>
  <c r="BE39" i="57" s="1"/>
  <c r="J35" i="34"/>
  <c r="W35" i="34" s="1"/>
  <c r="W34" i="34"/>
  <c r="AH39" i="57"/>
  <c r="AH38" i="57"/>
  <c r="AS42" i="59"/>
  <c r="BE39" i="59"/>
  <c r="AN39" i="59"/>
  <c r="AG42" i="59"/>
  <c r="CA38" i="57"/>
  <c r="G46" i="57"/>
  <c r="H14" i="12" s="1"/>
  <c r="N41" i="57"/>
  <c r="F42" i="57" s="1"/>
  <c r="AB38" i="57"/>
  <c r="AZ38" i="57"/>
  <c r="AH38" i="59"/>
  <c r="BE36" i="59"/>
  <c r="BE38" i="59" s="1"/>
  <c r="AZ38" i="59"/>
  <c r="BY41" i="59"/>
  <c r="F46" i="59" s="1"/>
  <c r="CG38" i="59"/>
  <c r="G42" i="57"/>
  <c r="D14" i="12" s="1"/>
  <c r="BJ34" i="44"/>
  <c r="S34" i="34"/>
  <c r="BZ33" i="34"/>
  <c r="BJ34" i="51"/>
  <c r="BE36" i="57"/>
  <c r="BE38" i="57" s="1"/>
  <c r="J36" i="51"/>
  <c r="N35" i="51"/>
  <c r="W35" i="51"/>
  <c r="T35" i="51"/>
  <c r="AV35" i="51"/>
  <c r="BM35" i="51"/>
  <c r="BN35" i="51" s="1"/>
  <c r="BK35" i="51"/>
  <c r="P35" i="51"/>
  <c r="AT35" i="51"/>
  <c r="AU35" i="51" s="1"/>
  <c r="BZ35" i="51" s="1"/>
  <c r="AN36" i="59"/>
  <c r="AN38" i="59" s="1"/>
  <c r="J36" i="44"/>
  <c r="BM35" i="44"/>
  <c r="BN35" i="44" s="1"/>
  <c r="AV35" i="44"/>
  <c r="P35" i="44"/>
  <c r="W35" i="44"/>
  <c r="BK35" i="44"/>
  <c r="T35" i="44"/>
  <c r="AT35" i="44"/>
  <c r="AU35" i="44" s="1"/>
  <c r="BZ35" i="44" s="1"/>
  <c r="CG36" i="57"/>
  <c r="CG39" i="57" s="1"/>
  <c r="L36" i="34"/>
  <c r="M36" i="34" s="1"/>
  <c r="M35" i="34"/>
  <c r="AN36" i="63"/>
  <c r="L36" i="44"/>
  <c r="M36" i="44" s="1"/>
  <c r="M35" i="44"/>
  <c r="AN36" i="57"/>
  <c r="AN38" i="57" s="1"/>
  <c r="AN36" i="60"/>
  <c r="J36" i="34"/>
  <c r="W36" i="34" s="1"/>
  <c r="AV35" i="34"/>
  <c r="P35" i="34"/>
  <c r="BK35" i="34"/>
  <c r="N35" i="34"/>
  <c r="AT35" i="34"/>
  <c r="AU35" i="34" s="1"/>
  <c r="BM35" i="34"/>
  <c r="BN35" i="34" s="1"/>
  <c r="T35" i="34"/>
  <c r="L36" i="51"/>
  <c r="M36" i="51" s="1"/>
  <c r="M35" i="51"/>
  <c r="D26" i="12"/>
  <c r="E35" i="12"/>
  <c r="F43" i="12"/>
  <c r="F27" i="12"/>
  <c r="F35" i="12"/>
  <c r="F42" i="12"/>
  <c r="F34" i="12"/>
  <c r="BY32" i="51"/>
  <c r="V32" i="51"/>
  <c r="AB32" i="51" s="1"/>
  <c r="E50" i="12"/>
  <c r="E48" i="12"/>
  <c r="F48" i="12"/>
  <c r="F39" i="12"/>
  <c r="F38" i="12"/>
  <c r="E27" i="12"/>
  <c r="AH31" i="51"/>
  <c r="AN31" i="51" s="1"/>
  <c r="BZ25" i="52"/>
  <c r="R33" i="51"/>
  <c r="BX33" i="51" s="1"/>
  <c r="AZ31" i="51"/>
  <c r="BE31" i="51" s="1"/>
  <c r="AF32" i="51"/>
  <c r="AR32" i="51" s="1"/>
  <c r="BX32" i="51"/>
  <c r="AS32" i="51"/>
  <c r="BL33" i="51"/>
  <c r="BP33" i="51" s="1"/>
  <c r="BT33" i="51" s="1"/>
  <c r="BK34" i="51"/>
  <c r="BM34" i="51"/>
  <c r="BN34" i="51" s="1"/>
  <c r="AT34" i="51"/>
  <c r="AU34" i="51" s="1"/>
  <c r="BZ34" i="51" s="1"/>
  <c r="N34" i="51"/>
  <c r="O34" i="51" s="1"/>
  <c r="P34" i="51"/>
  <c r="Q34" i="51" s="1"/>
  <c r="W34" i="51"/>
  <c r="X34" i="51" s="1"/>
  <c r="AA34" i="51" s="1"/>
  <c r="AV34" i="51"/>
  <c r="AW34" i="51" s="1"/>
  <c r="T34" i="51"/>
  <c r="U34" i="51" s="1"/>
  <c r="U33" i="51"/>
  <c r="BK34" i="44"/>
  <c r="T34" i="44"/>
  <c r="U34" i="44" s="1"/>
  <c r="AV34" i="44"/>
  <c r="AW34" i="44" s="1"/>
  <c r="BM34" i="44"/>
  <c r="BN34" i="44" s="1"/>
  <c r="W34" i="44"/>
  <c r="X34" i="44" s="1"/>
  <c r="AA34" i="44" s="1"/>
  <c r="N34" i="44"/>
  <c r="O34" i="44" s="1"/>
  <c r="P34" i="44"/>
  <c r="Q34" i="44" s="1"/>
  <c r="AT34" i="44"/>
  <c r="AU34" i="44" s="1"/>
  <c r="BZ34" i="44" s="1"/>
  <c r="AV34" i="34"/>
  <c r="AW34" i="34" s="1"/>
  <c r="AT34" i="34"/>
  <c r="AU34" i="34" s="1"/>
  <c r="T34" i="34"/>
  <c r="P34" i="34"/>
  <c r="Q34" i="34" s="1"/>
  <c r="N34" i="34"/>
  <c r="O34" i="34" s="1"/>
  <c r="BM34" i="34"/>
  <c r="BN34" i="34" s="1"/>
  <c r="BK34" i="34"/>
  <c r="BL34" i="34" s="1"/>
  <c r="X34" i="34"/>
  <c r="AS42" i="57" l="1"/>
  <c r="G44" i="57" s="1"/>
  <c r="F14" i="12" s="1"/>
  <c r="U34" i="34"/>
  <c r="AG42" i="57"/>
  <c r="G43" i="57" s="1"/>
  <c r="E14" i="12" s="1"/>
  <c r="AN39" i="57"/>
  <c r="AS41" i="57"/>
  <c r="F44" i="57" s="1"/>
  <c r="BY41" i="57"/>
  <c r="F46" i="57" s="1"/>
  <c r="CG38" i="57"/>
  <c r="AG41" i="57"/>
  <c r="F43" i="57" s="1"/>
  <c r="BL34" i="44"/>
  <c r="BP34" i="44" s="1"/>
  <c r="AS41" i="59"/>
  <c r="F44" i="59" s="1"/>
  <c r="G44" i="59"/>
  <c r="F24" i="12" s="1"/>
  <c r="G43" i="59"/>
  <c r="AG41" i="59"/>
  <c r="F43" i="59" s="1"/>
  <c r="H26" i="12"/>
  <c r="Q35" i="34"/>
  <c r="BL34" i="51"/>
  <c r="BZ35" i="34"/>
  <c r="AW35" i="44"/>
  <c r="BZ34" i="34"/>
  <c r="AA34" i="34"/>
  <c r="X35" i="51"/>
  <c r="AA35" i="51" s="1"/>
  <c r="S36" i="44"/>
  <c r="BJ36" i="44"/>
  <c r="X35" i="34"/>
  <c r="AW35" i="34"/>
  <c r="S36" i="34"/>
  <c r="BJ36" i="34"/>
  <c r="O35" i="51"/>
  <c r="BJ35" i="34"/>
  <c r="S35" i="34"/>
  <c r="U35" i="34" s="1"/>
  <c r="O35" i="34"/>
  <c r="BJ35" i="51"/>
  <c r="BL35" i="51" s="1"/>
  <c r="BP35" i="51" s="1"/>
  <c r="BT35" i="51" s="1"/>
  <c r="S35" i="51"/>
  <c r="U35" i="51" s="1"/>
  <c r="BK36" i="34"/>
  <c r="N36" i="34"/>
  <c r="O36" i="34" s="1"/>
  <c r="AT36" i="34"/>
  <c r="AU36" i="34" s="1"/>
  <c r="P36" i="34"/>
  <c r="Q36" i="34" s="1"/>
  <c r="T36" i="34"/>
  <c r="AV36" i="34"/>
  <c r="AW36" i="34" s="1"/>
  <c r="X36" i="34"/>
  <c r="BM36" i="34"/>
  <c r="BN36" i="34" s="1"/>
  <c r="X35" i="44"/>
  <c r="AA35" i="44" s="1"/>
  <c r="O35" i="44"/>
  <c r="AW35" i="51"/>
  <c r="AV36" i="51"/>
  <c r="AW36" i="51" s="1"/>
  <c r="BK36" i="51"/>
  <c r="T36" i="51"/>
  <c r="N36" i="51"/>
  <c r="O36" i="51" s="1"/>
  <c r="W36" i="51"/>
  <c r="X36" i="51" s="1"/>
  <c r="AA36" i="51" s="1"/>
  <c r="AT36" i="51"/>
  <c r="AU36" i="51" s="1"/>
  <c r="BZ36" i="51" s="1"/>
  <c r="BM36" i="51"/>
  <c r="BN36" i="51" s="1"/>
  <c r="P36" i="51"/>
  <c r="Q36" i="51" s="1"/>
  <c r="S36" i="51"/>
  <c r="BJ36" i="51"/>
  <c r="BJ35" i="44"/>
  <c r="S35" i="44"/>
  <c r="U35" i="44" s="1"/>
  <c r="Q35" i="44"/>
  <c r="AV36" i="44"/>
  <c r="AW36" i="44" s="1"/>
  <c r="P36" i="44"/>
  <c r="Q36" i="44" s="1"/>
  <c r="N36" i="44"/>
  <c r="O36" i="44" s="1"/>
  <c r="T36" i="44"/>
  <c r="AT36" i="44"/>
  <c r="AU36" i="44" s="1"/>
  <c r="BZ36" i="44" s="1"/>
  <c r="BM36" i="44"/>
  <c r="BN36" i="44" s="1"/>
  <c r="W36" i="44"/>
  <c r="X36" i="44" s="1"/>
  <c r="AA36" i="44" s="1"/>
  <c r="BK36" i="44"/>
  <c r="Q35" i="51"/>
  <c r="G26" i="12"/>
  <c r="CA32" i="51"/>
  <c r="CG32" i="51" s="1"/>
  <c r="AF33" i="51"/>
  <c r="AR33" i="51" s="1"/>
  <c r="AH32" i="51"/>
  <c r="AN32" i="51" s="1"/>
  <c r="E23" i="12"/>
  <c r="E34" i="12"/>
  <c r="BZ26" i="52"/>
  <c r="R34" i="51"/>
  <c r="V34" i="51" s="1"/>
  <c r="BY34" i="51"/>
  <c r="AG34" i="51"/>
  <c r="BY33" i="51"/>
  <c r="CA33" i="51" s="1"/>
  <c r="CG33" i="51" s="1"/>
  <c r="V33" i="51"/>
  <c r="AB33" i="51" s="1"/>
  <c r="AG33" i="51"/>
  <c r="AZ32" i="51"/>
  <c r="BE32" i="51" s="1"/>
  <c r="R34" i="44"/>
  <c r="V34" i="44" s="1"/>
  <c r="AG34" i="44"/>
  <c r="BY34" i="44"/>
  <c r="BP34" i="34"/>
  <c r="R34" i="34"/>
  <c r="BY34" i="34"/>
  <c r="AG34" i="34"/>
  <c r="E24" i="12" l="1"/>
  <c r="BP34" i="51"/>
  <c r="BT34" i="51" s="1"/>
  <c r="U36" i="51"/>
  <c r="BY36" i="51" s="1"/>
  <c r="BL36" i="44"/>
  <c r="BP36" i="44" s="1"/>
  <c r="BT36" i="44" s="1"/>
  <c r="R36" i="44"/>
  <c r="AF36" i="44" s="1"/>
  <c r="AR36" i="44" s="1"/>
  <c r="R36" i="51"/>
  <c r="BX36" i="51" s="1"/>
  <c r="BZ36" i="52"/>
  <c r="AG35" i="44"/>
  <c r="BY35" i="44"/>
  <c r="R36" i="34"/>
  <c r="R35" i="34"/>
  <c r="V35" i="34" s="1"/>
  <c r="BL36" i="34"/>
  <c r="BP36" i="34" s="1"/>
  <c r="BT36" i="34" s="1"/>
  <c r="U36" i="44"/>
  <c r="BL35" i="44"/>
  <c r="BP35" i="44" s="1"/>
  <c r="BT35" i="44" s="1"/>
  <c r="V34" i="34"/>
  <c r="AF34" i="34"/>
  <c r="AR34" i="34" s="1"/>
  <c r="R35" i="44"/>
  <c r="BY35" i="34"/>
  <c r="AG35" i="34"/>
  <c r="BL35" i="34"/>
  <c r="R35" i="51"/>
  <c r="BY35" i="51"/>
  <c r="AG35" i="51"/>
  <c r="BL36" i="51"/>
  <c r="BP36" i="51" s="1"/>
  <c r="BT36" i="51" s="1"/>
  <c r="AA36" i="34"/>
  <c r="BZ36" i="34"/>
  <c r="U36" i="34"/>
  <c r="AA35" i="34"/>
  <c r="E26" i="12"/>
  <c r="F26" i="12"/>
  <c r="G37" i="12"/>
  <c r="BZ35" i="52"/>
  <c r="G33" i="12"/>
  <c r="BT34" i="44"/>
  <c r="BT34" i="34"/>
  <c r="G17" i="12"/>
  <c r="G45" i="12"/>
  <c r="G29" i="12"/>
  <c r="G21" i="12"/>
  <c r="AF34" i="51"/>
  <c r="AR34" i="51" s="1"/>
  <c r="BZ27" i="52"/>
  <c r="BX34" i="34"/>
  <c r="CA34" i="34" s="1"/>
  <c r="BX34" i="51"/>
  <c r="CA34" i="51" s="1"/>
  <c r="BX34" i="44"/>
  <c r="CA34" i="44" s="1"/>
  <c r="AH33" i="51"/>
  <c r="AN33" i="51" s="1"/>
  <c r="AS33" i="51"/>
  <c r="AZ33" i="51" s="1"/>
  <c r="BE33" i="51" s="1"/>
  <c r="AS34" i="51"/>
  <c r="AB34" i="51"/>
  <c r="AF34" i="44"/>
  <c r="AR34" i="44" s="1"/>
  <c r="AB34" i="44"/>
  <c r="AS34" i="44"/>
  <c r="G19" i="12"/>
  <c r="AS34" i="34"/>
  <c r="AG36" i="51" l="1"/>
  <c r="AS36" i="51" s="1"/>
  <c r="BX36" i="44"/>
  <c r="AB34" i="34"/>
  <c r="AF36" i="51"/>
  <c r="AR36" i="51" s="1"/>
  <c r="BP35" i="52"/>
  <c r="BT35" i="52" s="1"/>
  <c r="CA36" i="51"/>
  <c r="CG36" i="51" s="1"/>
  <c r="V36" i="51"/>
  <c r="AB36" i="51" s="1"/>
  <c r="BP36" i="52"/>
  <c r="BT36" i="52" s="1"/>
  <c r="BY35" i="52"/>
  <c r="AG35" i="52"/>
  <c r="AF35" i="44"/>
  <c r="AR35" i="44" s="1"/>
  <c r="BX35" i="44"/>
  <c r="CA35" i="44" s="1"/>
  <c r="CG35" i="44" s="1"/>
  <c r="BP35" i="34"/>
  <c r="AB35" i="34"/>
  <c r="V36" i="44"/>
  <c r="AB36" i="44" s="1"/>
  <c r="BY36" i="44"/>
  <c r="CA36" i="44" s="1"/>
  <c r="CG36" i="44" s="1"/>
  <c r="AG36" i="44"/>
  <c r="AS35" i="44"/>
  <c r="AF35" i="51"/>
  <c r="AR35" i="51" s="1"/>
  <c r="BX35" i="51"/>
  <c r="CA35" i="51" s="1"/>
  <c r="CG35" i="51" s="1"/>
  <c r="AF35" i="34"/>
  <c r="AR35" i="34" s="1"/>
  <c r="BX35" i="34"/>
  <c r="CA35" i="34" s="1"/>
  <c r="CG35" i="34" s="1"/>
  <c r="BX36" i="34"/>
  <c r="AF36" i="34"/>
  <c r="AR36" i="34" s="1"/>
  <c r="AS35" i="51"/>
  <c r="BY36" i="34"/>
  <c r="AG36" i="34"/>
  <c r="V36" i="34"/>
  <c r="V35" i="51"/>
  <c r="AB35" i="51" s="1"/>
  <c r="AS35" i="34"/>
  <c r="V35" i="44"/>
  <c r="CG34" i="51"/>
  <c r="CG34" i="44"/>
  <c r="CG34" i="34"/>
  <c r="D44" i="12"/>
  <c r="D41" i="12"/>
  <c r="H44" i="12"/>
  <c r="D33" i="12"/>
  <c r="G44" i="12"/>
  <c r="D37" i="12"/>
  <c r="AH34" i="51"/>
  <c r="AZ34" i="51"/>
  <c r="G41" i="12"/>
  <c r="BZ28" i="52"/>
  <c r="AZ34" i="44"/>
  <c r="D45" i="12"/>
  <c r="F44" i="12"/>
  <c r="AH34" i="44"/>
  <c r="AN34" i="44" s="1"/>
  <c r="G18" i="12"/>
  <c r="AZ34" i="34"/>
  <c r="D29" i="12"/>
  <c r="AH34" i="34"/>
  <c r="G15" i="12"/>
  <c r="AZ36" i="51" l="1"/>
  <c r="BE36" i="51" s="1"/>
  <c r="AH36" i="51"/>
  <c r="AN36" i="51" s="1"/>
  <c r="AH35" i="44"/>
  <c r="AN35" i="44" s="1"/>
  <c r="CA36" i="34"/>
  <c r="CG36" i="34" s="1"/>
  <c r="AH35" i="34"/>
  <c r="AN35" i="34" s="1"/>
  <c r="BX35" i="52"/>
  <c r="CA35" i="52" s="1"/>
  <c r="CG35" i="52" s="1"/>
  <c r="AF35" i="52"/>
  <c r="AR35" i="52" s="1"/>
  <c r="AG36" i="52"/>
  <c r="BY36" i="52"/>
  <c r="AF36" i="52"/>
  <c r="AR36" i="52" s="1"/>
  <c r="BX36" i="52"/>
  <c r="AZ35" i="51"/>
  <c r="BE35" i="51" s="1"/>
  <c r="AZ35" i="44"/>
  <c r="BE35" i="44" s="1"/>
  <c r="AB35" i="44"/>
  <c r="AB36" i="34"/>
  <c r="AH35" i="51"/>
  <c r="AN35" i="51" s="1"/>
  <c r="AZ35" i="34"/>
  <c r="BE35" i="34" s="1"/>
  <c r="AH36" i="44"/>
  <c r="AN36" i="44" s="1"/>
  <c r="AS36" i="44"/>
  <c r="AZ36" i="44" s="1"/>
  <c r="BE36" i="44" s="1"/>
  <c r="BT35" i="34"/>
  <c r="AS35" i="52"/>
  <c r="AS36" i="34"/>
  <c r="AZ36" i="34" s="1"/>
  <c r="AH36" i="34"/>
  <c r="AN36" i="34" s="1"/>
  <c r="BE34" i="51"/>
  <c r="AN34" i="34"/>
  <c r="BE34" i="34"/>
  <c r="E44" i="12"/>
  <c r="AN34" i="51"/>
  <c r="BE34" i="44"/>
  <c r="E37" i="12"/>
  <c r="BZ29" i="52"/>
  <c r="CA36" i="52" l="1"/>
  <c r="CG36" i="52" s="1"/>
  <c r="BE36" i="34"/>
  <c r="AH35" i="52"/>
  <c r="AN35" i="52" s="1"/>
  <c r="AZ35" i="52"/>
  <c r="BE35" i="52" s="1"/>
  <c r="AS36" i="52"/>
  <c r="AZ36" i="52" s="1"/>
  <c r="BE36" i="52" s="1"/>
  <c r="AH36" i="52"/>
  <c r="AN36" i="52" s="1"/>
  <c r="E29" i="12"/>
  <c r="H33" i="12"/>
  <c r="E33" i="12"/>
  <c r="E41" i="12"/>
  <c r="F33" i="12"/>
  <c r="E45" i="12"/>
  <c r="BZ30" i="52"/>
  <c r="F37" i="12"/>
  <c r="H37" i="12"/>
  <c r="H29" i="12"/>
  <c r="F29" i="12"/>
  <c r="F41" i="12" l="1"/>
  <c r="F45" i="12"/>
  <c r="H41" i="12"/>
  <c r="H45" i="12"/>
  <c r="BZ31" i="52"/>
  <c r="BZ32" i="52" l="1"/>
  <c r="BP34" i="52" l="1"/>
  <c r="BT34" i="52" s="1"/>
  <c r="BZ33" i="52"/>
  <c r="BX34" i="52"/>
  <c r="AF34" i="52" l="1"/>
  <c r="AR34" i="52" s="1"/>
  <c r="BY34" i="52"/>
  <c r="AG34" i="52"/>
  <c r="AS34" i="52" s="1"/>
  <c r="BZ34" i="52"/>
  <c r="CA34" i="52" l="1"/>
  <c r="AH34" i="52"/>
  <c r="AZ34" i="52"/>
  <c r="CG34" i="52" l="1"/>
  <c r="AN34" i="52"/>
  <c r="BE34" i="52"/>
  <c r="G12" i="12" l="1"/>
  <c r="CD14" i="52"/>
  <c r="AK14" i="52"/>
  <c r="F13" i="52" l="1"/>
  <c r="Y15" i="34"/>
  <c r="F13" i="34"/>
  <c r="F9" i="75" l="1"/>
  <c r="J9" i="75" s="1"/>
  <c r="BB14" i="34"/>
  <c r="BD14" i="34" s="1"/>
  <c r="AJ14" i="34"/>
  <c r="AL14" i="34" s="1"/>
  <c r="Y16" i="34"/>
  <c r="AJ15" i="34"/>
  <c r="AL15" i="34" s="1"/>
  <c r="BB15" i="34"/>
  <c r="AL39" i="34" l="1"/>
  <c r="AL38" i="34"/>
  <c r="BD39" i="34"/>
  <c r="BD38" i="34"/>
  <c r="F13" i="75"/>
  <c r="F21" i="75" s="1"/>
  <c r="J21" i="75" s="1"/>
  <c r="CC15" i="52"/>
  <c r="CE15" i="52" s="1"/>
  <c r="BD15" i="34"/>
  <c r="CC15" i="34"/>
  <c r="AJ14" i="52"/>
  <c r="AL14" i="52" s="1"/>
  <c r="AJ15" i="52"/>
  <c r="AL15" i="52" s="1"/>
  <c r="AJ16" i="34"/>
  <c r="BB16" i="34"/>
  <c r="CC14" i="34"/>
  <c r="J13" i="75" l="1"/>
  <c r="AL16" i="34"/>
  <c r="D17" i="12"/>
  <c r="D18" i="12"/>
  <c r="D15" i="12"/>
  <c r="E12" i="12"/>
  <c r="D12" i="12"/>
  <c r="BD16" i="34"/>
  <c r="CC16" i="34"/>
  <c r="BD15" i="52"/>
  <c r="CE15" i="34"/>
  <c r="D19" i="12"/>
  <c r="CE14" i="34"/>
  <c r="AJ16" i="52"/>
  <c r="AL16" i="52" s="1"/>
  <c r="BD14" i="52"/>
  <c r="CC14" i="52"/>
  <c r="CE14" i="52" s="1"/>
  <c r="D21" i="12"/>
  <c r="CE39" i="34" l="1"/>
  <c r="CE38" i="34"/>
  <c r="AL39" i="52"/>
  <c r="AL38" i="52"/>
  <c r="E19" i="12"/>
  <c r="F15" i="12"/>
  <c r="E17" i="12"/>
  <c r="E15" i="12"/>
  <c r="E21" i="12"/>
  <c r="E18" i="12"/>
  <c r="CC16" i="52"/>
  <c r="CE16" i="52" s="1"/>
  <c r="CE39" i="52" s="1"/>
  <c r="BD16" i="52"/>
  <c r="CE16" i="34"/>
  <c r="BD38" i="52" l="1"/>
  <c r="BD39" i="52"/>
  <c r="F18" i="12"/>
  <c r="F12" i="12"/>
  <c r="F21" i="12"/>
  <c r="H18" i="12"/>
  <c r="H15" i="12"/>
  <c r="H17" i="12"/>
  <c r="H12" i="12"/>
  <c r="F17" i="12"/>
  <c r="H19" i="12"/>
  <c r="F19" i="12"/>
  <c r="CE38" i="52" l="1"/>
  <c r="H21" i="12"/>
  <c r="M17" i="34" l="1"/>
  <c r="M22" i="34"/>
  <c r="M19" i="34"/>
  <c r="M21" i="34"/>
  <c r="M23" i="34"/>
  <c r="M20" i="34"/>
  <c r="M15" i="34"/>
  <c r="M31" i="34"/>
  <c r="M32" i="34"/>
  <c r="M16" i="34"/>
  <c r="M24" i="34"/>
  <c r="M30" i="34"/>
  <c r="M18" i="34"/>
  <c r="M25" i="34"/>
  <c r="M28" i="34"/>
  <c r="M33" i="34"/>
  <c r="M27" i="34"/>
  <c r="M29" i="34"/>
  <c r="M26" i="34"/>
  <c r="S16" i="34" l="1"/>
  <c r="X16" i="34"/>
  <c r="M38" i="34"/>
  <c r="AW26" i="34"/>
  <c r="Q26" i="34"/>
  <c r="BJ26" i="34"/>
  <c r="X26" i="34"/>
  <c r="S26" i="34"/>
  <c r="O26" i="34"/>
  <c r="AW28" i="34"/>
  <c r="Q28" i="34"/>
  <c r="X28" i="34"/>
  <c r="BJ28" i="34"/>
  <c r="S28" i="34"/>
  <c r="O28" i="34"/>
  <c r="Q24" i="34"/>
  <c r="X24" i="34"/>
  <c r="AW24" i="34"/>
  <c r="BJ24" i="34"/>
  <c r="S24" i="34"/>
  <c r="O24" i="34"/>
  <c r="Q15" i="34"/>
  <c r="X15" i="34"/>
  <c r="BJ15" i="34"/>
  <c r="AW15" i="34"/>
  <c r="S15" i="34"/>
  <c r="O15" i="34"/>
  <c r="X19" i="34"/>
  <c r="AW19" i="34"/>
  <c r="Q19" i="34"/>
  <c r="O19" i="34"/>
  <c r="S19" i="34"/>
  <c r="BJ19" i="34"/>
  <c r="AW33" i="34"/>
  <c r="X33" i="34"/>
  <c r="Q33" i="34"/>
  <c r="O33" i="34"/>
  <c r="BJ33" i="34"/>
  <c r="S33" i="34"/>
  <c r="X30" i="34"/>
  <c r="Q30" i="34"/>
  <c r="BJ30" i="34"/>
  <c r="O30" i="34"/>
  <c r="S30" i="34"/>
  <c r="AW30" i="34"/>
  <c r="X31" i="34"/>
  <c r="AW31" i="34"/>
  <c r="Q31" i="34"/>
  <c r="O31" i="34"/>
  <c r="BJ31" i="34"/>
  <c r="S31" i="34"/>
  <c r="X21" i="34"/>
  <c r="Q21" i="34"/>
  <c r="S21" i="34"/>
  <c r="AW21" i="34"/>
  <c r="BJ21" i="34"/>
  <c r="O21" i="34"/>
  <c r="AW14" i="34"/>
  <c r="Q14" i="34"/>
  <c r="BJ14" i="34"/>
  <c r="S14" i="34"/>
  <c r="Q29" i="34"/>
  <c r="AW29" i="34"/>
  <c r="X29" i="34"/>
  <c r="S29" i="34"/>
  <c r="BJ29" i="34"/>
  <c r="O29" i="34"/>
  <c r="X25" i="34"/>
  <c r="AW25" i="34"/>
  <c r="Q25" i="34"/>
  <c r="BJ25" i="34"/>
  <c r="S25" i="34"/>
  <c r="O25" i="34"/>
  <c r="Q16" i="34"/>
  <c r="AW16" i="34"/>
  <c r="BJ16" i="34"/>
  <c r="O16" i="34"/>
  <c r="R16" i="34" s="1"/>
  <c r="AF16" i="34" s="1"/>
  <c r="X20" i="34"/>
  <c r="AW20" i="34"/>
  <c r="Q20" i="34"/>
  <c r="S20" i="34"/>
  <c r="BJ20" i="34"/>
  <c r="O20" i="34"/>
  <c r="AW22" i="34"/>
  <c r="Q22" i="34"/>
  <c r="S22" i="34"/>
  <c r="O22" i="34"/>
  <c r="X22" i="34"/>
  <c r="BJ22" i="34"/>
  <c r="AW27" i="34"/>
  <c r="X27" i="34"/>
  <c r="Q27" i="34"/>
  <c r="BJ27" i="34"/>
  <c r="O27" i="34"/>
  <c r="S27" i="34"/>
  <c r="Q18" i="34"/>
  <c r="X18" i="34"/>
  <c r="BJ18" i="34"/>
  <c r="S18" i="34"/>
  <c r="AW18" i="34"/>
  <c r="O18" i="34"/>
  <c r="Q32" i="34"/>
  <c r="X32" i="34"/>
  <c r="AW32" i="34"/>
  <c r="BJ32" i="34"/>
  <c r="S32" i="34"/>
  <c r="O32" i="34"/>
  <c r="AW23" i="34"/>
  <c r="X23" i="34"/>
  <c r="S23" i="34"/>
  <c r="Q23" i="34"/>
  <c r="O23" i="34"/>
  <c r="BJ23" i="34"/>
  <c r="Q17" i="34"/>
  <c r="AW17" i="34"/>
  <c r="S17" i="34"/>
  <c r="X17" i="34"/>
  <c r="BJ17" i="34"/>
  <c r="O17" i="34"/>
  <c r="BJ38" i="34" l="1"/>
  <c r="R32" i="34"/>
  <c r="BL27" i="34"/>
  <c r="BL25" i="34"/>
  <c r="R14" i="34"/>
  <c r="BL14" i="34"/>
  <c r="BP14" i="34" s="1"/>
  <c r="R21" i="34"/>
  <c r="BL31" i="34"/>
  <c r="R30" i="34"/>
  <c r="AA30" i="34"/>
  <c r="BL19" i="34"/>
  <c r="R26" i="34"/>
  <c r="U18" i="34"/>
  <c r="BL17" i="34"/>
  <c r="R18" i="34"/>
  <c r="AA18" i="34"/>
  <c r="R27" i="34"/>
  <c r="R22" i="34"/>
  <c r="U25" i="34"/>
  <c r="U29" i="34"/>
  <c r="U14" i="34"/>
  <c r="U31" i="34"/>
  <c r="U30" i="34"/>
  <c r="R33" i="34"/>
  <c r="R15" i="34"/>
  <c r="AA15" i="34"/>
  <c r="U24" i="34"/>
  <c r="AA24" i="34"/>
  <c r="BL28" i="34"/>
  <c r="BL26" i="34"/>
  <c r="U21" i="34"/>
  <c r="BL24" i="34"/>
  <c r="AA28" i="34"/>
  <c r="BL20" i="34"/>
  <c r="R29" i="34"/>
  <c r="AA29" i="34"/>
  <c r="BL21" i="34"/>
  <c r="R31" i="34"/>
  <c r="AA33" i="34"/>
  <c r="AA17" i="34"/>
  <c r="U23" i="34"/>
  <c r="AA32" i="34"/>
  <c r="U22" i="34"/>
  <c r="R20" i="34"/>
  <c r="U16" i="34"/>
  <c r="AG16" i="34" s="1"/>
  <c r="AA25" i="34"/>
  <c r="U15" i="34"/>
  <c r="U17" i="34"/>
  <c r="BL23" i="34"/>
  <c r="U32" i="34"/>
  <c r="BL22" i="34"/>
  <c r="AA20" i="34"/>
  <c r="AA16" i="34"/>
  <c r="AA31" i="34"/>
  <c r="BL30" i="34"/>
  <c r="U33" i="34"/>
  <c r="U19" i="34"/>
  <c r="R28" i="34"/>
  <c r="U26" i="34"/>
  <c r="R17" i="34"/>
  <c r="R23" i="34"/>
  <c r="AA23" i="34"/>
  <c r="BL32" i="34"/>
  <c r="BL18" i="34"/>
  <c r="U27" i="34"/>
  <c r="AA27" i="34"/>
  <c r="AA22" i="34"/>
  <c r="U20" i="34"/>
  <c r="BL16" i="34"/>
  <c r="R25" i="34"/>
  <c r="BL29" i="34"/>
  <c r="AA21" i="34"/>
  <c r="BL33" i="34"/>
  <c r="R19" i="34"/>
  <c r="AA19" i="34"/>
  <c r="BL15" i="34"/>
  <c r="R24" i="34"/>
  <c r="U28" i="34"/>
  <c r="AA26" i="34"/>
  <c r="AA39" i="34" l="1"/>
  <c r="AA38" i="34"/>
  <c r="BT14" i="34"/>
  <c r="BX24" i="34"/>
  <c r="AF24" i="34"/>
  <c r="AR24" i="34" s="1"/>
  <c r="BP33" i="34"/>
  <c r="BT33" i="34" s="1"/>
  <c r="V20" i="34"/>
  <c r="AG20" i="34"/>
  <c r="BY20" i="34"/>
  <c r="BY33" i="34"/>
  <c r="AG33" i="34"/>
  <c r="V33" i="34"/>
  <c r="BP27" i="34"/>
  <c r="BT27" i="34" s="1"/>
  <c r="BP18" i="34"/>
  <c r="BT18" i="34" s="1"/>
  <c r="BY32" i="34"/>
  <c r="AG32" i="34"/>
  <c r="V32" i="34"/>
  <c r="AF20" i="34"/>
  <c r="AR20" i="34" s="1"/>
  <c r="BX20" i="34"/>
  <c r="BX31" i="34"/>
  <c r="AF31" i="34"/>
  <c r="AR31" i="34" s="1"/>
  <c r="BX29" i="34"/>
  <c r="AF29" i="34"/>
  <c r="AR29" i="34" s="1"/>
  <c r="AG21" i="34"/>
  <c r="V21" i="34"/>
  <c r="BY21" i="34"/>
  <c r="BP28" i="34"/>
  <c r="BT28" i="34" s="1"/>
  <c r="V24" i="34"/>
  <c r="BY24" i="34"/>
  <c r="AG24" i="34"/>
  <c r="BX15" i="34"/>
  <c r="AF15" i="34"/>
  <c r="AR15" i="34" s="1"/>
  <c r="BY30" i="34"/>
  <c r="AG30" i="34"/>
  <c r="V30" i="34"/>
  <c r="BY14" i="34"/>
  <c r="AG14" i="34"/>
  <c r="V14" i="34"/>
  <c r="BY25" i="34"/>
  <c r="V25" i="34"/>
  <c r="AG25" i="34"/>
  <c r="BX22" i="34"/>
  <c r="AF22" i="34"/>
  <c r="AR22" i="34" s="1"/>
  <c r="BP17" i="34"/>
  <c r="BT17" i="34" s="1"/>
  <c r="BX26" i="34"/>
  <c r="AF26" i="34"/>
  <c r="AR26" i="34" s="1"/>
  <c r="BP31" i="34"/>
  <c r="BT31" i="34" s="1"/>
  <c r="BX14" i="34"/>
  <c r="AF14" i="34"/>
  <c r="AR14" i="34" s="1"/>
  <c r="BP15" i="34"/>
  <c r="BT15" i="34" s="1"/>
  <c r="BP16" i="34"/>
  <c r="BT16" i="34" s="1"/>
  <c r="BY27" i="34"/>
  <c r="V27" i="34"/>
  <c r="AG27" i="34"/>
  <c r="BP32" i="34"/>
  <c r="BT32" i="34" s="1"/>
  <c r="V26" i="34"/>
  <c r="AG26" i="34"/>
  <c r="BY26" i="34"/>
  <c r="BY19" i="34"/>
  <c r="V19" i="34"/>
  <c r="AG19" i="34"/>
  <c r="BP30" i="34"/>
  <c r="BT30" i="34" s="1"/>
  <c r="BY17" i="34"/>
  <c r="V17" i="34"/>
  <c r="AG17" i="34"/>
  <c r="BP25" i="34"/>
  <c r="BT25" i="34" s="1"/>
  <c r="BX32" i="34"/>
  <c r="AF32" i="34"/>
  <c r="AR32" i="34" s="1"/>
  <c r="BX25" i="34"/>
  <c r="AF25" i="34"/>
  <c r="AR25" i="34" s="1"/>
  <c r="BX17" i="34"/>
  <c r="AF17" i="34"/>
  <c r="AR17" i="34" s="1"/>
  <c r="AF28" i="34"/>
  <c r="AR28" i="34" s="1"/>
  <c r="BX28" i="34"/>
  <c r="BP20" i="34"/>
  <c r="BT20" i="34" s="1"/>
  <c r="BY28" i="34"/>
  <c r="V28" i="34"/>
  <c r="AG28" i="34"/>
  <c r="BX19" i="34"/>
  <c r="AF19" i="34"/>
  <c r="AR19" i="34" s="1"/>
  <c r="BP29" i="34"/>
  <c r="BT29" i="34" s="1"/>
  <c r="BX23" i="34"/>
  <c r="AF23" i="34"/>
  <c r="AR23" i="34" s="1"/>
  <c r="BP22" i="34"/>
  <c r="BT22" i="34" s="1"/>
  <c r="BP23" i="34"/>
  <c r="BT23" i="34" s="1"/>
  <c r="V15" i="34"/>
  <c r="BY15" i="34"/>
  <c r="AG15" i="34"/>
  <c r="V16" i="34"/>
  <c r="BY16" i="34"/>
  <c r="AG22" i="34"/>
  <c r="BY22" i="34"/>
  <c r="V22" i="34"/>
  <c r="AG23" i="34"/>
  <c r="V23" i="34"/>
  <c r="BY23" i="34"/>
  <c r="BP21" i="34"/>
  <c r="BT21" i="34" s="1"/>
  <c r="BP24" i="34"/>
  <c r="BT24" i="34" s="1"/>
  <c r="BP26" i="34"/>
  <c r="BT26" i="34" s="1"/>
  <c r="BX33" i="34"/>
  <c r="AF33" i="34"/>
  <c r="AR33" i="34" s="1"/>
  <c r="BY31" i="34"/>
  <c r="V31" i="34"/>
  <c r="AG31" i="34"/>
  <c r="BY29" i="34"/>
  <c r="AG29" i="34"/>
  <c r="V29" i="34"/>
  <c r="BX16" i="34"/>
  <c r="AR16" i="34"/>
  <c r="BX27" i="34"/>
  <c r="AF27" i="34"/>
  <c r="AR27" i="34" s="1"/>
  <c r="BX18" i="34"/>
  <c r="AF18" i="34"/>
  <c r="AR18" i="34" s="1"/>
  <c r="AG18" i="34"/>
  <c r="BY18" i="34"/>
  <c r="V18" i="34"/>
  <c r="BP19" i="34"/>
  <c r="BT19" i="34" s="1"/>
  <c r="AF30" i="34"/>
  <c r="AR30" i="34" s="1"/>
  <c r="BX30" i="34"/>
  <c r="BX21" i="34"/>
  <c r="AF21" i="34"/>
  <c r="AR21" i="34" s="1"/>
  <c r="CA14" i="34" l="1"/>
  <c r="CG14" i="34" s="1"/>
  <c r="BT38" i="34"/>
  <c r="BT39" i="34"/>
  <c r="BJ41" i="34" s="1"/>
  <c r="V39" i="34"/>
  <c r="N42" i="34" s="1"/>
  <c r="G42" i="34" s="1"/>
  <c r="D13" i="12" s="1"/>
  <c r="BP39" i="34"/>
  <c r="BJ42" i="34" s="1"/>
  <c r="G45" i="34" s="1"/>
  <c r="G13" i="12" s="1"/>
  <c r="BP38" i="34"/>
  <c r="V38" i="34"/>
  <c r="CA27" i="34"/>
  <c r="CG27" i="34" s="1"/>
  <c r="CA21" i="34"/>
  <c r="CG21" i="34" s="1"/>
  <c r="CA30" i="34"/>
  <c r="CG30" i="34" s="1"/>
  <c r="AB14" i="34"/>
  <c r="CA18" i="34"/>
  <c r="CG18" i="34" s="1"/>
  <c r="CA16" i="34"/>
  <c r="CG16" i="34" s="1"/>
  <c r="CA25" i="34"/>
  <c r="CG25" i="34" s="1"/>
  <c r="CA19" i="34"/>
  <c r="CG19" i="34" s="1"/>
  <c r="CA17" i="34"/>
  <c r="CG17" i="34" s="1"/>
  <c r="CA33" i="34"/>
  <c r="CG33" i="34" s="1"/>
  <c r="AB29" i="34"/>
  <c r="AB27" i="34"/>
  <c r="AB30" i="34"/>
  <c r="AS24" i="34"/>
  <c r="AZ24" i="34" s="1"/>
  <c r="BE24" i="34" s="1"/>
  <c r="AH24" i="34"/>
  <c r="AN24" i="34" s="1"/>
  <c r="AH33" i="34"/>
  <c r="AN33" i="34" s="1"/>
  <c r="AS33" i="34"/>
  <c r="AZ33" i="34" s="1"/>
  <c r="BE33" i="34" s="1"/>
  <c r="AH18" i="34"/>
  <c r="AN18" i="34" s="1"/>
  <c r="AS18" i="34"/>
  <c r="AZ18" i="34" s="1"/>
  <c r="BE18" i="34" s="1"/>
  <c r="AS29" i="34"/>
  <c r="AZ29" i="34" s="1"/>
  <c r="BE29" i="34" s="1"/>
  <c r="AH29" i="34"/>
  <c r="AN29" i="34" s="1"/>
  <c r="AB22" i="34"/>
  <c r="AS16" i="34"/>
  <c r="AZ16" i="34" s="1"/>
  <c r="BE16" i="34" s="1"/>
  <c r="AH16" i="34"/>
  <c r="AN16" i="34" s="1"/>
  <c r="AS28" i="34"/>
  <c r="AZ28" i="34" s="1"/>
  <c r="BE28" i="34" s="1"/>
  <c r="AH28" i="34"/>
  <c r="AN28" i="34" s="1"/>
  <c r="CA32" i="34"/>
  <c r="CG32" i="34" s="1"/>
  <c r="AS19" i="34"/>
  <c r="AZ19" i="34" s="1"/>
  <c r="BE19" i="34" s="1"/>
  <c r="AH19" i="34"/>
  <c r="AN19" i="34" s="1"/>
  <c r="AH25" i="34"/>
  <c r="AN25" i="34" s="1"/>
  <c r="AS25" i="34"/>
  <c r="AZ25" i="34" s="1"/>
  <c r="BE25" i="34" s="1"/>
  <c r="AH30" i="34"/>
  <c r="AN30" i="34" s="1"/>
  <c r="AS30" i="34"/>
  <c r="AZ30" i="34" s="1"/>
  <c r="BE30" i="34" s="1"/>
  <c r="CA15" i="34"/>
  <c r="CG15" i="34" s="1"/>
  <c r="CA31" i="34"/>
  <c r="CG31" i="34" s="1"/>
  <c r="AS20" i="34"/>
  <c r="AZ20" i="34" s="1"/>
  <c r="BE20" i="34" s="1"/>
  <c r="AH20" i="34"/>
  <c r="AN20" i="34" s="1"/>
  <c r="AS15" i="34"/>
  <c r="AZ15" i="34" s="1"/>
  <c r="BE15" i="34" s="1"/>
  <c r="AH15" i="34"/>
  <c r="AN15" i="34" s="1"/>
  <c r="AB17" i="34"/>
  <c r="AB23" i="34"/>
  <c r="CA23" i="34"/>
  <c r="CG23" i="34" s="1"/>
  <c r="AB28" i="34"/>
  <c r="AB19" i="34"/>
  <c r="AH26" i="34"/>
  <c r="AN26" i="34" s="1"/>
  <c r="AS26" i="34"/>
  <c r="AZ26" i="34" s="1"/>
  <c r="BE26" i="34" s="1"/>
  <c r="AS27" i="34"/>
  <c r="AZ27" i="34" s="1"/>
  <c r="BE27" i="34" s="1"/>
  <c r="AH27" i="34"/>
  <c r="AN27" i="34" s="1"/>
  <c r="CA26" i="34"/>
  <c r="CG26" i="34" s="1"/>
  <c r="AB25" i="34"/>
  <c r="AS14" i="34"/>
  <c r="AZ14" i="34" s="1"/>
  <c r="AH14" i="34"/>
  <c r="AB24" i="34"/>
  <c r="AB21" i="34"/>
  <c r="AB32" i="34"/>
  <c r="AB20" i="34"/>
  <c r="AB31" i="34"/>
  <c r="AS21" i="34"/>
  <c r="AZ21" i="34" s="1"/>
  <c r="BE21" i="34" s="1"/>
  <c r="AH21" i="34"/>
  <c r="AN21" i="34" s="1"/>
  <c r="AB18" i="34"/>
  <c r="AS31" i="34"/>
  <c r="AZ31" i="34" s="1"/>
  <c r="BE31" i="34" s="1"/>
  <c r="AH31" i="34"/>
  <c r="AN31" i="34" s="1"/>
  <c r="AH23" i="34"/>
  <c r="AN23" i="34" s="1"/>
  <c r="AS23" i="34"/>
  <c r="AZ23" i="34" s="1"/>
  <c r="BE23" i="34" s="1"/>
  <c r="AS22" i="34"/>
  <c r="AZ22" i="34" s="1"/>
  <c r="BE22" i="34" s="1"/>
  <c r="AH22" i="34"/>
  <c r="AN22" i="34" s="1"/>
  <c r="AB16" i="34"/>
  <c r="AB15" i="34"/>
  <c r="CA28" i="34"/>
  <c r="CG28" i="34" s="1"/>
  <c r="AS17" i="34"/>
  <c r="AZ17" i="34" s="1"/>
  <c r="BE17" i="34" s="1"/>
  <c r="AH17" i="34"/>
  <c r="AN17" i="34" s="1"/>
  <c r="AB26" i="34"/>
  <c r="CA22" i="34"/>
  <c r="CG22" i="34" s="1"/>
  <c r="CA29" i="34"/>
  <c r="CG29" i="34" s="1"/>
  <c r="CA20" i="34"/>
  <c r="CG20" i="34" s="1"/>
  <c r="AS32" i="34"/>
  <c r="AZ32" i="34" s="1"/>
  <c r="BE32" i="34" s="1"/>
  <c r="AH32" i="34"/>
  <c r="AN32" i="34" s="1"/>
  <c r="AB33" i="34"/>
  <c r="CA24" i="34"/>
  <c r="CG24" i="34" s="1"/>
  <c r="CG39" i="34" l="1"/>
  <c r="BY41" i="34" s="1"/>
  <c r="F46" i="34" s="1"/>
  <c r="CG38" i="34"/>
  <c r="CA38" i="34"/>
  <c r="CA39" i="34"/>
  <c r="BY42" i="34" s="1"/>
  <c r="G46" i="34" s="1"/>
  <c r="H13" i="12" s="1"/>
  <c r="AZ39" i="34"/>
  <c r="AZ38" i="34"/>
  <c r="BE14" i="34"/>
  <c r="BE38" i="34" s="1"/>
  <c r="AB39" i="34"/>
  <c r="AH39" i="34"/>
  <c r="AH38" i="34"/>
  <c r="AB38" i="34"/>
  <c r="AN14" i="34"/>
  <c r="AN38" i="34" s="1"/>
  <c r="F45" i="34"/>
  <c r="AN39" i="34" l="1"/>
  <c r="AG41" i="34" s="1"/>
  <c r="F43" i="34" s="1"/>
  <c r="AG42" i="34"/>
  <c r="G43" i="34" s="1"/>
  <c r="E13" i="12" s="1"/>
  <c r="BE39" i="34"/>
  <c r="AS41" i="34" s="1"/>
  <c r="F44" i="34" s="1"/>
  <c r="AS42" i="34"/>
  <c r="G44" i="34" s="1"/>
  <c r="F13" i="12" s="1"/>
  <c r="N41" i="34"/>
  <c r="F42" i="34" s="1"/>
  <c r="F25" i="60"/>
  <c r="M20" i="60" s="1"/>
  <c r="M14" i="60" l="1"/>
  <c r="M18" i="60"/>
  <c r="M21" i="60"/>
  <c r="M23" i="60"/>
  <c r="M16" i="60"/>
  <c r="Q20" i="60"/>
  <c r="AW20" i="60"/>
  <c r="O20" i="60"/>
  <c r="S20" i="60"/>
  <c r="BJ20" i="60"/>
  <c r="X20" i="60"/>
  <c r="M17" i="60"/>
  <c r="M15" i="60"/>
  <c r="M22" i="60"/>
  <c r="M19" i="60"/>
  <c r="M38" i="60" l="1"/>
  <c r="AW19" i="60"/>
  <c r="X19" i="60"/>
  <c r="O19" i="60"/>
  <c r="Q19" i="60"/>
  <c r="BJ19" i="60"/>
  <c r="S19" i="60"/>
  <c r="AA20" i="60"/>
  <c r="Q23" i="60"/>
  <c r="X23" i="60"/>
  <c r="AW23" i="60"/>
  <c r="O23" i="60"/>
  <c r="BJ23" i="60"/>
  <c r="S23" i="60"/>
  <c r="Q22" i="60"/>
  <c r="BJ22" i="60"/>
  <c r="S22" i="60"/>
  <c r="O22" i="60"/>
  <c r="X22" i="60"/>
  <c r="AW22" i="60"/>
  <c r="BL20" i="60"/>
  <c r="X21" i="60"/>
  <c r="Q21" i="60"/>
  <c r="S21" i="60"/>
  <c r="BJ21" i="60"/>
  <c r="AW21" i="60"/>
  <c r="O21" i="60"/>
  <c r="X15" i="60"/>
  <c r="S15" i="60"/>
  <c r="Q15" i="60"/>
  <c r="BJ15" i="60"/>
  <c r="AW15" i="60"/>
  <c r="O15" i="60"/>
  <c r="U20" i="60"/>
  <c r="Q18" i="60"/>
  <c r="AW18" i="60"/>
  <c r="X18" i="60"/>
  <c r="S18" i="60"/>
  <c r="BJ18" i="60"/>
  <c r="O18" i="60"/>
  <c r="X17" i="60"/>
  <c r="Q17" i="60"/>
  <c r="BJ17" i="60"/>
  <c r="S17" i="60"/>
  <c r="AW17" i="60"/>
  <c r="O17" i="60"/>
  <c r="R20" i="60"/>
  <c r="Q16" i="60"/>
  <c r="AW16" i="60"/>
  <c r="X16" i="60"/>
  <c r="BJ16" i="60"/>
  <c r="S16" i="60"/>
  <c r="O16" i="60"/>
  <c r="X14" i="60"/>
  <c r="AW14" i="60"/>
  <c r="BJ14" i="60"/>
  <c r="Q14" i="60"/>
  <c r="O14" i="60"/>
  <c r="S14" i="60"/>
  <c r="BJ38" i="60" l="1"/>
  <c r="U14" i="60"/>
  <c r="BL14" i="60"/>
  <c r="U16" i="60"/>
  <c r="BL16" i="60"/>
  <c r="AA17" i="60"/>
  <c r="U18" i="60"/>
  <c r="AA15" i="60"/>
  <c r="BL21" i="60"/>
  <c r="AA21" i="60"/>
  <c r="BL22" i="60"/>
  <c r="BL23" i="60"/>
  <c r="R19" i="60"/>
  <c r="L13" i="75"/>
  <c r="R14" i="60"/>
  <c r="AA14" i="60"/>
  <c r="AA16" i="60"/>
  <c r="AF20" i="60"/>
  <c r="AR20" i="60" s="1"/>
  <c r="BX20" i="60"/>
  <c r="U17" i="60"/>
  <c r="AA18" i="60"/>
  <c r="BL15" i="60"/>
  <c r="U21" i="60"/>
  <c r="AA22" i="60"/>
  <c r="R23" i="60"/>
  <c r="U19" i="60"/>
  <c r="AA19" i="60"/>
  <c r="R16" i="60"/>
  <c r="BL17" i="60"/>
  <c r="R18" i="60"/>
  <c r="BY20" i="60"/>
  <c r="AG20" i="60"/>
  <c r="V20" i="60"/>
  <c r="R21" i="60"/>
  <c r="BP20" i="60"/>
  <c r="BT20" i="60" s="1"/>
  <c r="R22" i="60"/>
  <c r="BL19" i="60"/>
  <c r="R17" i="60"/>
  <c r="BL18" i="60"/>
  <c r="R15" i="60"/>
  <c r="U15" i="60"/>
  <c r="U22" i="60"/>
  <c r="U23" i="60"/>
  <c r="AA23" i="60"/>
  <c r="AA39" i="60" l="1"/>
  <c r="AA38" i="60"/>
  <c r="BP17" i="60"/>
  <c r="BT17" i="60" s="1"/>
  <c r="BY19" i="60"/>
  <c r="AG19" i="60"/>
  <c r="V19" i="60"/>
  <c r="BP15" i="60"/>
  <c r="BT15" i="60" s="1"/>
  <c r="BY17" i="60"/>
  <c r="V17" i="60"/>
  <c r="AG17" i="60"/>
  <c r="BP21" i="60"/>
  <c r="BT21" i="60" s="1"/>
  <c r="BX22" i="60"/>
  <c r="AF22" i="60"/>
  <c r="AR22" i="60" s="1"/>
  <c r="AF23" i="60"/>
  <c r="AR23" i="60" s="1"/>
  <c r="BX23" i="60"/>
  <c r="BP23" i="60"/>
  <c r="BT23" i="60" s="1"/>
  <c r="BY18" i="60"/>
  <c r="V18" i="60"/>
  <c r="AG18" i="60"/>
  <c r="BY16" i="60"/>
  <c r="AG16" i="60"/>
  <c r="V16" i="60"/>
  <c r="BY22" i="60"/>
  <c r="V22" i="60"/>
  <c r="AG22" i="60"/>
  <c r="BY23" i="60"/>
  <c r="V23" i="60"/>
  <c r="AG23" i="60"/>
  <c r="AG15" i="60"/>
  <c r="BY15" i="60"/>
  <c r="V15" i="60"/>
  <c r="BX17" i="60"/>
  <c r="AF17" i="60"/>
  <c r="AR17" i="60" s="1"/>
  <c r="BP19" i="60"/>
  <c r="BT19" i="60" s="1"/>
  <c r="AB20" i="60"/>
  <c r="BX18" i="60"/>
  <c r="AF18" i="60"/>
  <c r="AR18" i="60" s="1"/>
  <c r="BY21" i="60"/>
  <c r="V21" i="60"/>
  <c r="AG21" i="60"/>
  <c r="CA20" i="60"/>
  <c r="CG20" i="60" s="1"/>
  <c r="AF14" i="60"/>
  <c r="AR14" i="60" s="1"/>
  <c r="BX14" i="60"/>
  <c r="AF19" i="60"/>
  <c r="AR19" i="60" s="1"/>
  <c r="BX19" i="60"/>
  <c r="BY14" i="60"/>
  <c r="AG14" i="60"/>
  <c r="V14" i="60"/>
  <c r="BX15" i="60"/>
  <c r="AF15" i="60"/>
  <c r="AR15" i="60" s="1"/>
  <c r="BP18" i="60"/>
  <c r="BT18" i="60" s="1"/>
  <c r="BX21" i="60"/>
  <c r="AF21" i="60"/>
  <c r="AR21" i="60" s="1"/>
  <c r="AS20" i="60"/>
  <c r="AZ20" i="60" s="1"/>
  <c r="BE20" i="60" s="1"/>
  <c r="AH20" i="60"/>
  <c r="AN20" i="60" s="1"/>
  <c r="AF16" i="60"/>
  <c r="AR16" i="60" s="1"/>
  <c r="BX16" i="60"/>
  <c r="BP22" i="60"/>
  <c r="BT22" i="60" s="1"/>
  <c r="BP16" i="60"/>
  <c r="BT16" i="60" s="1"/>
  <c r="BP14" i="60"/>
  <c r="BP39" i="60" l="1"/>
  <c r="BJ42" i="60" s="1"/>
  <c r="G45" i="60" s="1"/>
  <c r="G25" i="12" s="1"/>
  <c r="BP38" i="60"/>
  <c r="V39" i="60"/>
  <c r="N42" i="60" s="1"/>
  <c r="G42" i="60" s="1"/>
  <c r="D25" i="12" s="1"/>
  <c r="V38" i="60"/>
  <c r="CA18" i="60"/>
  <c r="CG18" i="60" s="1"/>
  <c r="CA19" i="60"/>
  <c r="CG19" i="60" s="1"/>
  <c r="CA16" i="60"/>
  <c r="CG16" i="60" s="1"/>
  <c r="CA21" i="60"/>
  <c r="CG21" i="60" s="1"/>
  <c r="CA22" i="60"/>
  <c r="CG22" i="60" s="1"/>
  <c r="CA23" i="60"/>
  <c r="CG23" i="60" s="1"/>
  <c r="AB23" i="60"/>
  <c r="AB22" i="60"/>
  <c r="AB18" i="60"/>
  <c r="BT14" i="60"/>
  <c r="AB14" i="60"/>
  <c r="AB21" i="60"/>
  <c r="CA17" i="60"/>
  <c r="CG17" i="60" s="1"/>
  <c r="AS15" i="60"/>
  <c r="AZ15" i="60" s="1"/>
  <c r="BE15" i="60" s="1"/>
  <c r="AH15" i="60"/>
  <c r="AN15" i="60" s="1"/>
  <c r="AS17" i="60"/>
  <c r="AZ17" i="60" s="1"/>
  <c r="BE17" i="60" s="1"/>
  <c r="AH17" i="60"/>
  <c r="AN17" i="60" s="1"/>
  <c r="AH19" i="60"/>
  <c r="AN19" i="60" s="1"/>
  <c r="AS19" i="60"/>
  <c r="AZ19" i="60" s="1"/>
  <c r="BE19" i="60" s="1"/>
  <c r="AB16" i="60"/>
  <c r="AS18" i="60"/>
  <c r="AZ18" i="60" s="1"/>
  <c r="BE18" i="60" s="1"/>
  <c r="AH18" i="60"/>
  <c r="AN18" i="60" s="1"/>
  <c r="CA15" i="60"/>
  <c r="CG15" i="60" s="1"/>
  <c r="AS21" i="60"/>
  <c r="AZ21" i="60" s="1"/>
  <c r="BE21" i="60" s="1"/>
  <c r="AH21" i="60"/>
  <c r="AN21" i="60" s="1"/>
  <c r="AS16" i="60"/>
  <c r="AZ16" i="60" s="1"/>
  <c r="BE16" i="60" s="1"/>
  <c r="AH16" i="60"/>
  <c r="AN16" i="60" s="1"/>
  <c r="AB19" i="60"/>
  <c r="AS14" i="60"/>
  <c r="AZ14" i="60" s="1"/>
  <c r="AH14" i="60"/>
  <c r="CA14" i="60"/>
  <c r="AB15" i="60"/>
  <c r="AS23" i="60"/>
  <c r="AZ23" i="60" s="1"/>
  <c r="BE23" i="60" s="1"/>
  <c r="AH23" i="60"/>
  <c r="AN23" i="60" s="1"/>
  <c r="AS22" i="60"/>
  <c r="AZ22" i="60" s="1"/>
  <c r="BE22" i="60" s="1"/>
  <c r="AH22" i="60"/>
  <c r="AN22" i="60" s="1"/>
  <c r="AB17" i="60"/>
  <c r="AZ39" i="60" l="1"/>
  <c r="BT38" i="60"/>
  <c r="BT39" i="60"/>
  <c r="BJ41" i="60" s="1"/>
  <c r="F45" i="60" s="1"/>
  <c r="CA39" i="60"/>
  <c r="BY42" i="60" s="1"/>
  <c r="G46" i="60" s="1"/>
  <c r="H25" i="12" s="1"/>
  <c r="AH39" i="60"/>
  <c r="AB39" i="60"/>
  <c r="N41" i="60" s="1"/>
  <c r="F42" i="60" s="1"/>
  <c r="CA38" i="60"/>
  <c r="AH38" i="60"/>
  <c r="AZ38" i="60"/>
  <c r="AB38" i="60"/>
  <c r="BE14" i="60"/>
  <c r="BE38" i="60" s="1"/>
  <c r="CG14" i="60"/>
  <c r="CG39" i="60" s="1"/>
  <c r="AN14" i="60"/>
  <c r="AN38" i="60" s="1"/>
  <c r="AN39" i="60" l="1"/>
  <c r="AG41" i="60" s="1"/>
  <c r="F43" i="60" s="1"/>
  <c r="AG42" i="60"/>
  <c r="G43" i="60" s="1"/>
  <c r="E25" i="12" s="1"/>
  <c r="BE39" i="60"/>
  <c r="AS41" i="60" s="1"/>
  <c r="F44" i="60" s="1"/>
  <c r="AS42" i="60"/>
  <c r="G44" i="60" s="1"/>
  <c r="F25" i="12" s="1"/>
  <c r="BY41" i="60"/>
  <c r="F46" i="60" s="1"/>
  <c r="CG38" i="60"/>
  <c r="M33" i="44"/>
  <c r="BJ33" i="44" s="1"/>
  <c r="BL33" i="44" s="1"/>
  <c r="M30" i="44"/>
  <c r="O30" i="44" s="1"/>
  <c r="M19" i="44"/>
  <c r="M28" i="44"/>
  <c r="O28" i="44" s="1"/>
  <c r="M25" i="44"/>
  <c r="O25" i="44" s="1"/>
  <c r="M17" i="44"/>
  <c r="O17" i="44" s="1"/>
  <c r="M26" i="44"/>
  <c r="M23" i="44"/>
  <c r="AW23" i="44" s="1"/>
  <c r="M24" i="44"/>
  <c r="O24" i="44" s="1"/>
  <c r="M15" i="44"/>
  <c r="M16" i="44"/>
  <c r="X16" i="44" s="1"/>
  <c r="M32" i="44"/>
  <c r="Q32" i="44" s="1"/>
  <c r="M29" i="44"/>
  <c r="M22" i="44"/>
  <c r="M21" i="44"/>
  <c r="O21" i="44" s="1"/>
  <c r="M27" i="44"/>
  <c r="O27" i="44" s="1"/>
  <c r="M20" i="44"/>
  <c r="Q20" i="44" s="1"/>
  <c r="M18" i="44"/>
  <c r="Q18" i="44" s="1"/>
  <c r="M31" i="44"/>
  <c r="AW31" i="44" s="1"/>
  <c r="M38" i="44" l="1"/>
  <c r="BJ18" i="44"/>
  <c r="S29" i="44"/>
  <c r="U29" i="44" s="1"/>
  <c r="S24" i="44"/>
  <c r="U24" i="44" s="1"/>
  <c r="AW17" i="44"/>
  <c r="S21" i="44"/>
  <c r="AW21" i="44"/>
  <c r="AW33" i="44"/>
  <c r="BP33" i="44"/>
  <c r="BT33" i="44" s="1"/>
  <c r="AA16" i="44"/>
  <c r="X15" i="44"/>
  <c r="AW26" i="44"/>
  <c r="Q26" i="44"/>
  <c r="X26" i="44"/>
  <c r="O26" i="44"/>
  <c r="S26" i="44"/>
  <c r="BJ14" i="44"/>
  <c r="O32" i="44"/>
  <c r="S15" i="44"/>
  <c r="BJ23" i="44"/>
  <c r="X28" i="44"/>
  <c r="Q28" i="44"/>
  <c r="R28" i="44" s="1"/>
  <c r="AW28" i="44"/>
  <c r="S28" i="44"/>
  <c r="BJ28" i="44"/>
  <c r="AW30" i="44"/>
  <c r="Q30" i="44"/>
  <c r="R30" i="44" s="1"/>
  <c r="S30" i="44"/>
  <c r="BJ30" i="44"/>
  <c r="S18" i="44"/>
  <c r="X20" i="44"/>
  <c r="S20" i="44"/>
  <c r="AW20" i="44"/>
  <c r="BJ21" i="44"/>
  <c r="Q21" i="44"/>
  <c r="X29" i="44"/>
  <c r="AW29" i="44"/>
  <c r="O29" i="44"/>
  <c r="BJ29" i="44"/>
  <c r="Q29" i="44"/>
  <c r="X32" i="44"/>
  <c r="AW32" i="44"/>
  <c r="BJ32" i="44"/>
  <c r="O16" i="44"/>
  <c r="Q23" i="44"/>
  <c r="X23" i="44"/>
  <c r="O23" i="44"/>
  <c r="BJ15" i="44"/>
  <c r="O20" i="44"/>
  <c r="S23" i="44"/>
  <c r="AW19" i="44"/>
  <c r="Q19" i="44"/>
  <c r="O19" i="44"/>
  <c r="X21" i="44"/>
  <c r="BJ16" i="44"/>
  <c r="X19" i="44"/>
  <c r="BJ20" i="44"/>
  <c r="S19" i="44"/>
  <c r="X30" i="44"/>
  <c r="AW22" i="44"/>
  <c r="S22" i="44"/>
  <c r="S31" i="44"/>
  <c r="AW18" i="44"/>
  <c r="Q27" i="44"/>
  <c r="R27" i="44" s="1"/>
  <c r="X27" i="44"/>
  <c r="AW27" i="44"/>
  <c r="S27" i="44"/>
  <c r="BJ27" i="44"/>
  <c r="O22" i="44"/>
  <c r="Q14" i="44"/>
  <c r="R14" i="44" s="1"/>
  <c r="V14" i="44" s="1"/>
  <c r="O18" i="44"/>
  <c r="Q16" i="44"/>
  <c r="O15" i="44"/>
  <c r="Q24" i="44"/>
  <c r="AW24" i="44"/>
  <c r="X24" i="44"/>
  <c r="BJ24" i="44"/>
  <c r="AW16" i="44"/>
  <c r="BL18" i="44"/>
  <c r="O31" i="44"/>
  <c r="BJ26" i="44"/>
  <c r="U21" i="44"/>
  <c r="AW25" i="44"/>
  <c r="S25" i="44"/>
  <c r="BJ25" i="44"/>
  <c r="X25" i="44"/>
  <c r="Q25" i="44"/>
  <c r="Q22" i="44"/>
  <c r="S16" i="44"/>
  <c r="AW15" i="44"/>
  <c r="S32" i="44"/>
  <c r="BJ31" i="44"/>
  <c r="AW14" i="44"/>
  <c r="Q31" i="44"/>
  <c r="X31" i="44"/>
  <c r="Q15" i="44"/>
  <c r="X22" i="44"/>
  <c r="X18" i="44"/>
  <c r="BJ22" i="44"/>
  <c r="BJ19" i="44"/>
  <c r="S17" i="44"/>
  <c r="BJ17" i="44"/>
  <c r="X17" i="44"/>
  <c r="X33" i="44"/>
  <c r="S33" i="44"/>
  <c r="O33" i="44"/>
  <c r="Q17" i="44"/>
  <c r="R17" i="44" s="1"/>
  <c r="Q33" i="44"/>
  <c r="BJ38" i="44" l="1"/>
  <c r="BX17" i="44"/>
  <c r="AF17" i="44"/>
  <c r="AR17" i="44" s="1"/>
  <c r="AF27" i="44"/>
  <c r="AR27" i="44" s="1"/>
  <c r="BX27" i="44"/>
  <c r="AA17" i="44"/>
  <c r="U33" i="44"/>
  <c r="BL22" i="44"/>
  <c r="U17" i="44"/>
  <c r="AA18" i="44"/>
  <c r="AA31" i="44"/>
  <c r="BL31" i="44"/>
  <c r="U25" i="44"/>
  <c r="BL26" i="44"/>
  <c r="BL24" i="44"/>
  <c r="R18" i="44"/>
  <c r="R22" i="44"/>
  <c r="AA27" i="44"/>
  <c r="U22" i="44"/>
  <c r="U19" i="44"/>
  <c r="AA21" i="44"/>
  <c r="U23" i="44"/>
  <c r="AA23" i="44"/>
  <c r="R16" i="44"/>
  <c r="U20" i="44"/>
  <c r="BX30" i="44"/>
  <c r="AF30" i="44"/>
  <c r="AR30" i="44" s="1"/>
  <c r="BL30" i="44"/>
  <c r="BY24" i="44"/>
  <c r="AG24" i="44"/>
  <c r="R26" i="44"/>
  <c r="R21" i="44"/>
  <c r="V21" i="44" s="1"/>
  <c r="AA22" i="44"/>
  <c r="BL17" i="44"/>
  <c r="AA33" i="44"/>
  <c r="U32" i="44"/>
  <c r="R31" i="44"/>
  <c r="AA24" i="44"/>
  <c r="R15" i="44"/>
  <c r="BL27" i="44"/>
  <c r="U31" i="44"/>
  <c r="BL20" i="44"/>
  <c r="R19" i="44"/>
  <c r="R25" i="44"/>
  <c r="R20" i="44"/>
  <c r="BL32" i="44"/>
  <c r="AA29" i="44"/>
  <c r="BL21" i="44"/>
  <c r="AA20" i="44"/>
  <c r="U30" i="44"/>
  <c r="BL28" i="44"/>
  <c r="AA28" i="44"/>
  <c r="U15" i="44"/>
  <c r="AA26" i="44"/>
  <c r="AA15" i="44"/>
  <c r="AA25" i="44"/>
  <c r="BP18" i="44"/>
  <c r="BT18" i="44" s="1"/>
  <c r="U27" i="44"/>
  <c r="AA19" i="44"/>
  <c r="BL15" i="44"/>
  <c r="BL29" i="44"/>
  <c r="AF28" i="44"/>
  <c r="AR28" i="44" s="1"/>
  <c r="BX28" i="44"/>
  <c r="U28" i="44"/>
  <c r="R32" i="44"/>
  <c r="R33" i="44"/>
  <c r="BL19" i="44"/>
  <c r="U16" i="44"/>
  <c r="BL25" i="44"/>
  <c r="BY21" i="44"/>
  <c r="AG21" i="44"/>
  <c r="AA30" i="44"/>
  <c r="BL16" i="44"/>
  <c r="R23" i="44"/>
  <c r="AA32" i="44"/>
  <c r="R29" i="44"/>
  <c r="V29" i="44" s="1"/>
  <c r="U18" i="44"/>
  <c r="BL23" i="44"/>
  <c r="BL14" i="44"/>
  <c r="U26" i="44"/>
  <c r="R24" i="44"/>
  <c r="V24" i="44" s="1"/>
  <c r="BY29" i="44"/>
  <c r="AG29" i="44"/>
  <c r="AA39" i="44" l="1"/>
  <c r="AA38" i="44"/>
  <c r="AB14" i="44"/>
  <c r="AB24" i="44"/>
  <c r="AB29" i="44"/>
  <c r="BP23" i="44"/>
  <c r="BT23" i="44" s="1"/>
  <c r="BY18" i="44"/>
  <c r="AG18" i="44"/>
  <c r="V18" i="44"/>
  <c r="V28" i="44"/>
  <c r="BY28" i="44"/>
  <c r="CA28" i="44" s="1"/>
  <c r="CG28" i="44" s="1"/>
  <c r="AG28" i="44"/>
  <c r="AG30" i="44"/>
  <c r="BY30" i="44"/>
  <c r="CA30" i="44" s="1"/>
  <c r="CG30" i="44" s="1"/>
  <c r="V30" i="44"/>
  <c r="BP21" i="44"/>
  <c r="BT21" i="44" s="1"/>
  <c r="BX20" i="44"/>
  <c r="AF20" i="44"/>
  <c r="AR20" i="44" s="1"/>
  <c r="BP17" i="44"/>
  <c r="BT17" i="44" s="1"/>
  <c r="BX21" i="44"/>
  <c r="CA21" i="44" s="1"/>
  <c r="CG21" i="44" s="1"/>
  <c r="AF21" i="44"/>
  <c r="AR21" i="44" s="1"/>
  <c r="AS24" i="44"/>
  <c r="AG22" i="44"/>
  <c r="BY22" i="44"/>
  <c r="V22" i="44"/>
  <c r="BX22" i="44"/>
  <c r="AF22" i="44"/>
  <c r="AR22" i="44" s="1"/>
  <c r="BP31" i="44"/>
  <c r="BT31" i="44" s="1"/>
  <c r="BP22" i="44"/>
  <c r="BT22" i="44" s="1"/>
  <c r="BX29" i="44"/>
  <c r="CA29" i="44" s="1"/>
  <c r="CG29" i="44" s="1"/>
  <c r="AF29" i="44"/>
  <c r="AR29" i="44" s="1"/>
  <c r="BY14" i="44"/>
  <c r="AG14" i="44"/>
  <c r="AS21" i="44"/>
  <c r="BY16" i="44"/>
  <c r="AG16" i="44"/>
  <c r="V16" i="44"/>
  <c r="BP19" i="44"/>
  <c r="BT19" i="44" s="1"/>
  <c r="BP15" i="44"/>
  <c r="BT15" i="44" s="1"/>
  <c r="V27" i="44"/>
  <c r="BY27" i="44"/>
  <c r="CA27" i="44" s="1"/>
  <c r="CG27" i="44" s="1"/>
  <c r="AG27" i="44"/>
  <c r="BP32" i="44"/>
  <c r="BT32" i="44" s="1"/>
  <c r="BP20" i="44"/>
  <c r="BT20" i="44" s="1"/>
  <c r="BP27" i="44"/>
  <c r="BT27" i="44" s="1"/>
  <c r="AF15" i="44"/>
  <c r="AR15" i="44" s="1"/>
  <c r="BX15" i="44"/>
  <c r="BX31" i="44"/>
  <c r="AF31" i="44"/>
  <c r="AR31" i="44" s="1"/>
  <c r="BP30" i="44"/>
  <c r="BT30" i="44" s="1"/>
  <c r="BP24" i="44"/>
  <c r="BT24" i="44" s="1"/>
  <c r="BP16" i="44"/>
  <c r="BT16" i="44" s="1"/>
  <c r="BX32" i="44"/>
  <c r="AF32" i="44"/>
  <c r="AR32" i="44" s="1"/>
  <c r="BP29" i="44"/>
  <c r="BT29" i="44" s="1"/>
  <c r="BY15" i="44"/>
  <c r="AG15" i="44"/>
  <c r="V15" i="44"/>
  <c r="BP28" i="44"/>
  <c r="BT28" i="44" s="1"/>
  <c r="AF25" i="44"/>
  <c r="AR25" i="44" s="1"/>
  <c r="BX25" i="44"/>
  <c r="AG32" i="44"/>
  <c r="BY32" i="44"/>
  <c r="V32" i="44"/>
  <c r="BX26" i="44"/>
  <c r="AF26" i="44"/>
  <c r="AR26" i="44" s="1"/>
  <c r="BY20" i="44"/>
  <c r="AG20" i="44"/>
  <c r="V20" i="44"/>
  <c r="BX16" i="44"/>
  <c r="AF16" i="44"/>
  <c r="AR16" i="44" s="1"/>
  <c r="BY23" i="44"/>
  <c r="AG23" i="44"/>
  <c r="V23" i="44"/>
  <c r="BY19" i="44"/>
  <c r="V19" i="44"/>
  <c r="AG19" i="44"/>
  <c r="BX18" i="44"/>
  <c r="AF18" i="44"/>
  <c r="AR18" i="44" s="1"/>
  <c r="BY25" i="44"/>
  <c r="AG25" i="44"/>
  <c r="V25" i="44"/>
  <c r="BY17" i="44"/>
  <c r="CA17" i="44" s="1"/>
  <c r="CG17" i="44" s="1"/>
  <c r="AG17" i="44"/>
  <c r="V17" i="44"/>
  <c r="V33" i="44"/>
  <c r="BY33" i="44"/>
  <c r="AG33" i="44"/>
  <c r="AS29" i="44"/>
  <c r="BX24" i="44"/>
  <c r="CA24" i="44" s="1"/>
  <c r="CG24" i="44" s="1"/>
  <c r="AF24" i="44"/>
  <c r="AR24" i="44" s="1"/>
  <c r="BP14" i="44"/>
  <c r="BY26" i="44"/>
  <c r="AG26" i="44"/>
  <c r="V26" i="44"/>
  <c r="AF14" i="44"/>
  <c r="AR14" i="44" s="1"/>
  <c r="BX14" i="44"/>
  <c r="AF23" i="44"/>
  <c r="AR23" i="44" s="1"/>
  <c r="BX23" i="44"/>
  <c r="AB21" i="44"/>
  <c r="BP25" i="44"/>
  <c r="BT25" i="44" s="1"/>
  <c r="AF33" i="44"/>
  <c r="AR33" i="44" s="1"/>
  <c r="BX33" i="44"/>
  <c r="BX19" i="44"/>
  <c r="AF19" i="44"/>
  <c r="AR19" i="44" s="1"/>
  <c r="BY31" i="44"/>
  <c r="AG31" i="44"/>
  <c r="V31" i="44"/>
  <c r="BP26" i="44"/>
  <c r="BT26" i="44" s="1"/>
  <c r="CA16" i="44" l="1"/>
  <c r="CG16" i="44" s="1"/>
  <c r="V39" i="44"/>
  <c r="N42" i="44" s="1"/>
  <c r="V38" i="44"/>
  <c r="BP39" i="44"/>
  <c r="BJ42" i="44" s="1"/>
  <c r="G45" i="44" s="1"/>
  <c r="G30" i="12" s="1"/>
  <c r="BP38" i="44"/>
  <c r="AH29" i="44"/>
  <c r="AN29" i="44" s="1"/>
  <c r="AZ24" i="44"/>
  <c r="BE24" i="44" s="1"/>
  <c r="AH21" i="44"/>
  <c r="AN21" i="44" s="1"/>
  <c r="CA19" i="44"/>
  <c r="CG19" i="44" s="1"/>
  <c r="CA14" i="44"/>
  <c r="CA22" i="44"/>
  <c r="CG22" i="44" s="1"/>
  <c r="CA33" i="44"/>
  <c r="CG33" i="44" s="1"/>
  <c r="CA23" i="44"/>
  <c r="CG23" i="44" s="1"/>
  <c r="CA18" i="44"/>
  <c r="CG18" i="44" s="1"/>
  <c r="AB25" i="44"/>
  <c r="AS19" i="44"/>
  <c r="AZ19" i="44" s="1"/>
  <c r="BE19" i="44" s="1"/>
  <c r="AH19" i="44"/>
  <c r="AN19" i="44" s="1"/>
  <c r="AB23" i="44"/>
  <c r="AB32" i="44"/>
  <c r="CA15" i="44"/>
  <c r="CG15" i="44" s="1"/>
  <c r="AB27" i="44"/>
  <c r="AS16" i="44"/>
  <c r="AZ16" i="44" s="1"/>
  <c r="BE16" i="44" s="1"/>
  <c r="AH16" i="44"/>
  <c r="AN16" i="44" s="1"/>
  <c r="AZ21" i="44"/>
  <c r="BE21" i="44" s="1"/>
  <c r="AS30" i="44"/>
  <c r="AZ30" i="44" s="1"/>
  <c r="BE30" i="44" s="1"/>
  <c r="AH30" i="44"/>
  <c r="AN30" i="44" s="1"/>
  <c r="AB28" i="44"/>
  <c r="AS18" i="44"/>
  <c r="AZ18" i="44" s="1"/>
  <c r="BE18" i="44" s="1"/>
  <c r="AH18" i="44"/>
  <c r="AN18" i="44" s="1"/>
  <c r="AB31" i="44"/>
  <c r="AH17" i="44"/>
  <c r="AN17" i="44" s="1"/>
  <c r="AS17" i="44"/>
  <c r="AZ17" i="44" s="1"/>
  <c r="BE17" i="44" s="1"/>
  <c r="AB19" i="44"/>
  <c r="AS20" i="44"/>
  <c r="AZ20" i="44" s="1"/>
  <c r="BE20" i="44" s="1"/>
  <c r="AH20" i="44"/>
  <c r="AN20" i="44" s="1"/>
  <c r="CA26" i="44"/>
  <c r="CG26" i="44" s="1"/>
  <c r="AS14" i="44"/>
  <c r="AZ14" i="44" s="1"/>
  <c r="AH14" i="44"/>
  <c r="AZ29" i="44"/>
  <c r="BE29" i="44" s="1"/>
  <c r="AB30" i="44"/>
  <c r="AS31" i="44"/>
  <c r="AZ31" i="44" s="1"/>
  <c r="BE31" i="44" s="1"/>
  <c r="AH31" i="44"/>
  <c r="AN31" i="44" s="1"/>
  <c r="AB26" i="44"/>
  <c r="BT14" i="44"/>
  <c r="BT39" i="44" s="1"/>
  <c r="AB33" i="44"/>
  <c r="AS25" i="44"/>
  <c r="AZ25" i="44" s="1"/>
  <c r="BE25" i="44" s="1"/>
  <c r="AH25" i="44"/>
  <c r="AN25" i="44" s="1"/>
  <c r="AH23" i="44"/>
  <c r="AN23" i="44" s="1"/>
  <c r="AS23" i="44"/>
  <c r="AZ23" i="44" s="1"/>
  <c r="BE23" i="44" s="1"/>
  <c r="AH32" i="44"/>
  <c r="AN32" i="44" s="1"/>
  <c r="AS32" i="44"/>
  <c r="AZ32" i="44" s="1"/>
  <c r="BE32" i="44" s="1"/>
  <c r="AB15" i="44"/>
  <c r="AH27" i="44"/>
  <c r="AN27" i="44" s="1"/>
  <c r="AS27" i="44"/>
  <c r="AZ27" i="44" s="1"/>
  <c r="BE27" i="44" s="1"/>
  <c r="AH22" i="44"/>
  <c r="AN22" i="44" s="1"/>
  <c r="AS22" i="44"/>
  <c r="AZ22" i="44" s="1"/>
  <c r="BE22" i="44" s="1"/>
  <c r="AH24" i="44"/>
  <c r="AN24" i="44" s="1"/>
  <c r="CA20" i="44"/>
  <c r="CG20" i="44" s="1"/>
  <c r="AS28" i="44"/>
  <c r="AZ28" i="44" s="1"/>
  <c r="BE28" i="44" s="1"/>
  <c r="AH28" i="44"/>
  <c r="AN28" i="44" s="1"/>
  <c r="AB18" i="44"/>
  <c r="AS26" i="44"/>
  <c r="AZ26" i="44" s="1"/>
  <c r="BE26" i="44" s="1"/>
  <c r="AH26" i="44"/>
  <c r="AN26" i="44" s="1"/>
  <c r="AS33" i="44"/>
  <c r="AZ33" i="44" s="1"/>
  <c r="BE33" i="44" s="1"/>
  <c r="AH33" i="44"/>
  <c r="AN33" i="44" s="1"/>
  <c r="AB17" i="44"/>
  <c r="AB20" i="44"/>
  <c r="CA25" i="44"/>
  <c r="CG25" i="44" s="1"/>
  <c r="AS15" i="44"/>
  <c r="AZ15" i="44" s="1"/>
  <c r="BE15" i="44" s="1"/>
  <c r="AH15" i="44"/>
  <c r="AN15" i="44" s="1"/>
  <c r="CA32" i="44"/>
  <c r="CG32" i="44" s="1"/>
  <c r="CA31" i="44"/>
  <c r="CG31" i="44" s="1"/>
  <c r="AB16" i="44"/>
  <c r="AB22" i="44"/>
  <c r="CA39" i="44" l="1"/>
  <c r="BY42" i="44" s="1"/>
  <c r="G46" i="44" s="1"/>
  <c r="H30" i="12" s="1"/>
  <c r="AB39" i="44"/>
  <c r="AH39" i="44"/>
  <c r="AZ39" i="44"/>
  <c r="BT38" i="44"/>
  <c r="BJ41" i="44"/>
  <c r="F45" i="44" s="1"/>
  <c r="AB38" i="44"/>
  <c r="AZ38" i="44"/>
  <c r="AH38" i="44"/>
  <c r="CG14" i="44"/>
  <c r="CG39" i="44" s="1"/>
  <c r="CA38" i="44"/>
  <c r="G42" i="44"/>
  <c r="D30" i="12" s="1"/>
  <c r="BE14" i="44"/>
  <c r="BE38" i="44" s="1"/>
  <c r="AN14" i="44"/>
  <c r="AN38" i="44" s="1"/>
  <c r="BE39" i="44" l="1"/>
  <c r="AS41" i="44" s="1"/>
  <c r="F44" i="44" s="1"/>
  <c r="AS42" i="44"/>
  <c r="G44" i="44" s="1"/>
  <c r="F30" i="12" s="1"/>
  <c r="AN39" i="44"/>
  <c r="AG41" i="44" s="1"/>
  <c r="F43" i="44" s="1"/>
  <c r="AG42" i="44"/>
  <c r="G43" i="44" s="1"/>
  <c r="E30" i="12" s="1"/>
  <c r="CG38" i="44"/>
  <c r="BY41" i="44"/>
  <c r="F46" i="44" s="1"/>
  <c r="N41" i="44"/>
  <c r="F42" i="44" s="1"/>
  <c r="M29" i="63"/>
  <c r="M20" i="63" l="1"/>
  <c r="X20" i="63" s="1"/>
  <c r="M23" i="63"/>
  <c r="S23" i="63" s="1"/>
  <c r="U23" i="63" s="1"/>
  <c r="M21" i="63"/>
  <c r="S21" i="63" s="1"/>
  <c r="U21" i="63" s="1"/>
  <c r="M26" i="63"/>
  <c r="Q26" i="63" s="1"/>
  <c r="M24" i="63"/>
  <c r="X24" i="63" s="1"/>
  <c r="M18" i="63"/>
  <c r="X18" i="63" s="1"/>
  <c r="AA18" i="63" s="1"/>
  <c r="M17" i="63"/>
  <c r="X17" i="63" s="1"/>
  <c r="AA17" i="63" s="1"/>
  <c r="Q29" i="63"/>
  <c r="X29" i="63"/>
  <c r="AW29" i="63"/>
  <c r="BJ29" i="63"/>
  <c r="S29" i="63"/>
  <c r="O29" i="63"/>
  <c r="S20" i="63"/>
  <c r="M14" i="63"/>
  <c r="M16" i="63"/>
  <c r="M32" i="63"/>
  <c r="M30" i="63"/>
  <c r="M31" i="63"/>
  <c r="M15" i="63"/>
  <c r="M22" i="63"/>
  <c r="M28" i="63"/>
  <c r="M19" i="63"/>
  <c r="M33" i="63"/>
  <c r="M27" i="63"/>
  <c r="M25" i="63"/>
  <c r="AW23" i="63" l="1"/>
  <c r="O21" i="63"/>
  <c r="S17" i="63"/>
  <c r="U17" i="63" s="1"/>
  <c r="AW17" i="63"/>
  <c r="X21" i="63"/>
  <c r="AA21" i="63" s="1"/>
  <c r="O17" i="63"/>
  <c r="Q21" i="63"/>
  <c r="R21" i="63" s="1"/>
  <c r="V21" i="63" s="1"/>
  <c r="AW21" i="63"/>
  <c r="BJ21" i="63"/>
  <c r="BL21" i="63" s="1"/>
  <c r="M38" i="63"/>
  <c r="S26" i="63"/>
  <c r="U26" i="63" s="1"/>
  <c r="AW26" i="63"/>
  <c r="O26" i="63"/>
  <c r="R26" i="63" s="1"/>
  <c r="X26" i="63"/>
  <c r="AA26" i="63" s="1"/>
  <c r="BJ26" i="63"/>
  <c r="Q17" i="63"/>
  <c r="BJ17" i="63"/>
  <c r="BL17" i="63" s="1"/>
  <c r="BJ24" i="63"/>
  <c r="BL24" i="63" s="1"/>
  <c r="BJ18" i="63"/>
  <c r="BL18" i="63" s="1"/>
  <c r="Q24" i="63"/>
  <c r="X23" i="63"/>
  <c r="AA23" i="63" s="1"/>
  <c r="AW20" i="63"/>
  <c r="O23" i="63"/>
  <c r="S18" i="63"/>
  <c r="U18" i="63" s="1"/>
  <c r="O18" i="63"/>
  <c r="Q23" i="63"/>
  <c r="Q20" i="63"/>
  <c r="BJ20" i="63"/>
  <c r="BL20" i="63" s="1"/>
  <c r="Q18" i="63"/>
  <c r="AW24" i="63"/>
  <c r="O24" i="63"/>
  <c r="S24" i="63"/>
  <c r="U24" i="63" s="1"/>
  <c r="BJ23" i="63"/>
  <c r="BL23" i="63" s="1"/>
  <c r="O20" i="63"/>
  <c r="AW18" i="63"/>
  <c r="Q19" i="63"/>
  <c r="AW19" i="63"/>
  <c r="BJ19" i="63"/>
  <c r="S19" i="63"/>
  <c r="X19" i="63"/>
  <c r="O19" i="63"/>
  <c r="X14" i="63"/>
  <c r="Q14" i="63"/>
  <c r="S14" i="63"/>
  <c r="AW14" i="63"/>
  <c r="BJ14" i="63"/>
  <c r="O14" i="63"/>
  <c r="Q25" i="63"/>
  <c r="AW25" i="63"/>
  <c r="X25" i="63"/>
  <c r="O25" i="63"/>
  <c r="S25" i="63"/>
  <c r="BJ25" i="63"/>
  <c r="S28" i="63"/>
  <c r="AW28" i="63"/>
  <c r="Q28" i="63"/>
  <c r="X28" i="63"/>
  <c r="BJ28" i="63"/>
  <c r="O28" i="63"/>
  <c r="U20" i="63"/>
  <c r="AA24" i="63"/>
  <c r="X27" i="63"/>
  <c r="Q27" i="63"/>
  <c r="AW27" i="63"/>
  <c r="S27" i="63"/>
  <c r="BJ27" i="63"/>
  <c r="O27" i="63"/>
  <c r="X22" i="63"/>
  <c r="Q22" i="63"/>
  <c r="AW22" i="63"/>
  <c r="S22" i="63"/>
  <c r="O22" i="63"/>
  <c r="BJ22" i="63"/>
  <c r="X32" i="63"/>
  <c r="Q32" i="63"/>
  <c r="AW32" i="63"/>
  <c r="BJ32" i="63"/>
  <c r="S32" i="63"/>
  <c r="O32" i="63"/>
  <c r="Q31" i="63"/>
  <c r="X31" i="63"/>
  <c r="BJ31" i="63"/>
  <c r="AW31" i="63"/>
  <c r="S31" i="63"/>
  <c r="O31" i="63"/>
  <c r="X30" i="63"/>
  <c r="AW30" i="63"/>
  <c r="Q30" i="63"/>
  <c r="BJ30" i="63"/>
  <c r="O30" i="63"/>
  <c r="S30" i="63"/>
  <c r="BL29" i="63"/>
  <c r="Q33" i="63"/>
  <c r="AW33" i="63"/>
  <c r="X33" i="63"/>
  <c r="S33" i="63"/>
  <c r="O33" i="63"/>
  <c r="BJ33" i="63"/>
  <c r="S15" i="63"/>
  <c r="AW15" i="63"/>
  <c r="BJ15" i="63"/>
  <c r="O15" i="63"/>
  <c r="X15" i="63"/>
  <c r="Q15" i="63"/>
  <c r="X16" i="63"/>
  <c r="Q16" i="63"/>
  <c r="S16" i="63"/>
  <c r="O16" i="63"/>
  <c r="BJ16" i="63"/>
  <c r="AW16" i="63"/>
  <c r="AA20" i="63"/>
  <c r="BY21" i="63"/>
  <c r="AG21" i="63"/>
  <c r="BL26" i="63"/>
  <c r="R29" i="63"/>
  <c r="U29" i="63"/>
  <c r="AA29" i="63"/>
  <c r="BY23" i="63"/>
  <c r="AG23" i="63"/>
  <c r="R17" i="63" l="1"/>
  <c r="BX17" i="63" s="1"/>
  <c r="R18" i="63"/>
  <c r="BX18" i="63" s="1"/>
  <c r="BJ38" i="63"/>
  <c r="R20" i="63"/>
  <c r="BX20" i="63" s="1"/>
  <c r="R23" i="63"/>
  <c r="V23" i="63" s="1"/>
  <c r="AB23" i="63" s="1"/>
  <c r="R24" i="63"/>
  <c r="AF24" i="63" s="1"/>
  <c r="AR24" i="63" s="1"/>
  <c r="R31" i="63"/>
  <c r="AG26" i="63"/>
  <c r="BY26" i="63"/>
  <c r="V26" i="63"/>
  <c r="BL19" i="63"/>
  <c r="BP18" i="63"/>
  <c r="BT18" i="63" s="1"/>
  <c r="BP26" i="63"/>
  <c r="BT26" i="63" s="1"/>
  <c r="AS21" i="63"/>
  <c r="AA15" i="63"/>
  <c r="U15" i="63"/>
  <c r="U33" i="63"/>
  <c r="R30" i="63"/>
  <c r="AA31" i="63"/>
  <c r="BP24" i="63"/>
  <c r="BT24" i="63" s="1"/>
  <c r="BP23" i="63"/>
  <c r="BT23" i="63" s="1"/>
  <c r="BX21" i="63"/>
  <c r="CA21" i="63" s="1"/>
  <c r="CG21" i="63" s="1"/>
  <c r="AF21" i="63"/>
  <c r="AR21" i="63" s="1"/>
  <c r="BL22" i="63"/>
  <c r="BL27" i="63"/>
  <c r="AA27" i="63"/>
  <c r="BL25" i="63"/>
  <c r="R14" i="63"/>
  <c r="U14" i="63"/>
  <c r="R19" i="63"/>
  <c r="BY29" i="63"/>
  <c r="V29" i="63"/>
  <c r="AG29" i="63"/>
  <c r="R33" i="63"/>
  <c r="U30" i="63"/>
  <c r="BL32" i="63"/>
  <c r="AA32" i="63"/>
  <c r="R27" i="63"/>
  <c r="AA28" i="63"/>
  <c r="AA25" i="63"/>
  <c r="AS23" i="63"/>
  <c r="BX29" i="63"/>
  <c r="AF29" i="63"/>
  <c r="AR29" i="63" s="1"/>
  <c r="BL16" i="63"/>
  <c r="AA16" i="63"/>
  <c r="R15" i="63"/>
  <c r="AA33" i="63"/>
  <c r="BP29" i="63"/>
  <c r="BT29" i="63" s="1"/>
  <c r="BP29" i="52"/>
  <c r="BT29" i="52" s="1"/>
  <c r="BY18" i="63"/>
  <c r="AG18" i="63"/>
  <c r="BL30" i="63"/>
  <c r="AA30" i="63"/>
  <c r="U31" i="63"/>
  <c r="BP20" i="63"/>
  <c r="BT20" i="63" s="1"/>
  <c r="R32" i="63"/>
  <c r="R22" i="63"/>
  <c r="AA22" i="63"/>
  <c r="U27" i="63"/>
  <c r="AG20" i="63"/>
  <c r="BY20" i="63"/>
  <c r="R28" i="63"/>
  <c r="U25" i="63"/>
  <c r="BP21" i="63"/>
  <c r="BT21" i="63" s="1"/>
  <c r="AA19" i="63"/>
  <c r="U16" i="63"/>
  <c r="BL31" i="63"/>
  <c r="BX26" i="63"/>
  <c r="AF26" i="63"/>
  <c r="AR26" i="63" s="1"/>
  <c r="AB21" i="63"/>
  <c r="BY17" i="63"/>
  <c r="AG17" i="63"/>
  <c r="V17" i="63"/>
  <c r="R16" i="63"/>
  <c r="BL15" i="63"/>
  <c r="BL33" i="63"/>
  <c r="BY24" i="63"/>
  <c r="AG24" i="63"/>
  <c r="BP17" i="63"/>
  <c r="BT17" i="63" s="1"/>
  <c r="U32" i="63"/>
  <c r="U22" i="63"/>
  <c r="BL28" i="63"/>
  <c r="U28" i="63"/>
  <c r="R25" i="63"/>
  <c r="BL14" i="63"/>
  <c r="AA14" i="63"/>
  <c r="U19" i="63"/>
  <c r="AF17" i="63" l="1"/>
  <c r="AR17" i="63" s="1"/>
  <c r="AA39" i="63"/>
  <c r="AF18" i="63"/>
  <c r="AR18" i="63" s="1"/>
  <c r="V18" i="63"/>
  <c r="V24" i="63"/>
  <c r="AB24" i="63" s="1"/>
  <c r="BX24" i="63"/>
  <c r="CA24" i="63" s="1"/>
  <c r="CG24" i="63" s="1"/>
  <c r="V20" i="63"/>
  <c r="AB20" i="63" s="1"/>
  <c r="AF23" i="63"/>
  <c r="AR23" i="63" s="1"/>
  <c r="AZ23" i="63" s="1"/>
  <c r="BE23" i="63" s="1"/>
  <c r="BX23" i="63"/>
  <c r="CA23" i="63" s="1"/>
  <c r="CG23" i="63" s="1"/>
  <c r="AF20" i="63"/>
  <c r="AR20" i="63" s="1"/>
  <c r="CA26" i="63"/>
  <c r="CG26" i="63" s="1"/>
  <c r="AA38" i="63"/>
  <c r="CA29" i="63"/>
  <c r="CG29" i="63" s="1"/>
  <c r="BX27" i="63"/>
  <c r="AF27" i="63"/>
  <c r="AR27" i="63" s="1"/>
  <c r="AB26" i="63"/>
  <c r="AG28" i="63"/>
  <c r="BY28" i="63"/>
  <c r="V28" i="63"/>
  <c r="BY32" i="63"/>
  <c r="AG32" i="63"/>
  <c r="V32" i="63"/>
  <c r="BP33" i="52"/>
  <c r="BT33" i="52" s="1"/>
  <c r="BP33" i="63"/>
  <c r="BT33" i="63" s="1"/>
  <c r="AF16" i="63"/>
  <c r="AR16" i="63" s="1"/>
  <c r="BX16" i="63"/>
  <c r="AS17" i="63"/>
  <c r="AZ17" i="63" s="1"/>
  <c r="BE17" i="63" s="1"/>
  <c r="AH17" i="63"/>
  <c r="AN17" i="63" s="1"/>
  <c r="BY16" i="63"/>
  <c r="AG16" i="63"/>
  <c r="V16" i="63"/>
  <c r="BY25" i="63"/>
  <c r="AG25" i="63"/>
  <c r="V25" i="63"/>
  <c r="BX32" i="63"/>
  <c r="AF32" i="63"/>
  <c r="AR32" i="63" s="1"/>
  <c r="V31" i="63"/>
  <c r="AG31" i="63"/>
  <c r="BY31" i="63"/>
  <c r="BP30" i="63"/>
  <c r="BT30" i="63" s="1"/>
  <c r="BP30" i="52"/>
  <c r="BT30" i="52" s="1"/>
  <c r="CA17" i="63"/>
  <c r="CG17" i="63" s="1"/>
  <c r="BY14" i="63"/>
  <c r="AG14" i="63"/>
  <c r="V14" i="63"/>
  <c r="AZ21" i="63"/>
  <c r="BE21" i="63" s="1"/>
  <c r="BX30" i="63"/>
  <c r="AF30" i="63"/>
  <c r="AR30" i="63" s="1"/>
  <c r="BY15" i="63"/>
  <c r="V15" i="63"/>
  <c r="AG15" i="63"/>
  <c r="BP19" i="63"/>
  <c r="BT19" i="63" s="1"/>
  <c r="BX31" i="63"/>
  <c r="AF31" i="63"/>
  <c r="AR31" i="63" s="1"/>
  <c r="AG19" i="63"/>
  <c r="BY19" i="63"/>
  <c r="V19" i="63"/>
  <c r="BP32" i="63"/>
  <c r="BT32" i="63" s="1"/>
  <c r="BP32" i="52"/>
  <c r="BT32" i="52" s="1"/>
  <c r="BY29" i="52"/>
  <c r="AG29" i="52"/>
  <c r="AS20" i="63"/>
  <c r="AB18" i="63"/>
  <c r="BX15" i="63"/>
  <c r="AF15" i="63"/>
  <c r="AR15" i="63" s="1"/>
  <c r="BP16" i="63"/>
  <c r="BT16" i="63" s="1"/>
  <c r="CA18" i="63"/>
  <c r="CG18" i="63" s="1"/>
  <c r="AH29" i="63"/>
  <c r="AN29" i="63" s="1"/>
  <c r="AS29" i="63"/>
  <c r="AZ29" i="63" s="1"/>
  <c r="BE29" i="63" s="1"/>
  <c r="BP25" i="63"/>
  <c r="BT25" i="63" s="1"/>
  <c r="BP22" i="63"/>
  <c r="BT22" i="63" s="1"/>
  <c r="BP14" i="63"/>
  <c r="BX28" i="63"/>
  <c r="AF28" i="63"/>
  <c r="AR28" i="63" s="1"/>
  <c r="AS18" i="63"/>
  <c r="AZ18" i="63" s="1"/>
  <c r="BE18" i="63" s="1"/>
  <c r="AH18" i="63"/>
  <c r="AN18" i="63" s="1"/>
  <c r="BX29" i="52"/>
  <c r="AF29" i="52"/>
  <c r="AR29" i="52" s="1"/>
  <c r="BX25" i="63"/>
  <c r="AF25" i="63"/>
  <c r="AR25" i="63" s="1"/>
  <c r="BP28" i="63"/>
  <c r="BT28" i="63" s="1"/>
  <c r="AG22" i="63"/>
  <c r="BY22" i="63"/>
  <c r="V22" i="63"/>
  <c r="AS24" i="63"/>
  <c r="AZ24" i="63" s="1"/>
  <c r="BE24" i="63" s="1"/>
  <c r="AH24" i="63"/>
  <c r="AN24" i="63" s="1"/>
  <c r="BP15" i="63"/>
  <c r="BT15" i="63" s="1"/>
  <c r="AB17" i="63"/>
  <c r="BP31" i="52"/>
  <c r="BT31" i="52" s="1"/>
  <c r="BP31" i="63"/>
  <c r="BT31" i="63" s="1"/>
  <c r="BY27" i="63"/>
  <c r="AG27" i="63"/>
  <c r="V27" i="63"/>
  <c r="BX22" i="63"/>
  <c r="AF22" i="63"/>
  <c r="AR22" i="63" s="1"/>
  <c r="CA20" i="63"/>
  <c r="CG20" i="63" s="1"/>
  <c r="AG30" i="63"/>
  <c r="BY30" i="63"/>
  <c r="V30" i="63"/>
  <c r="BX33" i="63"/>
  <c r="AF33" i="63"/>
  <c r="AR33" i="63" s="1"/>
  <c r="AB29" i="63"/>
  <c r="AF19" i="63"/>
  <c r="AR19" i="63" s="1"/>
  <c r="BX19" i="63"/>
  <c r="BX14" i="63"/>
  <c r="AF14" i="63"/>
  <c r="AR14" i="63" s="1"/>
  <c r="BP27" i="63"/>
  <c r="BT27" i="63" s="1"/>
  <c r="BY33" i="63"/>
  <c r="V33" i="63"/>
  <c r="AG33" i="63"/>
  <c r="AH21" i="63"/>
  <c r="AN21" i="63" s="1"/>
  <c r="AS26" i="63"/>
  <c r="AZ26" i="63" s="1"/>
  <c r="BE26" i="63" s="1"/>
  <c r="AH26" i="63"/>
  <c r="AN26" i="63" s="1"/>
  <c r="AH23" i="63" l="1"/>
  <c r="AN23" i="63" s="1"/>
  <c r="AH20" i="63"/>
  <c r="AN20" i="63" s="1"/>
  <c r="BP39" i="63"/>
  <c r="BJ42" i="63" s="1"/>
  <c r="G45" i="63" s="1"/>
  <c r="G31" i="12" s="1"/>
  <c r="V39" i="63"/>
  <c r="N42" i="63" s="1"/>
  <c r="G42" i="63" s="1"/>
  <c r="D31" i="12" s="1"/>
  <c r="AZ20" i="63"/>
  <c r="BE20" i="63" s="1"/>
  <c r="CA31" i="63"/>
  <c r="CG31" i="63" s="1"/>
  <c r="BP38" i="63"/>
  <c r="CA14" i="63"/>
  <c r="V38" i="63"/>
  <c r="CA32" i="63"/>
  <c r="CG32" i="63" s="1"/>
  <c r="CA19" i="63"/>
  <c r="CG19" i="63" s="1"/>
  <c r="CA15" i="63"/>
  <c r="CG15" i="63" s="1"/>
  <c r="CA29" i="52"/>
  <c r="CG29" i="52" s="1"/>
  <c r="AS32" i="63"/>
  <c r="AZ32" i="63" s="1"/>
  <c r="BE32" i="63" s="1"/>
  <c r="AH32" i="63"/>
  <c r="AN32" i="63" s="1"/>
  <c r="AS22" i="63"/>
  <c r="AZ22" i="63" s="1"/>
  <c r="BE22" i="63" s="1"/>
  <c r="AH22" i="63"/>
  <c r="AN22" i="63" s="1"/>
  <c r="CA28" i="63"/>
  <c r="CG28" i="63" s="1"/>
  <c r="BX30" i="52"/>
  <c r="AF30" i="52"/>
  <c r="AR30" i="52" s="1"/>
  <c r="BY31" i="52"/>
  <c r="AG31" i="52"/>
  <c r="AF32" i="52"/>
  <c r="AR32" i="52" s="1"/>
  <c r="BX32" i="52"/>
  <c r="AB25" i="63"/>
  <c r="AB16" i="63"/>
  <c r="AS28" i="63"/>
  <c r="AZ28" i="63" s="1"/>
  <c r="BE28" i="63" s="1"/>
  <c r="AH28" i="63"/>
  <c r="AN28" i="63" s="1"/>
  <c r="AB30" i="63"/>
  <c r="AH29" i="52"/>
  <c r="AN29" i="52" s="1"/>
  <c r="AS29" i="52"/>
  <c r="AZ29" i="52" s="1"/>
  <c r="BE29" i="52" s="1"/>
  <c r="AB19" i="63"/>
  <c r="AB31" i="63"/>
  <c r="BY30" i="52"/>
  <c r="AG30" i="52"/>
  <c r="CA22" i="63"/>
  <c r="CG22" i="63" s="1"/>
  <c r="BX33" i="52"/>
  <c r="AF33" i="52"/>
  <c r="AR33" i="52" s="1"/>
  <c r="AB22" i="63"/>
  <c r="CA25" i="63"/>
  <c r="CG25" i="63" s="1"/>
  <c r="AH15" i="63"/>
  <c r="AN15" i="63" s="1"/>
  <c r="AS15" i="63"/>
  <c r="AZ15" i="63" s="1"/>
  <c r="BE15" i="63" s="1"/>
  <c r="AB14" i="63"/>
  <c r="AS25" i="63"/>
  <c r="AZ25" i="63" s="1"/>
  <c r="BE25" i="63" s="1"/>
  <c r="AH25" i="63"/>
  <c r="AN25" i="63" s="1"/>
  <c r="CA16" i="63"/>
  <c r="CG16" i="63" s="1"/>
  <c r="AB32" i="63"/>
  <c r="CA27" i="63"/>
  <c r="CG27" i="63" s="1"/>
  <c r="AS33" i="63"/>
  <c r="AZ33" i="63" s="1"/>
  <c r="BE33" i="63" s="1"/>
  <c r="AH33" i="63"/>
  <c r="AN33" i="63" s="1"/>
  <c r="AS27" i="63"/>
  <c r="AZ27" i="63" s="1"/>
  <c r="BE27" i="63" s="1"/>
  <c r="AH27" i="63"/>
  <c r="AN27" i="63" s="1"/>
  <c r="BX31" i="52"/>
  <c r="AF31" i="52"/>
  <c r="AR31" i="52" s="1"/>
  <c r="AS14" i="63"/>
  <c r="AZ14" i="63" s="1"/>
  <c r="AH14" i="63"/>
  <c r="AB33" i="63"/>
  <c r="BY33" i="52"/>
  <c r="AG33" i="52"/>
  <c r="CA33" i="63"/>
  <c r="CG33" i="63" s="1"/>
  <c r="AS30" i="63"/>
  <c r="AZ30" i="63" s="1"/>
  <c r="BE30" i="63" s="1"/>
  <c r="AH30" i="63"/>
  <c r="AN30" i="63" s="1"/>
  <c r="AB27" i="63"/>
  <c r="BT14" i="63"/>
  <c r="BT39" i="63" s="1"/>
  <c r="AS19" i="63"/>
  <c r="AZ19" i="63" s="1"/>
  <c r="BE19" i="63" s="1"/>
  <c r="AH19" i="63"/>
  <c r="AN19" i="63" s="1"/>
  <c r="AB15" i="63"/>
  <c r="CA30" i="63"/>
  <c r="CG30" i="63" s="1"/>
  <c r="AS31" i="63"/>
  <c r="AZ31" i="63" s="1"/>
  <c r="BE31" i="63" s="1"/>
  <c r="AH31" i="63"/>
  <c r="AN31" i="63" s="1"/>
  <c r="AS16" i="63"/>
  <c r="AZ16" i="63" s="1"/>
  <c r="BE16" i="63" s="1"/>
  <c r="AH16" i="63"/>
  <c r="AN16" i="63" s="1"/>
  <c r="BY32" i="52"/>
  <c r="AG32" i="52"/>
  <c r="AB28" i="63"/>
  <c r="AZ39" i="63" l="1"/>
  <c r="AS42" i="63" s="1"/>
  <c r="AB39" i="63"/>
  <c r="N41" i="63" s="1"/>
  <c r="F42" i="63" s="1"/>
  <c r="CA39" i="63"/>
  <c r="BY42" i="63" s="1"/>
  <c r="G46" i="63" s="1"/>
  <c r="H31" i="12" s="1"/>
  <c r="AH39" i="63"/>
  <c r="CG14" i="63"/>
  <c r="BT38" i="63"/>
  <c r="BJ41" i="63"/>
  <c r="F45" i="63" s="1"/>
  <c r="AH38" i="63"/>
  <c r="AZ38" i="63"/>
  <c r="CA38" i="63"/>
  <c r="AB38" i="63"/>
  <c r="CA31" i="52"/>
  <c r="CG31" i="52" s="1"/>
  <c r="CA30" i="52"/>
  <c r="CG30" i="52" s="1"/>
  <c r="BE14" i="63"/>
  <c r="BE38" i="63" s="1"/>
  <c r="AS33" i="52"/>
  <c r="AZ33" i="52" s="1"/>
  <c r="BE33" i="52" s="1"/>
  <c r="AH33" i="52"/>
  <c r="AN33" i="52" s="1"/>
  <c r="AN14" i="63"/>
  <c r="AN38" i="63" s="1"/>
  <c r="AH31" i="52"/>
  <c r="AN31" i="52" s="1"/>
  <c r="AS31" i="52"/>
  <c r="AZ31" i="52" s="1"/>
  <c r="BE31" i="52" s="1"/>
  <c r="CA33" i="52"/>
  <c r="CG33" i="52" s="1"/>
  <c r="AS30" i="52"/>
  <c r="AZ30" i="52" s="1"/>
  <c r="BE30" i="52" s="1"/>
  <c r="AH30" i="52"/>
  <c r="AN30" i="52" s="1"/>
  <c r="AS32" i="52"/>
  <c r="AZ32" i="52" s="1"/>
  <c r="BE32" i="52" s="1"/>
  <c r="AH32" i="52"/>
  <c r="AN32" i="52" s="1"/>
  <c r="CA32" i="52"/>
  <c r="CG32" i="52" s="1"/>
  <c r="BE39" i="63" l="1"/>
  <c r="AS41" i="63" s="1"/>
  <c r="F44" i="63" s="1"/>
  <c r="CG39" i="63"/>
  <c r="BY41" i="63" s="1"/>
  <c r="F46" i="63" s="1"/>
  <c r="AG42" i="63"/>
  <c r="G43" i="63" s="1"/>
  <c r="E31" i="12" s="1"/>
  <c r="AN39" i="63"/>
  <c r="AG41" i="63" s="1"/>
  <c r="F43" i="63" s="1"/>
  <c r="CG38" i="63"/>
  <c r="G44" i="63"/>
  <c r="F31" i="12" s="1"/>
  <c r="M17" i="51"/>
  <c r="X17" i="51" l="1"/>
  <c r="Q17" i="51"/>
  <c r="AW17" i="51"/>
  <c r="BJ17" i="51"/>
  <c r="S17" i="51"/>
  <c r="O17" i="51"/>
  <c r="M15" i="51"/>
  <c r="M20" i="51"/>
  <c r="M23" i="51"/>
  <c r="M24" i="51"/>
  <c r="M19" i="51"/>
  <c r="M14" i="51"/>
  <c r="M16" i="51"/>
  <c r="M25" i="51"/>
  <c r="M26" i="51"/>
  <c r="M27" i="51"/>
  <c r="M22" i="51"/>
  <c r="M18" i="51"/>
  <c r="M28" i="51"/>
  <c r="M21" i="51"/>
  <c r="X28" i="51" l="1"/>
  <c r="AW28" i="51"/>
  <c r="Q28" i="51"/>
  <c r="S28" i="51"/>
  <c r="O28" i="51"/>
  <c r="BJ28" i="51"/>
  <c r="S26" i="51"/>
  <c r="X26" i="51"/>
  <c r="O26" i="51"/>
  <c r="AW26" i="51"/>
  <c r="BJ26" i="51"/>
  <c r="Q26" i="51"/>
  <c r="X19" i="51"/>
  <c r="AW19" i="51"/>
  <c r="S19" i="51"/>
  <c r="Q19" i="51"/>
  <c r="BJ19" i="51"/>
  <c r="O19" i="51"/>
  <c r="Q15" i="51"/>
  <c r="AW15" i="51"/>
  <c r="S15" i="51"/>
  <c r="O15" i="51"/>
  <c r="BJ15" i="51"/>
  <c r="X15" i="51"/>
  <c r="BJ25" i="51"/>
  <c r="AW25" i="51"/>
  <c r="X25" i="51"/>
  <c r="S25" i="51"/>
  <c r="Q25" i="51"/>
  <c r="O25" i="51"/>
  <c r="X24" i="51"/>
  <c r="BJ24" i="51"/>
  <c r="S24" i="51"/>
  <c r="AW24" i="51"/>
  <c r="Q24" i="51"/>
  <c r="O24" i="51"/>
  <c r="R17" i="51"/>
  <c r="AW22" i="51"/>
  <c r="S22" i="51"/>
  <c r="X22" i="51"/>
  <c r="BJ22" i="51"/>
  <c r="O22" i="51"/>
  <c r="Q22" i="51"/>
  <c r="AW23" i="51"/>
  <c r="Q23" i="51"/>
  <c r="X23" i="51"/>
  <c r="BJ23" i="51"/>
  <c r="O23" i="51"/>
  <c r="S23" i="51"/>
  <c r="U17" i="51"/>
  <c r="AW18" i="51"/>
  <c r="X18" i="51"/>
  <c r="S18" i="51"/>
  <c r="Q18" i="51"/>
  <c r="O18" i="51"/>
  <c r="BJ18" i="51"/>
  <c r="X16" i="51"/>
  <c r="BJ16" i="51"/>
  <c r="Q16" i="51"/>
  <c r="O16" i="51"/>
  <c r="AW16" i="51"/>
  <c r="S16" i="51"/>
  <c r="AW21" i="51"/>
  <c r="X21" i="51"/>
  <c r="BJ21" i="51"/>
  <c r="Q21" i="51"/>
  <c r="O21" i="51"/>
  <c r="S21" i="51"/>
  <c r="Q27" i="51"/>
  <c r="AW27" i="51"/>
  <c r="O27" i="51"/>
  <c r="BJ27" i="51"/>
  <c r="X27" i="51"/>
  <c r="S27" i="51"/>
  <c r="X14" i="51"/>
  <c r="AW14" i="51"/>
  <c r="BJ14" i="51"/>
  <c r="Q14" i="51"/>
  <c r="M38" i="51"/>
  <c r="O14" i="51"/>
  <c r="S14" i="51"/>
  <c r="AW20" i="51"/>
  <c r="X20" i="51"/>
  <c r="Q20" i="51"/>
  <c r="BJ20" i="51"/>
  <c r="O20" i="51"/>
  <c r="S20" i="51"/>
  <c r="BL17" i="51"/>
  <c r="AA17" i="51"/>
  <c r="M38" i="52" l="1"/>
  <c r="AA20" i="51"/>
  <c r="BP17" i="52"/>
  <c r="BT17" i="52" s="1"/>
  <c r="BP17" i="51"/>
  <c r="BT17" i="51" s="1"/>
  <c r="U14" i="51"/>
  <c r="BJ38" i="51"/>
  <c r="BL14" i="51"/>
  <c r="U27" i="51"/>
  <c r="R21" i="51"/>
  <c r="R16" i="51"/>
  <c r="AA16" i="51"/>
  <c r="U18" i="51"/>
  <c r="BY17" i="51"/>
  <c r="V17" i="51"/>
  <c r="AG17" i="51"/>
  <c r="BL23" i="51"/>
  <c r="AA22" i="51"/>
  <c r="BX17" i="51"/>
  <c r="AF17" i="51"/>
  <c r="AR17" i="51" s="1"/>
  <c r="AA25" i="51"/>
  <c r="AA15" i="51"/>
  <c r="BL19" i="51"/>
  <c r="AA19" i="51"/>
  <c r="AA27" i="51"/>
  <c r="BL18" i="51"/>
  <c r="AA18" i="51"/>
  <c r="AA23" i="51"/>
  <c r="U22" i="51"/>
  <c r="U24" i="51"/>
  <c r="R25" i="51"/>
  <c r="BL15" i="51"/>
  <c r="R26" i="51"/>
  <c r="BL28" i="51"/>
  <c r="R20" i="51"/>
  <c r="L19" i="75"/>
  <c r="L21" i="75" s="1"/>
  <c r="BL27" i="51"/>
  <c r="BL21" i="51"/>
  <c r="U16" i="51"/>
  <c r="BL16" i="51"/>
  <c r="R18" i="51"/>
  <c r="U23" i="51"/>
  <c r="R22" i="51"/>
  <c r="R24" i="51"/>
  <c r="BL24" i="51"/>
  <c r="BL25" i="51"/>
  <c r="R15" i="51"/>
  <c r="U19" i="51"/>
  <c r="AA26" i="51"/>
  <c r="R28" i="51"/>
  <c r="AA28" i="51"/>
  <c r="U20" i="51"/>
  <c r="R14" i="51"/>
  <c r="BL20" i="51"/>
  <c r="AA14" i="51"/>
  <c r="R27" i="51"/>
  <c r="U21" i="51"/>
  <c r="AA21" i="51"/>
  <c r="R23" i="51"/>
  <c r="BL22" i="51"/>
  <c r="AA24" i="51"/>
  <c r="U25" i="51"/>
  <c r="U15" i="51"/>
  <c r="R19" i="51"/>
  <c r="BL26" i="51"/>
  <c r="U26" i="51"/>
  <c r="U28" i="51"/>
  <c r="CA17" i="51" l="1"/>
  <c r="CG17" i="51" s="1"/>
  <c r="AA39" i="51"/>
  <c r="BJ38" i="52"/>
  <c r="AG28" i="51"/>
  <c r="BY28" i="51"/>
  <c r="V28" i="51"/>
  <c r="BP26" i="52"/>
  <c r="BT26" i="52" s="1"/>
  <c r="BP26" i="51"/>
  <c r="BT26" i="51" s="1"/>
  <c r="AG15" i="51"/>
  <c r="BY15" i="51"/>
  <c r="V15" i="51"/>
  <c r="BX23" i="51"/>
  <c r="AF23" i="51"/>
  <c r="AR23" i="51" s="1"/>
  <c r="AG21" i="51"/>
  <c r="BY21" i="51"/>
  <c r="V21" i="51"/>
  <c r="AA38" i="51"/>
  <c r="BX14" i="51"/>
  <c r="AF14" i="51"/>
  <c r="AR14" i="51" s="1"/>
  <c r="BX15" i="51"/>
  <c r="AF15" i="51"/>
  <c r="AR15" i="51" s="1"/>
  <c r="BP24" i="51"/>
  <c r="BT24" i="51" s="1"/>
  <c r="BP24" i="52"/>
  <c r="BT24" i="52" s="1"/>
  <c r="AF22" i="51"/>
  <c r="AR22" i="51" s="1"/>
  <c r="BX22" i="51"/>
  <c r="BX18" i="51"/>
  <c r="AF18" i="51"/>
  <c r="AR18" i="51" s="1"/>
  <c r="BY16" i="51"/>
  <c r="AG16" i="51"/>
  <c r="V16" i="51"/>
  <c r="BP27" i="51"/>
  <c r="BT27" i="51" s="1"/>
  <c r="BP27" i="52"/>
  <c r="BT27" i="52" s="1"/>
  <c r="BX20" i="51"/>
  <c r="AF20" i="51"/>
  <c r="AR20" i="51" s="1"/>
  <c r="BX26" i="51"/>
  <c r="AF26" i="51"/>
  <c r="AR26" i="51" s="1"/>
  <c r="AF25" i="51"/>
  <c r="AR25" i="51" s="1"/>
  <c r="BX25" i="51"/>
  <c r="BY22" i="51"/>
  <c r="AG22" i="51"/>
  <c r="V22" i="51"/>
  <c r="BP19" i="51"/>
  <c r="BT19" i="51" s="1"/>
  <c r="BP19" i="52"/>
  <c r="BT19" i="52" s="1"/>
  <c r="AS17" i="51"/>
  <c r="AZ17" i="51" s="1"/>
  <c r="BE17" i="51" s="1"/>
  <c r="AH17" i="51"/>
  <c r="AN17" i="51" s="1"/>
  <c r="BY18" i="51"/>
  <c r="V18" i="51"/>
  <c r="AG18" i="51"/>
  <c r="BX16" i="51"/>
  <c r="AF16" i="51"/>
  <c r="AR16" i="51" s="1"/>
  <c r="BY27" i="51"/>
  <c r="AG27" i="51"/>
  <c r="V27" i="51"/>
  <c r="AG26" i="51"/>
  <c r="BY26" i="51"/>
  <c r="V26" i="51"/>
  <c r="BX19" i="51"/>
  <c r="AF19" i="51"/>
  <c r="AR19" i="51" s="1"/>
  <c r="BY25" i="51"/>
  <c r="AG25" i="51"/>
  <c r="V25" i="51"/>
  <c r="BP22" i="51"/>
  <c r="BT22" i="51" s="1"/>
  <c r="BP22" i="52"/>
  <c r="BT22" i="52" s="1"/>
  <c r="AF27" i="51"/>
  <c r="AR27" i="51" s="1"/>
  <c r="BX27" i="51"/>
  <c r="BP20" i="51"/>
  <c r="BT20" i="51" s="1"/>
  <c r="BP20" i="52"/>
  <c r="BT20" i="52" s="1"/>
  <c r="AG20" i="51"/>
  <c r="BY20" i="51"/>
  <c r="V20" i="51"/>
  <c r="AF28" i="51"/>
  <c r="AR28" i="51" s="1"/>
  <c r="BX28" i="51"/>
  <c r="BY19" i="51"/>
  <c r="AG19" i="51"/>
  <c r="V19" i="51"/>
  <c r="BP25" i="52"/>
  <c r="BT25" i="52" s="1"/>
  <c r="BP25" i="51"/>
  <c r="BT25" i="51" s="1"/>
  <c r="AF24" i="51"/>
  <c r="AR24" i="51" s="1"/>
  <c r="BX24" i="51"/>
  <c r="BY23" i="51"/>
  <c r="V23" i="51"/>
  <c r="AG23" i="51"/>
  <c r="BP16" i="51"/>
  <c r="BT16" i="51" s="1"/>
  <c r="BP16" i="52"/>
  <c r="BT16" i="52" s="1"/>
  <c r="BP21" i="52"/>
  <c r="BT21" i="52" s="1"/>
  <c r="BP21" i="51"/>
  <c r="BT21" i="51" s="1"/>
  <c r="BP28" i="51"/>
  <c r="BT28" i="51" s="1"/>
  <c r="BP28" i="52"/>
  <c r="BT28" i="52" s="1"/>
  <c r="BP15" i="51"/>
  <c r="BT15" i="51" s="1"/>
  <c r="BP15" i="52"/>
  <c r="BT15" i="52" s="1"/>
  <c r="BY24" i="51"/>
  <c r="AG24" i="51"/>
  <c r="V24" i="51"/>
  <c r="BP18" i="51"/>
  <c r="BT18" i="51" s="1"/>
  <c r="BP18" i="52"/>
  <c r="BT18" i="52" s="1"/>
  <c r="AF17" i="52"/>
  <c r="AR17" i="52" s="1"/>
  <c r="BX17" i="52"/>
  <c r="AB17" i="51"/>
  <c r="BY14" i="51"/>
  <c r="AG14" i="51"/>
  <c r="V14" i="51"/>
  <c r="BP23" i="51"/>
  <c r="BT23" i="51" s="1"/>
  <c r="BP23" i="52"/>
  <c r="BT23" i="52" s="1"/>
  <c r="BY17" i="52"/>
  <c r="AG17" i="52"/>
  <c r="BX21" i="51"/>
  <c r="AF21" i="51"/>
  <c r="AR21" i="51" s="1"/>
  <c r="BP14" i="51"/>
  <c r="BP14" i="52"/>
  <c r="CA16" i="51" l="1"/>
  <c r="CG16" i="51" s="1"/>
  <c r="V39" i="51"/>
  <c r="CA15" i="51"/>
  <c r="CG15" i="51" s="1"/>
  <c r="BP39" i="51"/>
  <c r="CA27" i="51"/>
  <c r="CG27" i="51" s="1"/>
  <c r="CA28" i="51"/>
  <c r="CG28" i="51" s="1"/>
  <c r="CA21" i="51"/>
  <c r="CG21" i="51" s="1"/>
  <c r="CA17" i="52"/>
  <c r="CG17" i="52" s="1"/>
  <c r="CA22" i="51"/>
  <c r="CG22" i="51" s="1"/>
  <c r="CA24" i="51"/>
  <c r="CG24" i="51" s="1"/>
  <c r="CA19" i="51"/>
  <c r="CG19" i="51" s="1"/>
  <c r="CA20" i="51"/>
  <c r="CG20" i="51" s="1"/>
  <c r="CA14" i="51"/>
  <c r="CA25" i="51"/>
  <c r="CG25" i="51" s="1"/>
  <c r="CA26" i="51"/>
  <c r="CG26" i="51" s="1"/>
  <c r="CA18" i="51"/>
  <c r="CG18" i="51" s="1"/>
  <c r="CA23" i="51"/>
  <c r="CG23" i="51" s="1"/>
  <c r="BP38" i="52"/>
  <c r="BT14" i="52"/>
  <c r="BP39" i="52"/>
  <c r="BJ42" i="52" s="1"/>
  <c r="G45" i="52" s="1"/>
  <c r="G8" i="12" s="1"/>
  <c r="BY14" i="52"/>
  <c r="AG14" i="52"/>
  <c r="AS24" i="51"/>
  <c r="AZ24" i="51" s="1"/>
  <c r="BE24" i="51" s="1"/>
  <c r="AH24" i="51"/>
  <c r="AN24" i="51" s="1"/>
  <c r="AG23" i="52"/>
  <c r="BY23" i="52"/>
  <c r="BY19" i="52"/>
  <c r="AG19" i="52"/>
  <c r="BX28" i="52"/>
  <c r="AF28" i="52"/>
  <c r="AR28" i="52" s="1"/>
  <c r="AB26" i="51"/>
  <c r="AB27" i="51"/>
  <c r="AB18" i="51"/>
  <c r="AS22" i="51"/>
  <c r="AZ22" i="51" s="1"/>
  <c r="BE22" i="51" s="1"/>
  <c r="AH22" i="51"/>
  <c r="AN22" i="51" s="1"/>
  <c r="AS16" i="51"/>
  <c r="AZ16" i="51" s="1"/>
  <c r="BE16" i="51" s="1"/>
  <c r="AH16" i="51"/>
  <c r="AN16" i="51" s="1"/>
  <c r="BY21" i="52"/>
  <c r="AG21" i="52"/>
  <c r="AB28" i="51"/>
  <c r="BP38" i="51"/>
  <c r="BT14" i="51"/>
  <c r="BT39" i="51" s="1"/>
  <c r="AS17" i="52"/>
  <c r="AZ17" i="52" s="1"/>
  <c r="BE17" i="52" s="1"/>
  <c r="AH17" i="52"/>
  <c r="AN17" i="52" s="1"/>
  <c r="V38" i="51"/>
  <c r="AB14" i="51"/>
  <c r="AS19" i="51"/>
  <c r="AZ19" i="51" s="1"/>
  <c r="BE19" i="51" s="1"/>
  <c r="AH19" i="51"/>
  <c r="AN19" i="51" s="1"/>
  <c r="AS20" i="51"/>
  <c r="AZ20" i="51" s="1"/>
  <c r="BE20" i="51" s="1"/>
  <c r="AH20" i="51"/>
  <c r="AN20" i="51" s="1"/>
  <c r="BX27" i="52"/>
  <c r="AF27" i="52"/>
  <c r="AR27" i="52" s="1"/>
  <c r="AB25" i="51"/>
  <c r="AF19" i="52"/>
  <c r="AR19" i="52" s="1"/>
  <c r="BX19" i="52"/>
  <c r="BY26" i="52"/>
  <c r="AG26" i="52"/>
  <c r="AS27" i="51"/>
  <c r="AZ27" i="51" s="1"/>
  <c r="BE27" i="51" s="1"/>
  <c r="AH27" i="51"/>
  <c r="AN27" i="51" s="1"/>
  <c r="BY18" i="52"/>
  <c r="AG18" i="52"/>
  <c r="AG22" i="52"/>
  <c r="BY22" i="52"/>
  <c r="AF23" i="52"/>
  <c r="AR23" i="52" s="1"/>
  <c r="BX23" i="52"/>
  <c r="AS15" i="51"/>
  <c r="AZ15" i="51" s="1"/>
  <c r="BE15" i="51" s="1"/>
  <c r="AH15" i="51"/>
  <c r="AN15" i="51" s="1"/>
  <c r="AS23" i="51"/>
  <c r="AZ23" i="51" s="1"/>
  <c r="BE23" i="51" s="1"/>
  <c r="AH23" i="51"/>
  <c r="AN23" i="51" s="1"/>
  <c r="BX24" i="52"/>
  <c r="AF24" i="52"/>
  <c r="AR24" i="52" s="1"/>
  <c r="BY20" i="52"/>
  <c r="AG20" i="52"/>
  <c r="BY25" i="52"/>
  <c r="AG25" i="52"/>
  <c r="AG27" i="52"/>
  <c r="BY27" i="52"/>
  <c r="AF16" i="52"/>
  <c r="AR16" i="52" s="1"/>
  <c r="BX16" i="52"/>
  <c r="AF26" i="52"/>
  <c r="AR26" i="52" s="1"/>
  <c r="BX26" i="52"/>
  <c r="BX20" i="52"/>
  <c r="AF20" i="52"/>
  <c r="AR20" i="52" s="1"/>
  <c r="BY16" i="52"/>
  <c r="AG16" i="52"/>
  <c r="AF18" i="52"/>
  <c r="AR18" i="52" s="1"/>
  <c r="BX18" i="52"/>
  <c r="BX15" i="52"/>
  <c r="AF15" i="52"/>
  <c r="AR15" i="52" s="1"/>
  <c r="BX14" i="52"/>
  <c r="AF14" i="52"/>
  <c r="AR14" i="52" s="1"/>
  <c r="AA38" i="52"/>
  <c r="AA39" i="52"/>
  <c r="AS21" i="51"/>
  <c r="AZ21" i="51" s="1"/>
  <c r="BE21" i="51" s="1"/>
  <c r="AH21" i="51"/>
  <c r="AN21" i="51" s="1"/>
  <c r="AB15" i="51"/>
  <c r="BY28" i="52"/>
  <c r="AG28" i="52"/>
  <c r="AS14" i="51"/>
  <c r="AZ14" i="51" s="1"/>
  <c r="AH14" i="51"/>
  <c r="BY24" i="52"/>
  <c r="AG24" i="52"/>
  <c r="BX21" i="52"/>
  <c r="AF21" i="52"/>
  <c r="AR21" i="52" s="1"/>
  <c r="AB24" i="51"/>
  <c r="AB23" i="51"/>
  <c r="AB19" i="51"/>
  <c r="AB20" i="51"/>
  <c r="AS25" i="51"/>
  <c r="AZ25" i="51" s="1"/>
  <c r="BE25" i="51" s="1"/>
  <c r="AH25" i="51"/>
  <c r="AN25" i="51" s="1"/>
  <c r="AH26" i="51"/>
  <c r="AN26" i="51" s="1"/>
  <c r="AS26" i="51"/>
  <c r="AZ26" i="51" s="1"/>
  <c r="BE26" i="51" s="1"/>
  <c r="AS18" i="51"/>
  <c r="AZ18" i="51" s="1"/>
  <c r="BE18" i="51" s="1"/>
  <c r="AH18" i="51"/>
  <c r="AN18" i="51" s="1"/>
  <c r="AB22" i="51"/>
  <c r="BX25" i="52"/>
  <c r="AF25" i="52"/>
  <c r="AR25" i="52" s="1"/>
  <c r="AB16" i="51"/>
  <c r="BX22" i="52"/>
  <c r="AF22" i="52"/>
  <c r="AR22" i="52" s="1"/>
  <c r="AB21" i="51"/>
  <c r="BY15" i="52"/>
  <c r="AG15" i="52"/>
  <c r="AH28" i="51"/>
  <c r="AN28" i="51" s="1"/>
  <c r="AS28" i="51"/>
  <c r="AZ28" i="51" s="1"/>
  <c r="BE28" i="51" s="1"/>
  <c r="BJ42" i="51" l="1"/>
  <c r="G45" i="51" s="1"/>
  <c r="G51" i="12" s="1"/>
  <c r="N42" i="51"/>
  <c r="G42" i="51" s="1"/>
  <c r="D51" i="12" s="1"/>
  <c r="CA19" i="52"/>
  <c r="CG19" i="52" s="1"/>
  <c r="CA23" i="52"/>
  <c r="CG23" i="52" s="1"/>
  <c r="AZ39" i="51"/>
  <c r="AS42" i="51" s="1"/>
  <c r="AB39" i="51"/>
  <c r="N41" i="51" s="1"/>
  <c r="F42" i="51" s="1"/>
  <c r="CA39" i="51"/>
  <c r="AH39" i="51"/>
  <c r="AG42" i="51" s="1"/>
  <c r="CA18" i="52"/>
  <c r="CG18" i="52" s="1"/>
  <c r="CA25" i="52"/>
  <c r="CG25" i="52" s="1"/>
  <c r="CA38" i="51"/>
  <c r="CG14" i="51"/>
  <c r="CA22" i="52"/>
  <c r="CG22" i="52" s="1"/>
  <c r="CA21" i="52"/>
  <c r="CG21" i="52" s="1"/>
  <c r="CA14" i="52"/>
  <c r="CG14" i="52" s="1"/>
  <c r="CA20" i="52"/>
  <c r="CG20" i="52" s="1"/>
  <c r="CA16" i="52"/>
  <c r="CG16" i="52" s="1"/>
  <c r="CA26" i="52"/>
  <c r="CG26" i="52" s="1"/>
  <c r="CA27" i="52"/>
  <c r="CG27" i="52" s="1"/>
  <c r="CA28" i="52"/>
  <c r="CG28" i="52" s="1"/>
  <c r="CA15" i="52"/>
  <c r="CG15" i="52" s="1"/>
  <c r="CA24" i="52"/>
  <c r="CG24" i="52" s="1"/>
  <c r="AZ38" i="51"/>
  <c r="BE14" i="51"/>
  <c r="BE38" i="51" s="1"/>
  <c r="AS15" i="52"/>
  <c r="AZ15" i="52" s="1"/>
  <c r="BE15" i="52" s="1"/>
  <c r="AH15" i="52"/>
  <c r="AN15" i="52" s="1"/>
  <c r="AS25" i="52"/>
  <c r="AZ25" i="52" s="1"/>
  <c r="BE25" i="52" s="1"/>
  <c r="AH25" i="52"/>
  <c r="AN25" i="52" s="1"/>
  <c r="AB38" i="51"/>
  <c r="BT38" i="52"/>
  <c r="BT39" i="52"/>
  <c r="BJ41" i="52" s="1"/>
  <c r="F45" i="52" s="1"/>
  <c r="AH14" i="52"/>
  <c r="AS14" i="52"/>
  <c r="AZ14" i="52" s="1"/>
  <c r="AN14" i="51"/>
  <c r="AN38" i="51" s="1"/>
  <c r="AH38" i="51"/>
  <c r="AS28" i="52"/>
  <c r="AZ28" i="52" s="1"/>
  <c r="BE28" i="52" s="1"/>
  <c r="AH28" i="52"/>
  <c r="AN28" i="52" s="1"/>
  <c r="AS27" i="52"/>
  <c r="AZ27" i="52" s="1"/>
  <c r="BE27" i="52" s="1"/>
  <c r="AH27" i="52"/>
  <c r="AN27" i="52" s="1"/>
  <c r="AH22" i="52"/>
  <c r="AN22" i="52" s="1"/>
  <c r="AS22" i="52"/>
  <c r="AZ22" i="52" s="1"/>
  <c r="BE22" i="52" s="1"/>
  <c r="BJ41" i="51"/>
  <c r="F45" i="51" s="1"/>
  <c r="BT38" i="51"/>
  <c r="AS19" i="52"/>
  <c r="AZ19" i="52" s="1"/>
  <c r="BE19" i="52" s="1"/>
  <c r="AH19" i="52"/>
  <c r="AN19" i="52" s="1"/>
  <c r="AS23" i="52"/>
  <c r="AZ23" i="52" s="1"/>
  <c r="BE23" i="52" s="1"/>
  <c r="AH23" i="52"/>
  <c r="AN23" i="52" s="1"/>
  <c r="AS24" i="52"/>
  <c r="AZ24" i="52" s="1"/>
  <c r="BE24" i="52" s="1"/>
  <c r="AH24" i="52"/>
  <c r="AN24" i="52" s="1"/>
  <c r="AS16" i="52"/>
  <c r="AZ16" i="52" s="1"/>
  <c r="BE16" i="52" s="1"/>
  <c r="AH16" i="52"/>
  <c r="AN16" i="52" s="1"/>
  <c r="V38" i="52"/>
  <c r="V39" i="52"/>
  <c r="AS20" i="52"/>
  <c r="AZ20" i="52" s="1"/>
  <c r="BE20" i="52" s="1"/>
  <c r="AH20" i="52"/>
  <c r="AN20" i="52" s="1"/>
  <c r="AH18" i="52"/>
  <c r="AN18" i="52" s="1"/>
  <c r="AS18" i="52"/>
  <c r="AZ18" i="52" s="1"/>
  <c r="BE18" i="52" s="1"/>
  <c r="AH26" i="52"/>
  <c r="AN26" i="52" s="1"/>
  <c r="AS26" i="52"/>
  <c r="AZ26" i="52" s="1"/>
  <c r="BE26" i="52" s="1"/>
  <c r="AS21" i="52"/>
  <c r="AZ21" i="52" s="1"/>
  <c r="BE21" i="52" s="1"/>
  <c r="AH21" i="52"/>
  <c r="AN21" i="52" s="1"/>
  <c r="BY42" i="51" l="1"/>
  <c r="G46" i="51" s="1"/>
  <c r="H51" i="12" s="1"/>
  <c r="AN39" i="51"/>
  <c r="AG41" i="51" s="1"/>
  <c r="F43" i="51" s="1"/>
  <c r="G43" i="51"/>
  <c r="E51" i="12" s="1"/>
  <c r="CG38" i="51"/>
  <c r="CG39" i="51"/>
  <c r="BY41" i="51" s="1"/>
  <c r="F46" i="51" s="1"/>
  <c r="BE39" i="51"/>
  <c r="AS41" i="51" s="1"/>
  <c r="F44" i="51" s="1"/>
  <c r="G44" i="51"/>
  <c r="F51" i="12" s="1"/>
  <c r="N42" i="52"/>
  <c r="G42" i="52" s="1"/>
  <c r="D8" i="12" s="1"/>
  <c r="CA38" i="52"/>
  <c r="CA39" i="52"/>
  <c r="BY42" i="52" s="1"/>
  <c r="G46" i="52" s="1"/>
  <c r="H8" i="12" s="1"/>
  <c r="CG38" i="52"/>
  <c r="CG39" i="52"/>
  <c r="BY41" i="52" s="1"/>
  <c r="F46" i="52" s="1"/>
  <c r="AH38" i="52"/>
  <c r="AN14" i="52"/>
  <c r="AN38" i="52" s="1"/>
  <c r="AH39" i="52"/>
  <c r="AB38" i="52"/>
  <c r="AB39" i="52"/>
  <c r="N41" i="52" s="1"/>
  <c r="F42" i="52" s="1"/>
  <c r="AZ38" i="52"/>
  <c r="BE14" i="52"/>
  <c r="BE38" i="52" s="1"/>
  <c r="AZ39" i="52"/>
  <c r="BE39" i="52" l="1"/>
  <c r="AS41" i="52" s="1"/>
  <c r="F44" i="52" s="1"/>
  <c r="AS42" i="52"/>
  <c r="G44" i="52" s="1"/>
  <c r="F8" i="12" s="1"/>
  <c r="AG42" i="52"/>
  <c r="G43" i="52" s="1"/>
  <c r="E8" i="12" s="1"/>
  <c r="AN39" i="52"/>
  <c r="AG41" i="52" s="1"/>
  <c r="F43" i="52" s="1"/>
</calcChain>
</file>

<file path=xl/sharedStrings.xml><?xml version="1.0" encoding="utf-8"?>
<sst xmlns="http://schemas.openxmlformats.org/spreadsheetml/2006/main" count="3868" uniqueCount="465">
  <si>
    <t>Retail Rate</t>
  </si>
  <si>
    <t>Table 1</t>
  </si>
  <si>
    <t>Table 2</t>
  </si>
  <si>
    <t>Table 3</t>
  </si>
  <si>
    <t>Table 4</t>
  </si>
  <si>
    <t>Ratepayer Impact Measure Test</t>
  </si>
  <si>
    <t>Utility Cost Test</t>
  </si>
  <si>
    <t>Societal Test</t>
  </si>
  <si>
    <t>Participant Test</t>
  </si>
  <si>
    <t>Company:</t>
  </si>
  <si>
    <t>Project:</t>
  </si>
  <si>
    <t xml:space="preserve">  Company:</t>
  </si>
  <si>
    <t xml:space="preserve">  Project:</t>
  </si>
  <si>
    <t>Input Data</t>
  </si>
  <si>
    <t>Benefits</t>
  </si>
  <si>
    <t>Costs</t>
  </si>
  <si>
    <t>16) Utility Project Costs</t>
  </si>
  <si>
    <t>Annual</t>
  </si>
  <si>
    <t xml:space="preserve">     Escalation Rate =</t>
  </si>
  <si>
    <t xml:space="preserve">   16a) Administrative &amp; Operating Costs =</t>
  </si>
  <si>
    <t>Total</t>
  </si>
  <si>
    <t>Variable</t>
  </si>
  <si>
    <t>Utility</t>
  </si>
  <si>
    <t>Gas</t>
  </si>
  <si>
    <t>Non-Gas</t>
  </si>
  <si>
    <t>Incentives</t>
  </si>
  <si>
    <t>Direct</t>
  </si>
  <si>
    <t xml:space="preserve">   16b) Incentive Costs =</t>
  </si>
  <si>
    <t xml:space="preserve">Energy </t>
  </si>
  <si>
    <t>Commodity</t>
  </si>
  <si>
    <t>O &amp; M</t>
  </si>
  <si>
    <t>Demand</t>
  </si>
  <si>
    <t>Retail</t>
  </si>
  <si>
    <t>Bill</t>
  </si>
  <si>
    <t>Less</t>
  </si>
  <si>
    <t>Program</t>
  </si>
  <si>
    <t>Energy</t>
  </si>
  <si>
    <t>Environmental</t>
  </si>
  <si>
    <t>Savings</t>
  </si>
  <si>
    <t>Participants'</t>
  </si>
  <si>
    <t>2) Non-Gas Fuel Retail Rate ($/Fuel Unit) =</t>
  </si>
  <si>
    <t xml:space="preserve">   16c) Total Utility Project Costs =</t>
  </si>
  <si>
    <t>t</t>
  </si>
  <si>
    <t>Year</t>
  </si>
  <si>
    <t>Reduction</t>
  </si>
  <si>
    <t>Rate</t>
  </si>
  <si>
    <t>Received</t>
  </si>
  <si>
    <t xml:space="preserve">    Escalation Rate =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</si>
  <si>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</si>
  <si>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</si>
  <si>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</si>
  <si>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</si>
  <si>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</si>
  <si>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</si>
  <si>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</si>
  <si>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</si>
  <si>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</si>
  <si>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</si>
  <si>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</si>
  <si>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</si>
  <si>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</si>
  <si>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</si>
  <si>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 xml:space="preserve">   Non-Gas Fuel Units (ie. kWh,Gallons, etc) =</t>
  </si>
  <si>
    <t>17) Direct Participant Costs ($/Part.) =</t>
  </si>
  <si>
    <t>18) Participant Non-Energy Costs (Annual $/Part.) =</t>
  </si>
  <si>
    <t xml:space="preserve">          Escalation Rate =</t>
  </si>
  <si>
    <t>4) Demand Cost ($/Unit/Yr) =</t>
  </si>
  <si>
    <t>19) Participant Non-Energy Savings (Annual $/Part) =</t>
  </si>
  <si>
    <t xml:space="preserve">5) Peak Reduction Factor = </t>
  </si>
  <si>
    <t>20) Project Life (Years) =</t>
  </si>
  <si>
    <t>22) Avg Non-Gas Fuel Units/Part. Saved =</t>
  </si>
  <si>
    <t>7) Non-Gas Fuel Cost ($/Fuel Unit) =</t>
  </si>
  <si>
    <t>22a) Avg Additional Non-Gas Fuel Units/ Part. Used =</t>
  </si>
  <si>
    <t>23) Number of Participants =</t>
  </si>
  <si>
    <t>8) Non-Gas Fuel Loss Factor</t>
  </si>
  <si>
    <t>9) Gas Environmental Damage Factor =</t>
  </si>
  <si>
    <t>25) Incentive/Participant =</t>
  </si>
  <si>
    <t>10) Non Gas Fuel Environmental Damage Factor =</t>
  </si>
  <si>
    <t>Total =</t>
  </si>
  <si>
    <t>11) Participant Discount Rate =</t>
  </si>
  <si>
    <t>NPV =</t>
  </si>
  <si>
    <t xml:space="preserve"> </t>
  </si>
  <si>
    <t>12) Utility Discount Rate =</t>
  </si>
  <si>
    <t>Total NPV =</t>
  </si>
  <si>
    <t>Benefit/Cost Ratio =</t>
  </si>
  <si>
    <t>13) Societal Discount Rate =</t>
  </si>
  <si>
    <t>14) General Input Data Year =</t>
  </si>
  <si>
    <t>15) Project Analysis Year 1 =</t>
  </si>
  <si>
    <t>Test Results</t>
  </si>
  <si>
    <t>NPV</t>
  </si>
  <si>
    <t>B/C</t>
  </si>
  <si>
    <t>26) Distribution Delivery Charge</t>
  </si>
  <si>
    <t>Lost</t>
  </si>
  <si>
    <t>Margin</t>
  </si>
  <si>
    <t>Montana-Dakota Utilities Co.</t>
  </si>
  <si>
    <t>Per Unit</t>
  </si>
  <si>
    <t>Distribution</t>
  </si>
  <si>
    <t>Peak Dk</t>
  </si>
  <si>
    <t>27) Effective Income Tax Rate =</t>
  </si>
  <si>
    <t>Damage</t>
  </si>
  <si>
    <t xml:space="preserve">Costs Net </t>
  </si>
  <si>
    <t>of  Rebate</t>
  </si>
  <si>
    <t>21) Avg. Dk/Part. Saved =</t>
  </si>
  <si>
    <t>24) Total Annual Dk Saved =</t>
  </si>
  <si>
    <t>1) Retail Rate ($/Dk) =</t>
  </si>
  <si>
    <t>3) Commodity Cost ($/Dk) =</t>
  </si>
  <si>
    <t>6) Variable O&amp;M ($/Dk) =</t>
  </si>
  <si>
    <t>Cost/Dk</t>
  </si>
  <si>
    <t>BEN/COST ANALYSIS FOR GAS CONSERVATION</t>
  </si>
  <si>
    <t>NATURAL GAS CONSERVATION PROGRAMS/DEMAND-SIDE MANAGEMENT</t>
  </si>
  <si>
    <t>RIM</t>
  </si>
  <si>
    <t>Societal</t>
  </si>
  <si>
    <t>Participant</t>
  </si>
  <si>
    <t>Attic Insulation</t>
  </si>
  <si>
    <t>Education and Outreach</t>
  </si>
  <si>
    <t>NA</t>
  </si>
  <si>
    <t>Totals</t>
  </si>
  <si>
    <t>Residential</t>
  </si>
  <si>
    <t>Incentive</t>
  </si>
  <si>
    <t>Delivery</t>
  </si>
  <si>
    <t>Charge</t>
  </si>
  <si>
    <t>= (A) x (B)</t>
  </si>
  <si>
    <t>= Average Dk/Participant Saved (21) x Number of Participants (23) for Project Life (20)</t>
  </si>
  <si>
    <t>= (A) x Peak Reduction Factor (5)</t>
  </si>
  <si>
    <t>= Demand Cost (4) escalated.</t>
  </si>
  <si>
    <t>Worksheet Calculations</t>
  </si>
  <si>
    <t>= Table 1 (A)</t>
  </si>
  <si>
    <t>= Table 1 (M)</t>
  </si>
  <si>
    <t>= (A) + (B) + (C)</t>
  </si>
  <si>
    <t>= Incentive Costs (16b)</t>
  </si>
  <si>
    <t>= Retail Rate (1) escalated.</t>
  </si>
  <si>
    <t>=(B) x (C)</t>
  </si>
  <si>
    <t xml:space="preserve">Demand </t>
  </si>
  <si>
    <t>Savings/Dk</t>
  </si>
  <si>
    <t>($/Part.)</t>
  </si>
  <si>
    <t>= Gas Environmental Damage Factor (9), escalated</t>
  </si>
  <si>
    <t>= Table 1 (A) x (E)</t>
  </si>
  <si>
    <t>Fuel</t>
  </si>
  <si>
    <t>(O)</t>
  </si>
  <si>
    <t>= Variable O&amp;M Cost (6), escalated</t>
  </si>
  <si>
    <t>= Commodity Cost (3) escalated</t>
  </si>
  <si>
    <t>= (A) x (D)</t>
  </si>
  <si>
    <t>= (C) + (E)</t>
  </si>
  <si>
    <t>= (G) x (H)</t>
  </si>
  <si>
    <t>= (F) + (I)</t>
  </si>
  <si>
    <t>Admin</t>
  </si>
  <si>
    <t>(P)</t>
  </si>
  <si>
    <t>= Admin &amp; Operating Costs (16a)</t>
  </si>
  <si>
    <t>= (J) - (O)</t>
  </si>
  <si>
    <t>= (D) + (E)</t>
  </si>
  <si>
    <t>= (C) - (F)</t>
  </si>
  <si>
    <t>= (A) + (B) + (D) + (F)</t>
  </si>
  <si>
    <t>= (C) x [Avg. Non-Gas Fuel Units/Part.Saved (22) x No. of Part. (23)</t>
  </si>
  <si>
    <t>= Table 2 (F)</t>
  </si>
  <si>
    <t>= Direct Part. Costs (17) x No. of Part. (23) - Table 1 (N)</t>
  </si>
  <si>
    <t>= (H) + (I)</t>
  </si>
  <si>
    <t>= (G) - (J)</t>
  </si>
  <si>
    <t>= Table 1 (N)</t>
  </si>
  <si>
    <t>= (A) + (D) + (F)</t>
  </si>
  <si>
    <t>= (G) - (H)</t>
  </si>
  <si>
    <t>= Distribution Delivery Charge (26) escalated.</t>
  </si>
  <si>
    <t>= (A) x (K) x (1-Inverse of Tax Rate (27)</t>
  </si>
  <si>
    <t>= (L) + (M) + (N)</t>
  </si>
  <si>
    <t>= Table 1 (F)</t>
  </si>
  <si>
    <t>= Table 1 (I)</t>
  </si>
  <si>
    <t>= Table 1 (J)</t>
  </si>
  <si>
    <t>= Non-Gas Fuel Retail Rate (2), escalated.</t>
  </si>
  <si>
    <t>=  Direct Participant Costs (17) x Number of Participants (23)</t>
  </si>
  <si>
    <t>Input No.</t>
  </si>
  <si>
    <t>Input Data Description</t>
  </si>
  <si>
    <t xml:space="preserve">Information Source </t>
  </si>
  <si>
    <t>Retail Rate ($/dk)</t>
  </si>
  <si>
    <t>Non-Gas Fuel Retail ($/fuel/unit)</t>
  </si>
  <si>
    <t>Commodity Cost ($/dk)</t>
  </si>
  <si>
    <t>Demand Cost ($/dk/Yr)</t>
  </si>
  <si>
    <t>Annual cost of firm capacity on  pipeline</t>
  </si>
  <si>
    <t>Peak Reduction Factor</t>
  </si>
  <si>
    <t>Variable O&amp;M ($/dk)</t>
  </si>
  <si>
    <t>Estimated variable O&amp;M that will be avoided due the implementing the measure</t>
  </si>
  <si>
    <t>Non-Gas Fuel Cost ($/Fuel Unit)</t>
  </si>
  <si>
    <t>Non-Gas Fuel Loss Factor</t>
  </si>
  <si>
    <t>Gas Environmental Damage Factor</t>
  </si>
  <si>
    <t>Participant Discount Rate</t>
  </si>
  <si>
    <t>Utility Discount Rate</t>
  </si>
  <si>
    <t>Societal Discount Rate</t>
  </si>
  <si>
    <t>General Input Data Year =</t>
  </si>
  <si>
    <t>Year data was input</t>
  </si>
  <si>
    <t>Utility Project Costs</t>
  </si>
  <si>
    <t xml:space="preserve">Total direct cost to the utility caused by implementing the program(s) </t>
  </si>
  <si>
    <t>Direct Participant Costs ($/Part.)</t>
  </si>
  <si>
    <t>Direct costs that the participant would have to participate in the program</t>
  </si>
  <si>
    <t>Project Life (Years)</t>
  </si>
  <si>
    <t>Based on the estimated useful life of the energy saving equipment (20 years maximum)</t>
  </si>
  <si>
    <t>Number of Participants</t>
  </si>
  <si>
    <t>Total number of expected participants is the program(s)</t>
  </si>
  <si>
    <t>Incentive/Participant</t>
  </si>
  <si>
    <t>Incentive provided to the participant</t>
  </si>
  <si>
    <t>Distribution Delivery Charge</t>
  </si>
  <si>
    <t>Effective Fed &amp; State Income Tax Rate</t>
  </si>
  <si>
    <t>Customer</t>
  </si>
  <si>
    <t>Not Applicable</t>
  </si>
  <si>
    <t>= Non-Gas Fuel Cost (7), adjusted for losses (8), escalated..</t>
  </si>
  <si>
    <t>Program Years:</t>
  </si>
  <si>
    <t>Avg energy reduction (Dk) caused by the program(s)</t>
  </si>
  <si>
    <t>Average</t>
  </si>
  <si>
    <t xml:space="preserve">NPV = </t>
  </si>
  <si>
    <t>Average retail cost of non gas fuel if measures also saves kWh, gallons of water, etc.  (for analysis purposes, used electric as Non-Gas Fuel Retail Rate)</t>
  </si>
  <si>
    <t>Average non-gas fuel units saved or added due to implementing the measure (for analysis purposes, used Kwh)</t>
  </si>
  <si>
    <t>Annual participant non-energy costs if applicable caused by implementing the measure (Not Applicable)</t>
  </si>
  <si>
    <t>Participant non energy savings if applicable caused by implementing the measure (Not Applicable)</t>
  </si>
  <si>
    <t>Average commodity cost of non gas fuel if measures also saves kWh, gallons of water, etc.  (for analysis purposes, used electric as Non-Gas Fuel Cost)</t>
  </si>
  <si>
    <t>Total Portfolio</t>
  </si>
  <si>
    <t xml:space="preserve">Total = </t>
  </si>
  <si>
    <t>Estimated average peak day reduction factor caused by implementing the measure (s)</t>
  </si>
  <si>
    <t>Participants</t>
  </si>
  <si>
    <t>Cost</t>
  </si>
  <si>
    <t>Total Resource</t>
  </si>
  <si>
    <t>Table 5</t>
  </si>
  <si>
    <t>Total Resource Cost Test</t>
  </si>
  <si>
    <t>Project</t>
  </si>
  <si>
    <t>= Table 3 (D)</t>
  </si>
  <si>
    <t>= (E) + (F)</t>
  </si>
  <si>
    <t>= (D) - (G)</t>
  </si>
  <si>
    <t>Life</t>
  </si>
  <si>
    <t>= Table 3 (H)</t>
  </si>
  <si>
    <t>= Table 3 (I)</t>
  </si>
  <si>
    <t xml:space="preserve">Non Gas Fuel Environmental Damage Factor </t>
  </si>
  <si>
    <t xml:space="preserve">      (Federal &amp; State Taxes)</t>
  </si>
  <si>
    <t>Technical Assumptions</t>
  </si>
  <si>
    <t>Cost Assumptions</t>
  </si>
  <si>
    <t>Non-Energy</t>
  </si>
  <si>
    <t>Operating/</t>
  </si>
  <si>
    <t>Baseline</t>
  </si>
  <si>
    <t>High</t>
  </si>
  <si>
    <t>dk Saved</t>
  </si>
  <si>
    <t xml:space="preserve">Cost </t>
  </si>
  <si>
    <t>Cost High</t>
  </si>
  <si>
    <t xml:space="preserve">Admin </t>
  </si>
  <si>
    <t>Marketing</t>
  </si>
  <si>
    <t>Class</t>
  </si>
  <si>
    <t>Year 2</t>
  </si>
  <si>
    <t>Efficiency</t>
  </si>
  <si>
    <t>/ part</t>
  </si>
  <si>
    <t>/ Part</t>
  </si>
  <si>
    <t>Std Equip</t>
  </si>
  <si>
    <t>Eff Equip</t>
  </si>
  <si>
    <t>Technical Notes</t>
  </si>
  <si>
    <t>Participation Notes</t>
  </si>
  <si>
    <t>Past program History</t>
  </si>
  <si>
    <t>75,000 btuh Average</t>
  </si>
  <si>
    <t>Retrofit Bundle</t>
  </si>
  <si>
    <t>New Home Bundle</t>
  </si>
  <si>
    <t>LP &amp; HP Steam Boilers</t>
  </si>
  <si>
    <t>Water Heating (Storage 88% Cond)</t>
  </si>
  <si>
    <t>Custom Efficiency</t>
  </si>
  <si>
    <t>Boiler (85%)</t>
  </si>
  <si>
    <t>Boiler (90%)</t>
  </si>
  <si>
    <t>Furnace Tune-Up</t>
  </si>
  <si>
    <t>Water Heating (.62 EF)</t>
  </si>
  <si>
    <t>Water Heating (.67 EF)</t>
  </si>
  <si>
    <t>Hot Water Boiler (85%)</t>
  </si>
  <si>
    <t>Hot Water Boiler (90%)</t>
  </si>
  <si>
    <t>Commercial</t>
  </si>
  <si>
    <t xml:space="preserve">Montana-Dakota's authorized average cost of capital </t>
  </si>
  <si>
    <t>Montana-Dakota's effective tax rate</t>
  </si>
  <si>
    <t>Furnace (92-94%)</t>
  </si>
  <si>
    <t>Commercial Custom Efficiency</t>
  </si>
  <si>
    <t>Dmd</t>
  </si>
  <si>
    <t xml:space="preserve"> '/ Unit</t>
  </si>
  <si>
    <t>Avg. Dk/Part. Saved</t>
  </si>
  <si>
    <t>Total Dk saved from the program in the year implemented</t>
  </si>
  <si>
    <t>Project Analysis Year</t>
  </si>
  <si>
    <t>Year(s) program will be implemented</t>
  </si>
  <si>
    <t>Total Annual Dk Saved</t>
  </si>
  <si>
    <t>Allocation</t>
  </si>
  <si>
    <t>Water Heating (.64EF)</t>
  </si>
  <si>
    <t>Customer Education/info</t>
  </si>
  <si>
    <t>Programs</t>
  </si>
  <si>
    <t>Total Programs</t>
  </si>
  <si>
    <t>Furnaces - 95+% AFUE  - New</t>
  </si>
  <si>
    <t>Residential 95+% AFUE Furnace - New</t>
  </si>
  <si>
    <t>Furnace (95+%) - New</t>
  </si>
  <si>
    <t>Furnace (95+%) - Replacement</t>
  </si>
  <si>
    <t>Residential 95+% AFUE Furnace - Replacement</t>
  </si>
  <si>
    <t>Commercial 95+% AFUE Furnace - New</t>
  </si>
  <si>
    <t>Commercial 95+% AFUE Furnace - Replacement</t>
  </si>
  <si>
    <t>1 showerhead, 1kitchen, 2 faucet</t>
  </si>
  <si>
    <t>assume 50% app rate</t>
  </si>
  <si>
    <t>Market Information</t>
  </si>
  <si>
    <t>Total Incentives</t>
  </si>
  <si>
    <t>Conservation Portfolio Summary</t>
  </si>
  <si>
    <t>Escalation Rate</t>
  </si>
  <si>
    <t>Escalation Rate Yr. 2</t>
  </si>
  <si>
    <t>Escalation Rate Yr. 1</t>
  </si>
  <si>
    <t>Escalation Rate Yr. 3</t>
  </si>
  <si>
    <t>Participant Non-Energy Costs (Annual $/Part.) Yr. 1</t>
  </si>
  <si>
    <t>Yr. 2</t>
  </si>
  <si>
    <t>Yr. 3</t>
  </si>
  <si>
    <t>Participant Non-Energy Savings (Annual $/Part) Yr. 1</t>
  </si>
  <si>
    <t>Avg Non-Gas Fuel Units/Part. Saved Yr. 1</t>
  </si>
  <si>
    <t>22a</t>
  </si>
  <si>
    <t>Avg Additional Non-Gas Fuel Units/ Part. Used Yr. 1</t>
  </si>
  <si>
    <t xml:space="preserve">   16a) Administrative &amp; Operating Costs = 1/</t>
  </si>
  <si>
    <t>Non-Gas Fuel Units (ie. kWh, Gallons, etc)</t>
  </si>
  <si>
    <t>SD Comm.</t>
  </si>
  <si>
    <t xml:space="preserve">Weighted Average of Montana-Dakota's Distribution Delivery Charge </t>
  </si>
  <si>
    <t>Gas Utility - South Dakota</t>
  </si>
  <si>
    <t>South Dakota Gas DSM Program Summary</t>
  </si>
  <si>
    <t>South Dakota Natural Gas DSM Programs</t>
  </si>
  <si>
    <t>Total South Dakota Program</t>
  </si>
  <si>
    <t>SD Res.</t>
  </si>
  <si>
    <t>South Dakota Natural Gas Conservation Model</t>
  </si>
  <si>
    <t>Furnace Tier 2 - 95%+ AFUE - New</t>
  </si>
  <si>
    <t>Furnace Tier 2 - 95%+ AFUE - Replacement</t>
  </si>
  <si>
    <t>Dk Savings</t>
  </si>
  <si>
    <t>Total Residential</t>
  </si>
  <si>
    <t>Total Commercial</t>
  </si>
  <si>
    <t xml:space="preserve">Lifetime </t>
  </si>
  <si>
    <t>Furnaces - 95+% AFUE  - Repl.</t>
  </si>
  <si>
    <t xml:space="preserve"> Residential Program</t>
  </si>
  <si>
    <t>Commercial  Program</t>
  </si>
  <si>
    <t>Particip</t>
  </si>
  <si>
    <t># of</t>
  </si>
  <si>
    <t>Increm</t>
  </si>
  <si>
    <t>Avg</t>
  </si>
  <si>
    <t>Comm</t>
  </si>
  <si>
    <t>Res</t>
  </si>
  <si>
    <t>Programmable Thermostats - Tier 2</t>
  </si>
  <si>
    <t>Programmable Thermostats - Tier 1</t>
  </si>
  <si>
    <t>Residential Energy Assessments</t>
  </si>
  <si>
    <t>= (E) x [Avg. Non-Gas Fuel Units/Part.Saved (22) x No. of Part. (23)</t>
  </si>
  <si>
    <t>Expense</t>
  </si>
  <si>
    <t>Expense 1/</t>
  </si>
  <si>
    <t>dk/part.</t>
  </si>
  <si>
    <t>High Efficiency Furnace - 95%+ (new)</t>
  </si>
  <si>
    <t>High Efficiency Furnace - 95%+ (replacement)</t>
  </si>
  <si>
    <t>Commmercial &amp; Industrial</t>
  </si>
  <si>
    <t>Custom</t>
  </si>
  <si>
    <t>Total Commercial and Industrial</t>
  </si>
  <si>
    <t xml:space="preserve">  Subtotal</t>
  </si>
  <si>
    <t>Energy Audits</t>
  </si>
  <si>
    <t>Total South Dakota</t>
  </si>
  <si>
    <t xml:space="preserve">1/  Administration expense allocated on incentive and program costs. </t>
  </si>
  <si>
    <t>Admin costs</t>
  </si>
  <si>
    <t>Incentive Year:</t>
  </si>
  <si>
    <t>South Dakota</t>
  </si>
  <si>
    <t>Firm General</t>
  </si>
  <si>
    <t>Average cost of gas   1/</t>
  </si>
  <si>
    <t>2/</t>
  </si>
  <si>
    <t>Total Retail Rate</t>
  </si>
  <si>
    <t>Gas Commodity</t>
  </si>
  <si>
    <t>Non-gas commodity</t>
  </si>
  <si>
    <t xml:space="preserve">  Total</t>
  </si>
  <si>
    <t>per dk adj. for losses</t>
  </si>
  <si>
    <t>Dk deliveries</t>
  </si>
  <si>
    <t>Demand Cost (Avoided Capacity) ($/dk/yr)</t>
  </si>
  <si>
    <t xml:space="preserve"> Capacity requirements  3/</t>
  </si>
  <si>
    <t>Demand Costs</t>
  </si>
  <si>
    <t>2/  Meters rated &lt; 500 cubic feet.</t>
  </si>
  <si>
    <t>3/  FT-1, FT-1 negotiated contract and T-FTG-1 capacity.</t>
  </si>
  <si>
    <t>Electric - Black Hills Power</t>
  </si>
  <si>
    <t>Base Rate</t>
  </si>
  <si>
    <t>4/</t>
  </si>
  <si>
    <t>Energy Charge</t>
  </si>
  <si>
    <t>Cost Adjustment</t>
  </si>
  <si>
    <t xml:space="preserve">   Total Bill </t>
  </si>
  <si>
    <t xml:space="preserve">   Average Realization</t>
  </si>
  <si>
    <t>Commercial (Small general service)</t>
  </si>
  <si>
    <t xml:space="preserve">   First 3000 Kwh</t>
  </si>
  <si>
    <t xml:space="preserve">   Over 3,000 Kwh</t>
  </si>
  <si>
    <t>Demand Charge</t>
  </si>
  <si>
    <t xml:space="preserve">   First 50 KW</t>
  </si>
  <si>
    <t xml:space="preserve">   Over 50 KW</t>
  </si>
  <si>
    <t>4/  Base charge not included for conservation calculations as it has no relation to savings</t>
  </si>
  <si>
    <t xml:space="preserve">     on consumption.</t>
  </si>
  <si>
    <t>Admin &amp;</t>
  </si>
  <si>
    <t>Promo</t>
  </si>
  <si>
    <t>Website Hyperlink:</t>
  </si>
  <si>
    <t>https://www.federalreserve.gov/datadownload/Choose.aspx?rel=H15</t>
  </si>
  <si>
    <t>Download Page</t>
  </si>
  <si>
    <t>Series Description</t>
  </si>
  <si>
    <t>3-month Treasury bill secondary market rate   discount basis</t>
  </si>
  <si>
    <t>Unit:</t>
  </si>
  <si>
    <t>Percent:_Per_Year</t>
  </si>
  <si>
    <t>Multiplier:</t>
  </si>
  <si>
    <t>Currency:</t>
  </si>
  <si>
    <t>Unique Identifier:</t>
  </si>
  <si>
    <t>H15/H15/RIFSGFSM03_N.A</t>
  </si>
  <si>
    <t>Time Period</t>
  </si>
  <si>
    <t>RIFSGFSM03_N.A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</si>
  <si>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</si>
  <si>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</si>
  <si>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</si>
  <si>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</si>
  <si>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</si>
  <si>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</si>
  <si>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</si>
  <si>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</si>
  <si>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</si>
  <si>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</si>
  <si>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</si>
  <si>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</si>
  <si>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</si>
  <si>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</si>
  <si>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</si>
  <si>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</si>
  <si>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</si>
  <si>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</si>
  <si>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</si>
  <si>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</si>
  <si>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</si>
  <si>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</si>
  <si>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</si>
  <si>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</si>
  <si>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</si>
  <si>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</si>
  <si>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</si>
  <si>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</si>
  <si>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</si>
  <si>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</si>
  <si>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</si>
  <si>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</si>
  <si>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</si>
  <si>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</si>
  <si>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</si>
  <si>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</si>
  <si>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</si>
  <si>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</si>
  <si>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</si>
  <si>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</si>
  <si>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30 Year Average</t>
  </si>
  <si>
    <t>MONTANA-DAKOTA UTILITIES CO.</t>
  </si>
  <si>
    <t>GAS UTILITY - SOUTH DAKOTA</t>
  </si>
  <si>
    <t>DSM SUMMARY</t>
  </si>
  <si>
    <t>35% Tier 2, 65% Tier 3 per the table in the TRM</t>
  </si>
  <si>
    <t>Fuel Cost:</t>
  </si>
  <si>
    <t>2024 - 2026 Program Years</t>
  </si>
  <si>
    <t>Non-Gas fuel loss factor (for analysis purposes, used total energy loss factor from Class Cost of Service in Docket No. EL23-020)</t>
  </si>
  <si>
    <t>Per Minnesota CIP triennial 2024-2026</t>
  </si>
  <si>
    <t>Federal Reserve Consumer Credit Interest Rate 12 Months ended December 31, 2022</t>
  </si>
  <si>
    <t>Updated to MN TRM 3.3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</si>
  <si>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</si>
  <si>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</si>
  <si>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</si>
  <si>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</si>
  <si>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</si>
  <si>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</si>
  <si>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</si>
  <si>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</si>
  <si>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</si>
  <si>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BHE Section No. 3C, 17th Revised Sheet No. 12</t>
  </si>
  <si>
    <t>Adjustment for Distribution Losses</t>
  </si>
  <si>
    <t>2025 ACTUAL</t>
  </si>
  <si>
    <t>PROJECTED COST OF GAS - 2026</t>
  </si>
  <si>
    <t>H.15 Selected Interest Rates for Jan 15, 2026</t>
  </si>
  <si>
    <t>2025</t>
  </si>
  <si>
    <t>1/  Based on November 2025 PGA adjusted to reflect the projected annual 2026 gas commodity cost.</t>
  </si>
  <si>
    <t>Total Demand Charges (November 2025 PGA)</t>
  </si>
  <si>
    <t>kWh</t>
  </si>
  <si>
    <t xml:space="preserve">   All kWh</t>
  </si>
  <si>
    <t>2025 Input Data Summary</t>
  </si>
  <si>
    <t>Projected average 2026 Cost of Gas plus authorized Distribution Delivery Charge.</t>
  </si>
  <si>
    <t>Estimated gas costs using projected 2026 winter gas costs November 2025 pipeline commodity.</t>
  </si>
  <si>
    <t>Equal to the 30 year T-Bill rate average for Twelve Months Ending December 31, 2025</t>
  </si>
  <si>
    <t>From Triennial Filing: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</si>
</sst>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\(&quot;$&quot;#,##0.0000\)"/>
    <numFmt numFmtId="165" formatCode="#,##0.0_);\(#,##0.0\)"/>
    <numFmt numFmtId="166" formatCode="0.0%"/>
    <numFmt numFmtId="167" formatCode="&quot;$&quot;#,##0.000_);\(&quot;$&quot;#,##0.000\)"/>
    <numFmt numFmtId="168" formatCode="0.000%"/>
    <numFmt numFmtId="169" formatCode="#,##0.000_);\(#,##0.000\)"/>
    <numFmt numFmtId="170" formatCode="&quot;$&quot;#,##0"/>
    <numFmt numFmtId="171" formatCode="_(&quot;$&quot;* #,##0.000_);_(&quot;$&quot;* \(#,##0.000\);_(&quot;$&quot;* &quot;-&quot;??_);_(@_)"/>
    <numFmt numFmtId="172" formatCode="&quot;$&quot;#,##0.00000_);\(&quot;$&quot;#,##0.00000\)"/>
    <numFmt numFmtId="173" formatCode="_(* #,##0_);_(* \(#,##0\);_(* &quot;-&quot;??_);_(@_)"/>
    <numFmt numFmtId="174" formatCode="0.0000%"/>
    <numFmt numFmtId="175" formatCode="#,##0.0_);[Red]\(#,##0.0\)"/>
    <numFmt numFmtId="176" formatCode="#,##0.000000_);\(#,##0.000000\)"/>
    <numFmt numFmtId="177" formatCode="0.00000%"/>
    <numFmt numFmtId="178" formatCode="General_)"/>
    <numFmt numFmtId="179" formatCode="mm/dd/yy"/>
    <numFmt numFmtId="180" formatCode="&quot;$&quot;#,##0.00000_);[Red]\(&quot;$&quot;#,##0.00000\)"/>
    <numFmt numFmtId="181" formatCode="#,##0.00000_);\(#,##0.00000\)"/>
    <numFmt numFmtId="182" formatCode="&quot;$&quot;#,##0.0000_);[Red]\(&quot;$&quot;#,##0.0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Helv"/>
    </font>
    <font>
      <i/>
      <sz val="10"/>
      <name val="Arial"/>
      <family val="2"/>
    </font>
    <font>
      <u/>
      <sz val="10"/>
      <color theme="10"/>
      <name val="Arial"/>
      <family val="2"/>
    </font>
    <font>
      <sz val="14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</font>
    <font>
      <u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66">
    <xf numFmtId="0" fontId="0" fillId="0" borderId="0"/>
    <xf numFmtId="37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2" fillId="4" borderId="0" applyNumberFormat="0" applyAlignment="0">
      <alignment horizontal="right"/>
    </xf>
    <xf numFmtId="0" fontId="2" fillId="6" borderId="0" applyNumberFormat="0" applyAlignment="0"/>
    <xf numFmtId="0" fontId="9" fillId="0" borderId="0"/>
    <xf numFmtId="44" fontId="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9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178" fontId="13" fillId="0" borderId="0" applyFill="0"/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21" applyNumberFormat="0" applyAlignment="0" applyProtection="0"/>
    <xf numFmtId="0" fontId="25" fillId="19" borderId="22" applyNumberFormat="0" applyAlignment="0" applyProtection="0"/>
    <xf numFmtId="0" fontId="26" fillId="19" borderId="21" applyNumberFormat="0" applyAlignment="0" applyProtection="0"/>
    <xf numFmtId="0" fontId="27" fillId="0" borderId="23" applyNumberFormat="0" applyFill="0" applyAlignment="0" applyProtection="0"/>
    <xf numFmtId="0" fontId="28" fillId="20" borderId="24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6" applyNumberFormat="0" applyFill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2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1" borderId="25" applyNumberFormat="0" applyFont="0" applyAlignment="0" applyProtection="0"/>
  </cellStyleXfs>
  <cellXfs count="346">
    <xf numFmtId="0" fontId="0" fillId="0" borderId="0" xfId="0"/>
    <xf numFmtId="0" fontId="4" fillId="0" borderId="0" xfId="4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left"/>
    </xf>
    <xf numFmtId="7" fontId="5" fillId="0" borderId="0" xfId="4" applyNumberFormat="1" applyFont="1" applyAlignment="1">
      <alignment horizontal="left"/>
    </xf>
    <xf numFmtId="0" fontId="5" fillId="0" borderId="0" xfId="4" applyFont="1" applyAlignment="1">
      <alignment horizontal="right"/>
    </xf>
    <xf numFmtId="0" fontId="4" fillId="0" borderId="0" xfId="4" applyFont="1" applyAlignment="1" applyProtection="1">
      <alignment horizontal="left"/>
      <protection locked="0"/>
    </xf>
    <xf numFmtId="0" fontId="5" fillId="0" borderId="0" xfId="4" applyFont="1" applyAlignment="1">
      <alignment horizontal="center"/>
    </xf>
    <xf numFmtId="17" fontId="4" fillId="0" borderId="0" xfId="4" applyNumberFormat="1" applyFont="1" applyAlignment="1" applyProtection="1">
      <alignment horizontal="left"/>
      <protection locked="0"/>
    </xf>
    <xf numFmtId="0" fontId="4" fillId="0" borderId="0" xfId="4" applyFont="1"/>
    <xf numFmtId="0" fontId="5" fillId="0" borderId="1" xfId="4" applyFont="1" applyBorder="1"/>
    <xf numFmtId="167" fontId="5" fillId="0" borderId="0" xfId="4" applyNumberFormat="1" applyFont="1" applyProtection="1">
      <protection locked="0"/>
    </xf>
    <xf numFmtId="5" fontId="5" fillId="0" borderId="0" xfId="4" applyNumberFormat="1" applyFont="1"/>
    <xf numFmtId="10" fontId="5" fillId="0" borderId="0" xfId="4" applyNumberFormat="1" applyFont="1" applyProtection="1">
      <protection locked="0"/>
    </xf>
    <xf numFmtId="5" fontId="5" fillId="0" borderId="0" xfId="4" applyNumberFormat="1" applyFont="1" applyProtection="1">
      <protection locked="0"/>
    </xf>
    <xf numFmtId="10" fontId="5" fillId="0" borderId="0" xfId="4" applyNumberFormat="1" applyFont="1"/>
    <xf numFmtId="37" fontId="5" fillId="0" borderId="0" xfId="4" applyNumberFormat="1" applyFont="1"/>
    <xf numFmtId="7" fontId="5" fillId="0" borderId="0" xfId="4" applyNumberFormat="1" applyFont="1"/>
    <xf numFmtId="2" fontId="5" fillId="0" borderId="0" xfId="4" applyNumberFormat="1" applyFont="1"/>
    <xf numFmtId="0" fontId="5" fillId="0" borderId="0" xfId="4" quotePrefix="1" applyFont="1"/>
    <xf numFmtId="7" fontId="5" fillId="0" borderId="0" xfId="4" applyNumberFormat="1" applyFont="1" applyProtection="1">
      <protection locked="0"/>
    </xf>
    <xf numFmtId="168" fontId="5" fillId="0" borderId="0" xfId="4" applyNumberFormat="1" applyFont="1" applyProtection="1">
      <protection locked="0"/>
    </xf>
    <xf numFmtId="37" fontId="5" fillId="0" borderId="0" xfId="4" applyNumberFormat="1" applyFont="1" applyProtection="1">
      <protection locked="0"/>
    </xf>
    <xf numFmtId="37" fontId="5" fillId="0" borderId="0" xfId="4" applyNumberFormat="1" applyFont="1" applyAlignment="1">
      <alignment horizontal="left"/>
    </xf>
    <xf numFmtId="0" fontId="5" fillId="0" borderId="0" xfId="0" applyFont="1"/>
    <xf numFmtId="39" fontId="5" fillId="0" borderId="0" xfId="4" applyNumberFormat="1" applyFont="1"/>
    <xf numFmtId="166" fontId="5" fillId="0" borderId="0" xfId="4" applyNumberFormat="1" applyFont="1"/>
    <xf numFmtId="171" fontId="5" fillId="0" borderId="0" xfId="2" applyNumberFormat="1" applyFont="1" applyFill="1" applyProtection="1">
      <protection locked="0"/>
    </xf>
    <xf numFmtId="3" fontId="5" fillId="0" borderId="0" xfId="4" applyNumberFormat="1" applyFont="1"/>
    <xf numFmtId="164" fontId="5" fillId="0" borderId="0" xfId="4" applyNumberFormat="1" applyFont="1"/>
    <xf numFmtId="167" fontId="5" fillId="0" borderId="0" xfId="2" applyNumberFormat="1" applyFont="1" applyFill="1" applyProtection="1">
      <protection locked="0"/>
    </xf>
    <xf numFmtId="0" fontId="4" fillId="2" borderId="1" xfId="4" applyFont="1" applyFill="1" applyBorder="1" applyAlignment="1">
      <alignment horizontal="centerContinuous"/>
    </xf>
    <xf numFmtId="38" fontId="5" fillId="0" borderId="0" xfId="4" applyNumberFormat="1" applyFont="1"/>
    <xf numFmtId="37" fontId="5" fillId="0" borderId="1" xfId="4" applyNumberFormat="1" applyFont="1" applyBorder="1"/>
    <xf numFmtId="38" fontId="5" fillId="0" borderId="1" xfId="4" applyNumberFormat="1" applyFont="1" applyBorder="1"/>
    <xf numFmtId="40" fontId="5" fillId="0" borderId="2" xfId="4" applyNumberFormat="1" applyFont="1" applyBorder="1"/>
    <xf numFmtId="0" fontId="4" fillId="0" borderId="0" xfId="4" applyFont="1" applyAlignment="1">
      <alignment horizontal="centerContinuous"/>
    </xf>
    <xf numFmtId="0" fontId="5" fillId="0" borderId="3" xfId="4" applyFont="1" applyBorder="1" applyAlignment="1">
      <alignment horizontal="left"/>
    </xf>
    <xf numFmtId="0" fontId="5" fillId="0" borderId="3" xfId="4" applyFont="1" applyBorder="1"/>
    <xf numFmtId="0" fontId="4" fillId="3" borderId="7" xfId="4" applyFont="1" applyFill="1" applyBorder="1"/>
    <xf numFmtId="0" fontId="4" fillId="3" borderId="8" xfId="4" applyFont="1" applyFill="1" applyBorder="1" applyAlignment="1">
      <alignment horizontal="center"/>
    </xf>
    <xf numFmtId="0" fontId="4" fillId="3" borderId="9" xfId="4" applyFont="1" applyFill="1" applyBorder="1" applyAlignment="1">
      <alignment horizontal="center"/>
    </xf>
    <xf numFmtId="165" fontId="5" fillId="0" borderId="0" xfId="1" applyNumberFormat="1" applyFont="1" applyProtection="1"/>
    <xf numFmtId="3" fontId="5" fillId="0" borderId="0" xfId="1" applyNumberFormat="1" applyFont="1"/>
    <xf numFmtId="37" fontId="5" fillId="0" borderId="0" xfId="2" applyNumberFormat="1" applyFont="1"/>
    <xf numFmtId="169" fontId="5" fillId="0" borderId="0" xfId="1" applyNumberFormat="1" applyFont="1" applyAlignment="1" applyProtection="1">
      <alignment horizontal="right"/>
    </xf>
    <xf numFmtId="37" fontId="5" fillId="0" borderId="0" xfId="1" applyFont="1" applyProtection="1"/>
    <xf numFmtId="37" fontId="5" fillId="0" borderId="0" xfId="1" applyFont="1"/>
    <xf numFmtId="0" fontId="5" fillId="0" borderId="0" xfId="4" quotePrefix="1" applyFont="1" applyAlignment="1">
      <alignment horizontal="left"/>
    </xf>
    <xf numFmtId="37" fontId="5" fillId="0" borderId="0" xfId="1" applyFont="1" applyBorder="1" applyProtection="1"/>
    <xf numFmtId="4" fontId="5" fillId="0" borderId="0" xfId="4" applyNumberFormat="1" applyFont="1" applyProtection="1">
      <protection locked="0"/>
    </xf>
    <xf numFmtId="0" fontId="5" fillId="0" borderId="0" xfId="0" quotePrefix="1" applyFont="1" applyAlignment="1">
      <alignment horizontal="left"/>
    </xf>
    <xf numFmtId="6" fontId="5" fillId="0" borderId="0" xfId="3" applyNumberFormat="1" applyFont="1" applyBorder="1" applyProtection="1"/>
    <xf numFmtId="169" fontId="5" fillId="0" borderId="0" xfId="1" applyNumberFormat="1" applyFont="1" applyProtection="1"/>
    <xf numFmtId="37" fontId="5" fillId="0" borderId="1" xfId="1" applyFont="1" applyBorder="1" applyProtection="1"/>
    <xf numFmtId="37" fontId="5" fillId="0" borderId="1" xfId="1" applyFont="1" applyBorder="1"/>
    <xf numFmtId="0" fontId="5" fillId="0" borderId="0" xfId="4" applyFont="1" applyAlignment="1">
      <alignment horizontal="centerContinuous"/>
    </xf>
    <xf numFmtId="0" fontId="4" fillId="3" borderId="7" xfId="4" applyFont="1" applyFill="1" applyBorder="1" applyAlignment="1">
      <alignment horizontal="centerContinuous"/>
    </xf>
    <xf numFmtId="0" fontId="4" fillId="3" borderId="8" xfId="4" applyFont="1" applyFill="1" applyBorder="1" applyAlignment="1">
      <alignment horizontal="centerContinuous"/>
    </xf>
    <xf numFmtId="0" fontId="4" fillId="3" borderId="9" xfId="4" applyFont="1" applyFill="1" applyBorder="1" applyAlignment="1">
      <alignment horizontal="centerContinuous"/>
    </xf>
    <xf numFmtId="0" fontId="5" fillId="0" borderId="4" xfId="4" applyFont="1" applyBorder="1"/>
    <xf numFmtId="0" fontId="5" fillId="0" borderId="5" xfId="4" applyFont="1" applyBorder="1"/>
    <xf numFmtId="0" fontId="5" fillId="0" borderId="1" xfId="4" quotePrefix="1" applyFont="1" applyBorder="1"/>
    <xf numFmtId="0" fontId="5" fillId="0" borderId="1" xfId="4" applyFont="1" applyBorder="1" applyAlignment="1">
      <alignment horizontal="right"/>
    </xf>
    <xf numFmtId="0" fontId="5" fillId="0" borderId="6" xfId="4" applyFont="1" applyBorder="1"/>
    <xf numFmtId="0" fontId="4" fillId="5" borderId="1" xfId="4" applyFont="1" applyFill="1" applyBorder="1" applyAlignment="1">
      <alignment horizontal="centerContinuous"/>
    </xf>
    <xf numFmtId="0" fontId="5" fillId="3" borderId="8" xfId="4" applyFont="1" applyFill="1" applyBorder="1" applyAlignment="1">
      <alignment horizontal="centerContinuous"/>
    </xf>
    <xf numFmtId="0" fontId="5" fillId="3" borderId="9" xfId="4" applyFont="1" applyFill="1" applyBorder="1" applyAlignment="1">
      <alignment horizontal="centerContinuous"/>
    </xf>
    <xf numFmtId="0" fontId="5" fillId="0" borderId="12" xfId="4" applyFont="1" applyBorder="1"/>
    <xf numFmtId="0" fontId="5" fillId="0" borderId="13" xfId="4" quotePrefix="1" applyFont="1" applyBorder="1" applyAlignment="1">
      <alignment horizontal="left"/>
    </xf>
    <xf numFmtId="0" fontId="5" fillId="0" borderId="13" xfId="4" applyFont="1" applyBorder="1"/>
    <xf numFmtId="0" fontId="5" fillId="0" borderId="13" xfId="4" applyFont="1" applyBorder="1" applyAlignment="1">
      <alignment horizontal="right"/>
    </xf>
    <xf numFmtId="0" fontId="5" fillId="0" borderId="14" xfId="4" applyFont="1" applyBorder="1"/>
    <xf numFmtId="0" fontId="5" fillId="0" borderId="1" xfId="4" quotePrefix="1" applyFont="1" applyBorder="1" applyAlignment="1">
      <alignment horizontal="left"/>
    </xf>
    <xf numFmtId="0" fontId="7" fillId="0" borderId="0" xfId="4" applyFont="1"/>
    <xf numFmtId="0" fontId="7" fillId="0" borderId="0" xfId="4" applyFont="1" applyAlignment="1">
      <alignment horizontal="left"/>
    </xf>
    <xf numFmtId="0" fontId="7" fillId="0" borderId="0" xfId="0" applyFont="1"/>
    <xf numFmtId="37" fontId="5" fillId="0" borderId="0" xfId="1" applyFont="1" applyAlignment="1" applyProtection="1"/>
    <xf numFmtId="37" fontId="5" fillId="0" borderId="1" xfId="1" applyFont="1" applyBorder="1" applyAlignment="1" applyProtection="1"/>
    <xf numFmtId="0" fontId="5" fillId="2" borderId="1" xfId="4" applyFont="1" applyFill="1" applyBorder="1" applyAlignment="1">
      <alignment horizontal="centerContinuous"/>
    </xf>
    <xf numFmtId="0" fontId="5" fillId="5" borderId="1" xfId="4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5" fillId="0" borderId="12" xfId="4" applyFont="1" applyBorder="1" applyAlignment="1">
      <alignment horizontal="right"/>
    </xf>
    <xf numFmtId="0" fontId="5" fillId="0" borderId="3" xfId="4" applyFont="1" applyBorder="1" applyAlignment="1">
      <alignment horizontal="right"/>
    </xf>
    <xf numFmtId="0" fontId="5" fillId="0" borderId="5" xfId="4" applyFont="1" applyBorder="1" applyAlignment="1">
      <alignment horizontal="right"/>
    </xf>
    <xf numFmtId="0" fontId="5" fillId="0" borderId="1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169" fontId="5" fillId="0" borderId="0" xfId="1" applyNumberFormat="1" applyFont="1" applyBorder="1" applyAlignment="1" applyProtection="1">
      <alignment horizontal="right"/>
    </xf>
    <xf numFmtId="0" fontId="4" fillId="5" borderId="1" xfId="4" applyFont="1" applyFill="1" applyBorder="1" applyAlignment="1">
      <alignment horizontal="center"/>
    </xf>
    <xf numFmtId="0" fontId="5" fillId="0" borderId="5" xfId="4" applyFont="1" applyBorder="1" applyAlignment="1">
      <alignment horizontal="left"/>
    </xf>
    <xf numFmtId="40" fontId="5" fillId="0" borderId="0" xfId="4" applyNumberFormat="1" applyFont="1"/>
    <xf numFmtId="169" fontId="5" fillId="0" borderId="0" xfId="1" applyNumberFormat="1" applyFont="1" applyFill="1" applyProtection="1"/>
    <xf numFmtId="37" fontId="5" fillId="0" borderId="0" xfId="1" applyFont="1" applyFill="1" applyProtection="1"/>
    <xf numFmtId="37" fontId="5" fillId="0" borderId="1" xfId="1" applyFont="1" applyFill="1" applyBorder="1" applyProtection="1"/>
    <xf numFmtId="5" fontId="5" fillId="0" borderId="0" xfId="1" applyNumberFormat="1" applyFont="1" applyProtection="1"/>
    <xf numFmtId="169" fontId="5" fillId="0" borderId="0" xfId="1" applyNumberFormat="1" applyFont="1" applyBorder="1" applyProtection="1"/>
    <xf numFmtId="3" fontId="5" fillId="0" borderId="0" xfId="1" applyNumberFormat="1" applyFont="1" applyBorder="1"/>
    <xf numFmtId="165" fontId="5" fillId="0" borderId="0" xfId="1" applyNumberFormat="1" applyFont="1" applyBorder="1" applyProtection="1"/>
    <xf numFmtId="169" fontId="5" fillId="0" borderId="0" xfId="1" applyNumberFormat="1" applyFont="1" applyFill="1" applyBorder="1" applyProtection="1"/>
    <xf numFmtId="37" fontId="5" fillId="0" borderId="0" xfId="2" applyNumberFormat="1" applyFont="1" applyBorder="1"/>
    <xf numFmtId="0" fontId="5" fillId="0" borderId="1" xfId="4" applyFont="1" applyBorder="1" applyAlignment="1">
      <alignment horizontal="left"/>
    </xf>
    <xf numFmtId="0" fontId="5" fillId="0" borderId="0" xfId="4" applyFont="1" applyAlignment="1">
      <alignment horizontal="fill"/>
    </xf>
    <xf numFmtId="7" fontId="5" fillId="0" borderId="0" xfId="4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4" quotePrefix="1" applyFont="1" applyAlignment="1">
      <alignment horizontal="center"/>
    </xf>
    <xf numFmtId="7" fontId="5" fillId="0" borderId="0" xfId="4" quotePrefix="1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167" fontId="5" fillId="0" borderId="0" xfId="4" applyNumberFormat="1" applyFont="1"/>
    <xf numFmtId="170" fontId="5" fillId="0" borderId="0" xfId="2" applyNumberFormat="1" applyFont="1"/>
    <xf numFmtId="5" fontId="5" fillId="0" borderId="0" xfId="2" applyFont="1"/>
    <xf numFmtId="167" fontId="5" fillId="0" borderId="0" xfId="2" applyNumberFormat="1" applyFont="1" applyAlignment="1" applyProtection="1">
      <alignment horizontal="right"/>
    </xf>
    <xf numFmtId="5" fontId="5" fillId="0" borderId="0" xfId="2" applyFont="1" applyProtection="1"/>
    <xf numFmtId="167" fontId="5" fillId="0" borderId="0" xfId="4" applyNumberFormat="1" applyFont="1" applyAlignment="1">
      <alignment horizontal="right"/>
    </xf>
    <xf numFmtId="17" fontId="4" fillId="0" borderId="0" xfId="4" applyNumberFormat="1" applyFont="1"/>
    <xf numFmtId="0" fontId="2" fillId="0" borderId="0" xfId="4" applyFont="1" applyAlignment="1">
      <alignment horizontal="center"/>
    </xf>
    <xf numFmtId="5" fontId="5" fillId="0" borderId="0" xfId="4" applyNumberFormat="1" applyFont="1" applyAlignment="1">
      <alignment horizontal="right"/>
    </xf>
    <xf numFmtId="37" fontId="5" fillId="0" borderId="0" xfId="1" applyFont="1" applyBorder="1" applyAlignment="1" applyProtection="1">
      <alignment horizontal="right"/>
    </xf>
    <xf numFmtId="0" fontId="2" fillId="0" borderId="1" xfId="4" applyFont="1" applyBorder="1" applyAlignment="1">
      <alignment horizontal="center"/>
    </xf>
    <xf numFmtId="0" fontId="2" fillId="0" borderId="13" xfId="4" quotePrefix="1" applyFont="1" applyBorder="1" applyAlignment="1">
      <alignment horizontal="left"/>
    </xf>
    <xf numFmtId="0" fontId="2" fillId="0" borderId="0" xfId="4" quotePrefix="1" applyFont="1" applyAlignment="1">
      <alignment horizontal="left"/>
    </xf>
    <xf numFmtId="40" fontId="5" fillId="0" borderId="4" xfId="4" applyNumberFormat="1" applyFont="1" applyBorder="1"/>
    <xf numFmtId="0" fontId="5" fillId="0" borderId="12" xfId="4" applyFont="1" applyBorder="1" applyAlignment="1">
      <alignment horizontal="left"/>
    </xf>
    <xf numFmtId="5" fontId="5" fillId="0" borderId="13" xfId="4" applyNumberFormat="1" applyFont="1" applyBorder="1"/>
    <xf numFmtId="40" fontId="5" fillId="0" borderId="14" xfId="4" applyNumberFormat="1" applyFont="1" applyBorder="1"/>
    <xf numFmtId="0" fontId="2" fillId="0" borderId="5" xfId="4" applyFont="1" applyBorder="1"/>
    <xf numFmtId="5" fontId="5" fillId="0" borderId="1" xfId="4" applyNumberFormat="1" applyFont="1" applyBorder="1"/>
    <xf numFmtId="40" fontId="5" fillId="0" borderId="6" xfId="4" applyNumberFormat="1" applyFont="1" applyBorder="1"/>
    <xf numFmtId="0" fontId="2" fillId="0" borderId="0" xfId="4" applyFont="1" applyAlignment="1">
      <alignment horizontal="left"/>
    </xf>
    <xf numFmtId="168" fontId="5" fillId="0" borderId="0" xfId="0" applyNumberFormat="1" applyFont="1" applyProtection="1">
      <protection locked="0"/>
    </xf>
    <xf numFmtId="37" fontId="5" fillId="0" borderId="1" xfId="4" applyNumberFormat="1" applyFont="1" applyBorder="1" applyProtection="1">
      <protection locked="0"/>
    </xf>
    <xf numFmtId="0" fontId="2" fillId="0" borderId="0" xfId="4" applyFont="1"/>
    <xf numFmtId="10" fontId="2" fillId="0" borderId="0" xfId="4" applyNumberFormat="1" applyFont="1" applyAlignment="1" applyProtection="1">
      <alignment horizontal="right"/>
      <protection locked="0"/>
    </xf>
    <xf numFmtId="37" fontId="8" fillId="0" borderId="0" xfId="4" applyNumberFormat="1" applyFont="1" applyProtection="1">
      <protection locked="0"/>
    </xf>
    <xf numFmtId="169" fontId="8" fillId="0" borderId="0" xfId="4" applyNumberFormat="1" applyFont="1"/>
    <xf numFmtId="6" fontId="8" fillId="0" borderId="0" xfId="3" applyNumberFormat="1" applyFont="1" applyProtection="1">
      <protection locked="0"/>
    </xf>
    <xf numFmtId="5" fontId="8" fillId="0" borderId="0" xfId="4" applyNumberFormat="1" applyFont="1"/>
    <xf numFmtId="0" fontId="5" fillId="0" borderId="0" xfId="4" applyFont="1" applyAlignment="1" applyProtection="1">
      <alignment horizontal="center"/>
      <protection locked="0"/>
    </xf>
    <xf numFmtId="5" fontId="2" fillId="0" borderId="0" xfId="4" applyNumberFormat="1" applyFont="1" applyProtection="1">
      <protection locked="0"/>
    </xf>
    <xf numFmtId="37" fontId="2" fillId="0" borderId="0" xfId="4" applyNumberFormat="1" applyFont="1" applyProtection="1">
      <protection locked="0"/>
    </xf>
    <xf numFmtId="169" fontId="2" fillId="0" borderId="0" xfId="4" applyNumberFormat="1" applyFont="1"/>
    <xf numFmtId="172" fontId="5" fillId="0" borderId="0" xfId="4" applyNumberFormat="1" applyFont="1" applyProtection="1">
      <protection locked="0"/>
    </xf>
    <xf numFmtId="10" fontId="5" fillId="0" borderId="0" xfId="17" applyNumberFormat="1" applyFont="1" applyProtection="1"/>
    <xf numFmtId="37" fontId="8" fillId="0" borderId="0" xfId="4" applyNumberFormat="1" applyFont="1"/>
    <xf numFmtId="0" fontId="2" fillId="0" borderId="0" xfId="9" applyFont="1"/>
    <xf numFmtId="0" fontId="2" fillId="0" borderId="0" xfId="9" applyFont="1" applyAlignment="1">
      <alignment horizontal="center"/>
    </xf>
    <xf numFmtId="38" fontId="2" fillId="0" borderId="0" xfId="9" applyNumberFormat="1" applyFont="1"/>
    <xf numFmtId="175" fontId="2" fillId="0" borderId="0" xfId="9" applyNumberFormat="1" applyFont="1" applyAlignment="1">
      <alignment horizontal="right"/>
    </xf>
    <xf numFmtId="0" fontId="2" fillId="0" borderId="10" xfId="5" applyBorder="1" applyAlignment="1">
      <alignment wrapText="1"/>
    </xf>
    <xf numFmtId="38" fontId="2" fillId="0" borderId="0" xfId="6" applyNumberFormat="1" applyFont="1" applyAlignment="1">
      <alignment horizontal="centerContinuous"/>
    </xf>
    <xf numFmtId="38" fontId="2" fillId="0" borderId="0" xfId="6" applyNumberFormat="1" applyFont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5" applyBorder="1" applyAlignment="1">
      <alignment horizontal="left" wrapText="1"/>
    </xf>
    <xf numFmtId="0" fontId="2" fillId="0" borderId="9" xfId="5" applyBorder="1" applyAlignment="1">
      <alignment wrapText="1"/>
    </xf>
    <xf numFmtId="0" fontId="2" fillId="0" borderId="16" xfId="5" applyBorder="1" applyAlignment="1">
      <alignment wrapText="1"/>
    </xf>
    <xf numFmtId="0" fontId="2" fillId="0" borderId="17" xfId="5" applyBorder="1" applyAlignment="1">
      <alignment wrapText="1"/>
    </xf>
    <xf numFmtId="0" fontId="4" fillId="0" borderId="0" xfId="5" applyFont="1" applyAlignment="1">
      <alignment horizontal="centerContinuous" wrapText="1"/>
    </xf>
    <xf numFmtId="0" fontId="2" fillId="0" borderId="0" xfId="5" applyAlignment="1">
      <alignment horizontal="centerContinuous" wrapText="1"/>
    </xf>
    <xf numFmtId="0" fontId="2" fillId="0" borderId="0" xfId="5" applyAlignment="1">
      <alignment wrapText="1"/>
    </xf>
    <xf numFmtId="0" fontId="4" fillId="3" borderId="10" xfId="5" applyFont="1" applyFill="1" applyBorder="1" applyAlignment="1">
      <alignment horizontal="center" wrapText="1"/>
    </xf>
    <xf numFmtId="0" fontId="2" fillId="0" borderId="10" xfId="5" applyBorder="1" applyAlignment="1">
      <alignment horizontal="center" wrapText="1"/>
    </xf>
    <xf numFmtId="0" fontId="2" fillId="0" borderId="10" xfId="5" applyBorder="1" applyAlignment="1">
      <alignment horizontal="center" vertical="top" wrapText="1"/>
    </xf>
    <xf numFmtId="0" fontId="2" fillId="0" borderId="10" xfId="5" applyBorder="1" applyAlignment="1">
      <alignment vertical="top" wrapText="1"/>
    </xf>
    <xf numFmtId="0" fontId="2" fillId="0" borderId="10" xfId="4" applyFont="1" applyBorder="1" applyAlignment="1">
      <alignment horizontal="left" wrapText="1"/>
    </xf>
    <xf numFmtId="0" fontId="2" fillId="0" borderId="10" xfId="4" applyFont="1" applyBorder="1" applyAlignment="1">
      <alignment wrapText="1"/>
    </xf>
    <xf numFmtId="0" fontId="2" fillId="0" borderId="10" xfId="4" applyFont="1" applyBorder="1" applyAlignment="1">
      <alignment horizontal="left" vertical="top" wrapText="1"/>
    </xf>
    <xf numFmtId="0" fontId="2" fillId="7" borderId="10" xfId="5" applyFill="1" applyBorder="1" applyAlignment="1">
      <alignment wrapText="1"/>
    </xf>
    <xf numFmtId="0" fontId="2" fillId="0" borderId="0" xfId="4" applyFont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0" xfId="4" applyFont="1" applyAlignment="1">
      <alignment wrapText="1"/>
    </xf>
    <xf numFmtId="37" fontId="2" fillId="0" borderId="0" xfId="1" applyFont="1" applyFill="1" applyAlignment="1"/>
    <xf numFmtId="37" fontId="2" fillId="0" borderId="0" xfId="1" applyFont="1" applyFill="1" applyBorder="1" applyAlignment="1"/>
    <xf numFmtId="37" fontId="2" fillId="0" borderId="0" xfId="1" applyFont="1" applyFill="1"/>
    <xf numFmtId="37" fontId="2" fillId="0" borderId="0" xfId="1" applyFont="1" applyFill="1" applyBorder="1"/>
    <xf numFmtId="37" fontId="5" fillId="0" borderId="0" xfId="1" applyFont="1" applyBorder="1" applyAlignment="1" applyProtection="1"/>
    <xf numFmtId="37" fontId="5" fillId="0" borderId="0" xfId="1" applyFont="1" applyFill="1" applyBorder="1" applyProtection="1"/>
    <xf numFmtId="37" fontId="5" fillId="0" borderId="0" xfId="1" applyFont="1" applyBorder="1"/>
    <xf numFmtId="0" fontId="2" fillId="0" borderId="7" xfId="0" applyFont="1" applyBorder="1"/>
    <xf numFmtId="0" fontId="2" fillId="0" borderId="8" xfId="0" applyFont="1" applyBorder="1"/>
    <xf numFmtId="2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5" xfId="0" applyFont="1" applyBorder="1"/>
    <xf numFmtId="2" fontId="2" fillId="0" borderId="15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indent="2"/>
    </xf>
    <xf numFmtId="0" fontId="2" fillId="0" borderId="17" xfId="0" applyFont="1" applyBorder="1"/>
    <xf numFmtId="2" fontId="2" fillId="0" borderId="17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4" fillId="0" borderId="0" xfId="9" applyFont="1"/>
    <xf numFmtId="0" fontId="4" fillId="0" borderId="0" xfId="9" applyFont="1" applyAlignment="1">
      <alignment horizontal="centerContinuous"/>
    </xf>
    <xf numFmtId="0" fontId="2" fillId="0" borderId="0" xfId="9" applyFont="1" applyAlignment="1">
      <alignment horizontal="centerContinuous"/>
    </xf>
    <xf numFmtId="0" fontId="4" fillId="0" borderId="0" xfId="9" applyFont="1" applyAlignment="1">
      <alignment horizontal="left"/>
    </xf>
    <xf numFmtId="0" fontId="4" fillId="0" borderId="0" xfId="9" applyFont="1" applyAlignment="1">
      <alignment horizontal="center"/>
    </xf>
    <xf numFmtId="0" fontId="12" fillId="0" borderId="0" xfId="9" applyFont="1"/>
    <xf numFmtId="0" fontId="12" fillId="0" borderId="0" xfId="9" applyFont="1" applyAlignment="1">
      <alignment horizontal="center"/>
    </xf>
    <xf numFmtId="0" fontId="4" fillId="0" borderId="1" xfId="9" applyFont="1" applyBorder="1" applyAlignment="1">
      <alignment horizontal="center"/>
    </xf>
    <xf numFmtId="0" fontId="4" fillId="0" borderId="11" xfId="9" applyFont="1" applyBorder="1"/>
    <xf numFmtId="38" fontId="4" fillId="0" borderId="11" xfId="9" applyNumberFormat="1" applyFont="1" applyBorder="1"/>
    <xf numFmtId="38" fontId="4" fillId="0" borderId="0" xfId="9" applyNumberFormat="1" applyFont="1"/>
    <xf numFmtId="6" fontId="4" fillId="0" borderId="0" xfId="9" applyNumberFormat="1" applyFont="1"/>
    <xf numFmtId="0" fontId="2" fillId="0" borderId="0" xfId="9" applyFont="1" applyAlignment="1">
      <alignment horizontal="right"/>
    </xf>
    <xf numFmtId="6" fontId="2" fillId="0" borderId="0" xfId="9" applyNumberFormat="1" applyFont="1"/>
    <xf numFmtId="38" fontId="2" fillId="0" borderId="8" xfId="6" applyNumberFormat="1" applyFont="1" applyBorder="1" applyAlignment="1">
      <alignment horizontal="center"/>
    </xf>
    <xf numFmtId="0" fontId="4" fillId="0" borderId="0" xfId="6" applyFont="1" applyAlignment="1">
      <alignment horizontal="centerContinuous"/>
    </xf>
    <xf numFmtId="0" fontId="2" fillId="0" borderId="0" xfId="6" applyFont="1" applyAlignment="1">
      <alignment horizontal="centerContinuous"/>
    </xf>
    <xf numFmtId="0" fontId="2" fillId="0" borderId="0" xfId="6" applyFont="1"/>
    <xf numFmtId="0" fontId="4" fillId="0" borderId="0" xfId="6" applyFont="1" applyAlignment="1">
      <alignment horizontal="center"/>
    </xf>
    <xf numFmtId="0" fontId="4" fillId="0" borderId="0" xfId="6" applyFont="1"/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1"/>
    </xf>
    <xf numFmtId="0" fontId="4" fillId="0" borderId="0" xfId="6" applyFont="1" applyAlignment="1">
      <alignment horizontal="left"/>
    </xf>
    <xf numFmtId="0" fontId="2" fillId="0" borderId="0" xfId="6" applyFont="1" applyAlignment="1">
      <alignment horizontal="center"/>
    </xf>
    <xf numFmtId="38" fontId="2" fillId="0" borderId="0" xfId="6" applyNumberFormat="1" applyFont="1" applyAlignment="1">
      <alignment horizontal="center"/>
    </xf>
    <xf numFmtId="0" fontId="2" fillId="0" borderId="1" xfId="6" applyFont="1" applyBorder="1" applyAlignment="1">
      <alignment horizontal="center"/>
    </xf>
    <xf numFmtId="37" fontId="2" fillId="0" borderId="0" xfId="6" applyNumberFormat="1" applyFont="1"/>
    <xf numFmtId="37" fontId="2" fillId="0" borderId="1" xfId="6" applyNumberFormat="1" applyFont="1" applyBorder="1"/>
    <xf numFmtId="5" fontId="2" fillId="0" borderId="0" xfId="6" applyNumberFormat="1" applyFont="1"/>
    <xf numFmtId="37" fontId="2" fillId="0" borderId="2" xfId="6" applyNumberFormat="1" applyFont="1" applyBorder="1"/>
    <xf numFmtId="5" fontId="2" fillId="0" borderId="2" xfId="6" applyNumberFormat="1" applyFont="1" applyBorder="1"/>
    <xf numFmtId="0" fontId="2" fillId="0" borderId="0" xfId="5"/>
    <xf numFmtId="2" fontId="2" fillId="8" borderId="10" xfId="0" applyNumberFormat="1" applyFont="1" applyFill="1" applyBorder="1" applyAlignment="1">
      <alignment horizontal="center"/>
    </xf>
    <xf numFmtId="4" fontId="2" fillId="8" borderId="10" xfId="0" applyNumberFormat="1" applyFont="1" applyFill="1" applyBorder="1" applyAlignment="1">
      <alignment horizontal="center"/>
    </xf>
    <xf numFmtId="4" fontId="2" fillId="8" borderId="15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9" borderId="10" xfId="5" applyFill="1" applyBorder="1" applyAlignment="1">
      <alignment wrapText="1"/>
    </xf>
    <xf numFmtId="7" fontId="2" fillId="9" borderId="10" xfId="5" applyNumberFormat="1" applyFill="1" applyBorder="1" applyAlignment="1">
      <alignment wrapText="1"/>
    </xf>
    <xf numFmtId="5" fontId="2" fillId="9" borderId="10" xfId="2" applyFont="1" applyFill="1" applyBorder="1" applyAlignment="1">
      <alignment wrapText="1"/>
    </xf>
    <xf numFmtId="10" fontId="2" fillId="9" borderId="10" xfId="5" applyNumberFormat="1" applyFill="1" applyBorder="1" applyAlignment="1">
      <alignment wrapText="1"/>
    </xf>
    <xf numFmtId="0" fontId="2" fillId="10" borderId="10" xfId="5" applyFill="1" applyBorder="1" applyAlignment="1">
      <alignment wrapText="1"/>
    </xf>
    <xf numFmtId="10" fontId="2" fillId="11" borderId="10" xfId="5" applyNumberFormat="1" applyFill="1" applyBorder="1" applyAlignment="1">
      <alignment wrapText="1"/>
    </xf>
    <xf numFmtId="0" fontId="2" fillId="11" borderId="10" xfId="5" applyFill="1" applyBorder="1" applyAlignment="1">
      <alignment wrapText="1"/>
    </xf>
    <xf numFmtId="5" fontId="2" fillId="11" borderId="10" xfId="2" applyFont="1" applyFill="1" applyBorder="1" applyAlignment="1">
      <alignment wrapText="1"/>
    </xf>
    <xf numFmtId="172" fontId="2" fillId="11" borderId="10" xfId="2" applyNumberFormat="1" applyFont="1" applyFill="1" applyBorder="1" applyAlignment="1">
      <alignment wrapText="1"/>
    </xf>
    <xf numFmtId="10" fontId="2" fillId="9" borderId="10" xfId="12" applyNumberFormat="1" applyFont="1" applyFill="1" applyBorder="1" applyAlignment="1">
      <alignment wrapText="1"/>
    </xf>
    <xf numFmtId="168" fontId="2" fillId="11" borderId="10" xfId="12" applyNumberFormat="1" applyFont="1" applyFill="1" applyBorder="1" applyAlignment="1">
      <alignment wrapText="1"/>
    </xf>
    <xf numFmtId="10" fontId="2" fillId="0" borderId="10" xfId="12" applyNumberFormat="1" applyFont="1" applyFill="1" applyBorder="1" applyAlignment="1">
      <alignment wrapText="1"/>
    </xf>
    <xf numFmtId="10" fontId="2" fillId="11" borderId="10" xfId="12" applyNumberFormat="1" applyFont="1" applyFill="1" applyBorder="1" applyAlignment="1">
      <alignment wrapText="1"/>
    </xf>
    <xf numFmtId="9" fontId="2" fillId="10" borderId="10" xfId="12" applyFont="1" applyFill="1" applyBorder="1" applyAlignment="1">
      <alignment wrapText="1"/>
    </xf>
    <xf numFmtId="0" fontId="4" fillId="0" borderId="1" xfId="6" applyFont="1" applyBorder="1" applyAlignment="1">
      <alignment horizontal="center"/>
    </xf>
    <xf numFmtId="37" fontId="2" fillId="0" borderId="13" xfId="6" applyNumberFormat="1" applyFont="1" applyBorder="1"/>
    <xf numFmtId="0" fontId="5" fillId="0" borderId="13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2" fillId="0" borderId="1" xfId="4" quotePrefix="1" applyFont="1" applyBorder="1"/>
    <xf numFmtId="0" fontId="5" fillId="0" borderId="8" xfId="4" applyFont="1" applyBorder="1"/>
    <xf numFmtId="37" fontId="2" fillId="0" borderId="0" xfId="4" applyNumberFormat="1" applyFont="1"/>
    <xf numFmtId="0" fontId="2" fillId="0" borderId="1" xfId="4" quotePrefix="1" applyFont="1" applyBorder="1" applyAlignment="1">
      <alignment horizontal="left"/>
    </xf>
    <xf numFmtId="165" fontId="5" fillId="0" borderId="0" xfId="4" applyNumberFormat="1" applyFont="1"/>
    <xf numFmtId="5" fontId="2" fillId="0" borderId="1" xfId="4" applyNumberFormat="1" applyFont="1" applyBorder="1" applyProtection="1">
      <protection locked="0"/>
    </xf>
    <xf numFmtId="1" fontId="2" fillId="0" borderId="0" xfId="4" applyNumberFormat="1" applyFont="1" applyProtection="1">
      <protection locked="0"/>
    </xf>
    <xf numFmtId="3" fontId="2" fillId="0" borderId="0" xfId="4" applyNumberFormat="1" applyFont="1" applyProtection="1">
      <protection locked="0"/>
    </xf>
    <xf numFmtId="5" fontId="8" fillId="0" borderId="0" xfId="4" applyNumberFormat="1" applyFont="1" applyProtection="1">
      <protection locked="0"/>
    </xf>
    <xf numFmtId="6" fontId="8" fillId="0" borderId="0" xfId="3" applyNumberFormat="1" applyFont="1" applyBorder="1" applyProtection="1">
      <protection locked="0"/>
    </xf>
    <xf numFmtId="6" fontId="2" fillId="0" borderId="0" xfId="3" applyNumberFormat="1" applyFont="1" applyProtection="1">
      <protection locked="0"/>
    </xf>
    <xf numFmtId="5" fontId="2" fillId="0" borderId="0" xfId="4" applyNumberFormat="1" applyFont="1"/>
    <xf numFmtId="7" fontId="2" fillId="0" borderId="0" xfId="6" applyNumberFormat="1" applyFont="1"/>
    <xf numFmtId="39" fontId="2" fillId="0" borderId="0" xfId="6" applyNumberFormat="1" applyFont="1"/>
    <xf numFmtId="7" fontId="2" fillId="0" borderId="2" xfId="6" applyNumberFormat="1" applyFont="1" applyBorder="1"/>
    <xf numFmtId="0" fontId="15" fillId="0" borderId="0" xfId="23"/>
    <xf numFmtId="0" fontId="16" fillId="12" borderId="0" xfId="0" applyFont="1" applyFill="1"/>
    <xf numFmtId="0" fontId="0" fillId="13" borderId="0" xfId="0" applyFill="1"/>
    <xf numFmtId="0" fontId="0" fillId="0" borderId="2" xfId="0" applyBorder="1"/>
    <xf numFmtId="6" fontId="5" fillId="0" borderId="0" xfId="4" applyNumberFormat="1" applyFont="1"/>
    <xf numFmtId="8" fontId="5" fillId="0" borderId="0" xfId="4" applyNumberFormat="1" applyFont="1"/>
    <xf numFmtId="0" fontId="4" fillId="0" borderId="1" xfId="6" applyFont="1" applyBorder="1" applyAlignment="1">
      <alignment horizontal="centerContinuous"/>
    </xf>
    <xf numFmtId="0" fontId="4" fillId="14" borderId="0" xfId="19" applyFont="1" applyFill="1" applyAlignment="1">
      <alignment horizontal="centerContinuous"/>
    </xf>
    <xf numFmtId="0" fontId="12" fillId="14" borderId="0" xfId="19" applyFont="1" applyFill="1"/>
    <xf numFmtId="178" fontId="12" fillId="14" borderId="0" xfId="20" applyFont="1" applyFill="1"/>
    <xf numFmtId="178" fontId="2" fillId="14" borderId="0" xfId="20" applyFont="1" applyFill="1"/>
    <xf numFmtId="179" fontId="2" fillId="14" borderId="0" xfId="20" applyNumberFormat="1" applyFont="1" applyFill="1"/>
    <xf numFmtId="8" fontId="2" fillId="14" borderId="0" xfId="20" applyNumberFormat="1" applyFont="1" applyFill="1"/>
    <xf numFmtId="178" fontId="2" fillId="14" borderId="0" xfId="20" quotePrefix="1" applyFont="1" applyFill="1"/>
    <xf numFmtId="38" fontId="2" fillId="14" borderId="0" xfId="20" applyNumberFormat="1" applyFont="1" applyFill="1"/>
    <xf numFmtId="39" fontId="2" fillId="14" borderId="0" xfId="1" applyNumberFormat="1" applyFont="1" applyFill="1"/>
    <xf numFmtId="178" fontId="14" fillId="14" borderId="0" xfId="20" applyFont="1" applyFill="1"/>
    <xf numFmtId="8" fontId="2" fillId="14" borderId="11" xfId="20" applyNumberFormat="1" applyFont="1" applyFill="1" applyBorder="1"/>
    <xf numFmtId="180" fontId="2" fillId="14" borderId="0" xfId="20" applyNumberFormat="1" applyFont="1" applyFill="1"/>
    <xf numFmtId="173" fontId="2" fillId="14" borderId="0" xfId="1" applyNumberFormat="1" applyFont="1" applyFill="1"/>
    <xf numFmtId="39" fontId="2" fillId="0" borderId="1" xfId="6" applyNumberFormat="1" applyFont="1" applyBorder="1"/>
    <xf numFmtId="168" fontId="2" fillId="9" borderId="10" xfId="5" applyNumberFormat="1" applyFill="1" applyBorder="1" applyAlignment="1">
      <alignment wrapText="1"/>
    </xf>
    <xf numFmtId="0" fontId="4" fillId="0" borderId="0" xfId="5" applyFont="1"/>
    <xf numFmtId="0" fontId="2" fillId="0" borderId="0" xfId="9" applyFont="1" applyAlignment="1">
      <alignment vertical="center"/>
    </xf>
    <xf numFmtId="10" fontId="2" fillId="0" borderId="10" xfId="5" applyNumberFormat="1" applyBorder="1" applyAlignment="1">
      <alignment wrapText="1"/>
    </xf>
    <xf numFmtId="0" fontId="33" fillId="12" borderId="0" xfId="0" applyFont="1" applyFill="1"/>
    <xf numFmtId="0" fontId="0" fillId="13" borderId="27" xfId="0" applyFill="1" applyBorder="1"/>
    <xf numFmtId="0" fontId="0" fillId="12" borderId="28" xfId="0" applyFill="1" applyBorder="1"/>
    <xf numFmtId="5" fontId="2" fillId="0" borderId="0" xfId="1" applyNumberFormat="1" applyFont="1" applyFill="1" applyAlignment="1"/>
    <xf numFmtId="0" fontId="2" fillId="14" borderId="0" xfId="11" applyFill="1"/>
    <xf numFmtId="0" fontId="2" fillId="14" borderId="0" xfId="11" applyFill="1" applyAlignment="1">
      <alignment horizontal="right"/>
    </xf>
    <xf numFmtId="0" fontId="2" fillId="14" borderId="0" xfId="11" applyFill="1" applyAlignment="1">
      <alignment horizontal="center"/>
    </xf>
    <xf numFmtId="0" fontId="2" fillId="14" borderId="1" xfId="11" applyFill="1" applyBorder="1" applyAlignment="1">
      <alignment horizontal="center"/>
    </xf>
    <xf numFmtId="0" fontId="2" fillId="14" borderId="0" xfId="11" applyFill="1" applyAlignment="1">
      <alignment horizontal="left"/>
    </xf>
    <xf numFmtId="0" fontId="2" fillId="14" borderId="0" xfId="11" applyFill="1" applyAlignment="1">
      <alignment horizontal="left" indent="1"/>
    </xf>
    <xf numFmtId="37" fontId="2" fillId="14" borderId="0" xfId="11" applyNumberFormat="1" applyFill="1"/>
    <xf numFmtId="37" fontId="2" fillId="14" borderId="0" xfId="1" applyFont="1" applyFill="1"/>
    <xf numFmtId="5" fontId="2" fillId="14" borderId="0" xfId="11" applyNumberFormat="1" applyFill="1"/>
    <xf numFmtId="10" fontId="2" fillId="14" borderId="0" xfId="12" applyNumberFormat="1" applyFont="1" applyFill="1"/>
    <xf numFmtId="165" fontId="2" fillId="14" borderId="0" xfId="1" applyNumberFormat="1" applyFont="1" applyFill="1"/>
    <xf numFmtId="10" fontId="2" fillId="14" borderId="0" xfId="12" applyNumberFormat="1" applyFont="1" applyFill="1" applyBorder="1"/>
    <xf numFmtId="37" fontId="2" fillId="14" borderId="1" xfId="11" applyNumberFormat="1" applyFill="1" applyBorder="1"/>
    <xf numFmtId="37" fontId="2" fillId="14" borderId="1" xfId="1" applyFont="1" applyFill="1" applyBorder="1"/>
    <xf numFmtId="10" fontId="2" fillId="14" borderId="1" xfId="12" applyNumberFormat="1" applyFont="1" applyFill="1" applyBorder="1"/>
    <xf numFmtId="37" fontId="2" fillId="0" borderId="1" xfId="11" applyNumberFormat="1" applyBorder="1"/>
    <xf numFmtId="0" fontId="2" fillId="14" borderId="0" xfId="11" applyFill="1" applyAlignment="1">
      <alignment horizontal="left" indent="2"/>
    </xf>
    <xf numFmtId="37" fontId="2" fillId="14" borderId="1" xfId="11" quotePrefix="1" applyNumberFormat="1" applyFill="1" applyBorder="1"/>
    <xf numFmtId="37" fontId="2" fillId="14" borderId="2" xfId="11" applyNumberFormat="1" applyFill="1" applyBorder="1"/>
    <xf numFmtId="37" fontId="2" fillId="14" borderId="2" xfId="1" applyFont="1" applyFill="1" applyBorder="1"/>
    <xf numFmtId="5" fontId="2" fillId="14" borderId="2" xfId="11" applyNumberFormat="1" applyFill="1" applyBorder="1"/>
    <xf numFmtId="10" fontId="2" fillId="14" borderId="2" xfId="12" applyNumberFormat="1" applyFont="1" applyFill="1" applyBorder="1"/>
    <xf numFmtId="0" fontId="2" fillId="14" borderId="0" xfId="11" quotePrefix="1" applyFill="1"/>
    <xf numFmtId="174" fontId="2" fillId="14" borderId="0" xfId="12" applyNumberFormat="1" applyFont="1" applyFill="1"/>
    <xf numFmtId="7" fontId="2" fillId="14" borderId="0" xfId="11" applyNumberFormat="1" applyFill="1"/>
    <xf numFmtId="176" fontId="2" fillId="14" borderId="0" xfId="1" applyNumberFormat="1" applyFont="1" applyFill="1"/>
    <xf numFmtId="177" fontId="2" fillId="14" borderId="0" xfId="12" applyNumberFormat="1" applyFont="1" applyFill="1"/>
    <xf numFmtId="37" fontId="2" fillId="0" borderId="0" xfId="1" applyFont="1" applyFill="1" applyAlignment="1">
      <alignment horizontal="right"/>
    </xf>
    <xf numFmtId="37" fontId="2" fillId="0" borderId="0" xfId="1" applyFont="1" applyFill="1" applyBorder="1" applyAlignment="1">
      <alignment horizontal="right"/>
    </xf>
    <xf numFmtId="0" fontId="2" fillId="14" borderId="0" xfId="19" applyFill="1"/>
    <xf numFmtId="0" fontId="2" fillId="14" borderId="8" xfId="19" applyFill="1" applyBorder="1" applyAlignment="1">
      <alignment horizontal="center"/>
    </xf>
    <xf numFmtId="0" fontId="2" fillId="14" borderId="0" xfId="19" applyFill="1" applyAlignment="1">
      <alignment horizontal="center"/>
    </xf>
    <xf numFmtId="167" fontId="2" fillId="0" borderId="0" xfId="19" applyNumberFormat="1"/>
    <xf numFmtId="169" fontId="2" fillId="0" borderId="1" xfId="19" applyNumberFormat="1" applyBorder="1"/>
    <xf numFmtId="169" fontId="2" fillId="14" borderId="0" xfId="19" applyNumberFormat="1" applyFill="1"/>
    <xf numFmtId="0" fontId="2" fillId="14" borderId="0" xfId="19" quotePrefix="1" applyFill="1"/>
    <xf numFmtId="0" fontId="2" fillId="14" borderId="0" xfId="19" applyFill="1" applyAlignment="1">
      <alignment horizontal="left" indent="1"/>
    </xf>
    <xf numFmtId="167" fontId="2" fillId="14" borderId="0" xfId="19" applyNumberFormat="1" applyFill="1"/>
    <xf numFmtId="5" fontId="2" fillId="0" borderId="0" xfId="2" applyFont="1" applyFill="1"/>
    <xf numFmtId="37" fontId="2" fillId="0" borderId="1" xfId="1" applyFont="1" applyFill="1" applyBorder="1"/>
    <xf numFmtId="5" fontId="2" fillId="14" borderId="0" xfId="19" applyNumberFormat="1" applyFill="1"/>
    <xf numFmtId="0" fontId="2" fillId="14" borderId="1" xfId="19" applyFill="1" applyBorder="1"/>
    <xf numFmtId="0" fontId="2" fillId="0" borderId="0" xfId="19"/>
    <xf numFmtId="5" fontId="2" fillId="0" borderId="0" xfId="19" applyNumberFormat="1"/>
    <xf numFmtId="37" fontId="2" fillId="0" borderId="1" xfId="19" applyNumberFormat="1" applyBorder="1"/>
    <xf numFmtId="7" fontId="2" fillId="14" borderId="0" xfId="19" applyNumberFormat="1" applyFill="1"/>
    <xf numFmtId="0" fontId="34" fillId="0" borderId="0" xfId="24" applyFont="1"/>
    <xf numFmtId="180" fontId="2" fillId="0" borderId="0" xfId="20" applyNumberFormat="1" applyFont="1" applyFill="1"/>
    <xf numFmtId="182" fontId="2" fillId="14" borderId="0" xfId="20" applyNumberFormat="1" applyFont="1" applyFill="1"/>
    <xf numFmtId="181" fontId="2" fillId="0" borderId="0" xfId="1" applyNumberFormat="1" applyFont="1" applyFill="1"/>
    <xf numFmtId="0" fontId="2" fillId="14" borderId="0" xfId="19" applyFill="1" applyAlignment="1">
      <alignment horizontal="right"/>
    </xf>
    <xf numFmtId="0" fontId="4" fillId="14" borderId="0" xfId="11" applyFont="1" applyFill="1" applyAlignment="1">
      <alignment horizontal="center"/>
    </xf>
    <xf numFmtId="0" fontId="2" fillId="14" borderId="1" xfId="19" applyFill="1" applyBorder="1" applyAlignment="1">
      <alignment horizontal="center"/>
    </xf>
    <xf numFmtId="0" fontId="4" fillId="14" borderId="0" xfId="19" applyFont="1" applyFill="1" applyAlignment="1">
      <alignment horizontal="center"/>
    </xf>
  </cellXfs>
  <cellStyles count="66">
    <cellStyle name="20% - Accent1" xfId="42" builtinId="30" customBuiltin="1"/>
    <cellStyle name="20% - Accent2" xfId="46" builtinId="34" customBuiltin="1"/>
    <cellStyle name="20% - Accent3" xfId="50" builtinId="38" customBuiltin="1"/>
    <cellStyle name="20% - Accent4" xfId="54" builtinId="42" customBuiltin="1"/>
    <cellStyle name="20% - Accent5" xfId="58" builtinId="46" customBuiltin="1"/>
    <cellStyle name="20% - Accent6" xfId="62" builtinId="50" customBuiltin="1"/>
    <cellStyle name="40% - Accent1" xfId="43" builtinId="31" customBuiltin="1"/>
    <cellStyle name="40% - Accent2" xfId="47" builtinId="35" customBuiltin="1"/>
    <cellStyle name="40% - Accent3" xfId="51" builtinId="39" customBuiltin="1"/>
    <cellStyle name="40% - Accent4" xfId="55" builtinId="43" customBuiltin="1"/>
    <cellStyle name="40% - Accent5" xfId="59" builtinId="47" customBuiltin="1"/>
    <cellStyle name="40% - Accent6" xfId="63" builtinId="51" customBuiltin="1"/>
    <cellStyle name="60% - Accent1" xfId="44" builtinId="32" customBuiltin="1"/>
    <cellStyle name="60% - Accent2" xfId="48" builtinId="36" customBuiltin="1"/>
    <cellStyle name="60% - Accent3" xfId="52" builtinId="40" customBuiltin="1"/>
    <cellStyle name="60% - Accent4" xfId="56" builtinId="44" customBuiltin="1"/>
    <cellStyle name="60% - Accent5" xfId="60" builtinId="48" customBuiltin="1"/>
    <cellStyle name="60% - Accent6" xfId="64" builtinId="52" customBuiltin="1"/>
    <cellStyle name="Accent1" xfId="41" builtinId="29" customBuiltin="1"/>
    <cellStyle name="Accent2" xfId="45" builtinId="33" customBuiltin="1"/>
    <cellStyle name="Accent3" xfId="49" builtinId="37" customBuiltin="1"/>
    <cellStyle name="Accent4" xfId="53" builtinId="41" customBuiltin="1"/>
    <cellStyle name="Accent5" xfId="57" builtinId="45" customBuiltin="1"/>
    <cellStyle name="Accent6" xfId="61" builtinId="49" customBuiltin="1"/>
    <cellStyle name="Bad" xfId="31" builtinId="27" customBuiltin="1"/>
    <cellStyle name="Calculation" xfId="35" builtinId="22" customBuiltin="1"/>
    <cellStyle name="Check Cell" xfId="37" builtinId="23" customBuiltin="1"/>
    <cellStyle name="Comma" xfId="1" builtinId="3"/>
    <cellStyle name="Comma 2" xfId="16" xr:uid="{00000000-0005-0000-0000-000001000000}"/>
    <cellStyle name="Comma 2 2" xfId="22" xr:uid="{E8B3922F-8679-4E58-8523-4A236DDE28A0}"/>
    <cellStyle name="Currency" xfId="2" builtinId="4"/>
    <cellStyle name="Currency 2" xfId="10" xr:uid="{00000000-0005-0000-0000-000004000000}"/>
    <cellStyle name="Currency 2 2 2" xfId="21" xr:uid="{6364BE11-4EA5-4E2E-8FEF-4190CB037474}"/>
    <cellStyle name="Currency 3" xfId="14" xr:uid="{00000000-0005-0000-0000-000005000000}"/>
    <cellStyle name="Currency_Bencost 09 with Modification" xfId="3" xr:uid="{00000000-0005-0000-0000-000006000000}"/>
    <cellStyle name="Data Field" xfId="7" xr:uid="{00000000-0005-0000-0000-000007000000}"/>
    <cellStyle name="Data Name" xfId="8" xr:uid="{00000000-0005-0000-0000-000008000000}"/>
    <cellStyle name="Explanatory Text" xfId="39" builtinId="53" customBuiltin="1"/>
    <cellStyle name="Good" xfId="30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Hyperlink" xfId="24" builtinId="8"/>
    <cellStyle name="Hyperlink 2" xfId="23" xr:uid="{E6B44A44-C189-4F1B-BBC0-6368C6D852DA}"/>
    <cellStyle name="Input" xfId="33" builtinId="20" customBuiltin="1"/>
    <cellStyle name="Linked Cell" xfId="36" builtinId="24" customBuiltin="1"/>
    <cellStyle name="Neutral" xfId="32" builtinId="28" customBuiltin="1"/>
    <cellStyle name="Normal" xfId="0" builtinId="0" customBuiltin="1"/>
    <cellStyle name="Normal 2" xfId="6" xr:uid="{00000000-0005-0000-0000-00000A000000}"/>
    <cellStyle name="Normal 2 2" xfId="19" xr:uid="{BF614D60-DE41-491F-BA9A-EB7F8D02DD3C}"/>
    <cellStyle name="Normal 3" xfId="9" xr:uid="{00000000-0005-0000-0000-00000B000000}"/>
    <cellStyle name="Normal 4" xfId="11" xr:uid="{00000000-0005-0000-0000-00000C000000}"/>
    <cellStyle name="Normal 4 2" xfId="18" xr:uid="{00000000-0005-0000-0000-00000D000000}"/>
    <cellStyle name="Normal 5" xfId="13" xr:uid="{00000000-0005-0000-0000-00000E000000}"/>
    <cellStyle name="Normal_Bencost 09 with Modification" xfId="4" xr:uid="{00000000-0005-0000-0000-00000F000000}"/>
    <cellStyle name="Normal_Input Source Data Table 2007" xfId="5" xr:uid="{00000000-0005-0000-0000-000010000000}"/>
    <cellStyle name="Normal_RATECOMP" xfId="20" xr:uid="{3829BC61-0DB4-4AB6-A628-0126E60ACC34}"/>
    <cellStyle name="Note 2" xfId="65" xr:uid="{E4A96ABF-51E4-4FE1-B91A-8C807D2934C0}"/>
    <cellStyle name="Output" xfId="34" builtinId="21" customBuiltin="1"/>
    <cellStyle name="Percent" xfId="17" builtinId="5"/>
    <cellStyle name="Percent 2" xfId="12" xr:uid="{00000000-0005-0000-0000-000012000000}"/>
    <cellStyle name="Percent 3" xfId="15" xr:uid="{00000000-0005-0000-0000-000013000000}"/>
    <cellStyle name="Title" xfId="25" builtinId="15" customBuiltin="1"/>
    <cellStyle name="Total" xfId="40" builtinId="25" customBuiltin="1"/>
    <cellStyle name="Warning Text" xfId="38" builtinId="11" customBuiltin="1"/>
  </cellStyles>
  <dxfs count="0"/>
  <tableStyles count="0" defaultTableStyle="TableStyleMedium9" defaultPivotStyle="PivotStyleLight16"/>
  <colors>
    <mruColors>
      <color rgb="FF3333FF"/>
      <color rgb="FFFFFF99"/>
      <color rgb="FFEEF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federalreserve.gov/datadownload/Output.aspx?filetype=spreadsheetml&amp;from=&amp;label=include&amp;lastobs=50&amp;layout=seriescolumn&amp;rel=H15&amp;series=420c607a75050c227861958716eb948f&amp;to=" TargetMode="External"/><Relationship Id="rId1" Type="http://schemas.openxmlformats.org/officeDocument/2006/relationships/hyperlink" Target="https://www.federalreserve.gov/datadownload/Choose.aspx?rel=H1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EEEF-E882-4379-95C5-A857427028AA}">
  <sheetPr codeName="Sheet1"/>
  <dimension ref="A1:W36"/>
  <sheetViews>
    <sheetView showGridLines="0" tabSelected="1" workbookViewId="0">
      <selection activeCell="Q9" sqref="Q9"/>
    </sheetView>
  </sheetViews>
  <sheetFormatPr defaultColWidth="9.140625" defaultRowHeight="12.75"/>
  <cols>
    <col min="1" max="1" width="30.7109375" style="292" customWidth="1"/>
    <col min="2" max="2" width="1.7109375" style="292" customWidth="1"/>
    <col min="3" max="3" width="10.7109375" style="292" customWidth="1"/>
    <col min="4" max="4" width="1.7109375" style="292" customWidth="1"/>
    <col min="5" max="5" width="10.7109375" style="292" customWidth="1"/>
    <col min="6" max="6" width="1.7109375" style="292" customWidth="1"/>
    <col min="7" max="7" width="10.7109375" style="292" customWidth="1"/>
    <col min="8" max="8" width="1.7109375" style="292" customWidth="1"/>
    <col min="9" max="9" width="10.7109375" style="292" customWidth="1"/>
    <col min="10" max="10" width="1.7109375" style="292" customWidth="1"/>
    <col min="11" max="11" width="10.7109375" style="292" customWidth="1"/>
    <col min="12" max="12" width="1.7109375" style="292" customWidth="1"/>
    <col min="13" max="13" width="10.7109375" style="292" customWidth="1"/>
    <col min="14" max="14" width="1.7109375" style="292" customWidth="1"/>
    <col min="15" max="15" width="10.7109375" style="292" customWidth="1"/>
    <col min="16" max="16" width="12.7109375" style="292" bestFit="1" customWidth="1"/>
    <col min="17" max="16384" width="9.140625" style="292"/>
  </cols>
  <sheetData>
    <row r="1" spans="1:23">
      <c r="A1" s="343" t="s">
        <v>431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V1" s="151"/>
    </row>
    <row r="2" spans="1:23">
      <c r="A2" s="343" t="s">
        <v>432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3">
      <c r="A3" s="343" t="s">
        <v>433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</row>
    <row r="4" spans="1:23">
      <c r="A4" s="343" t="s">
        <v>452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</row>
    <row r="6" spans="1:23">
      <c r="A6" s="293" t="s">
        <v>344</v>
      </c>
      <c r="B6" s="293"/>
      <c r="C6" s="294">
        <v>2025</v>
      </c>
      <c r="D6" s="294"/>
    </row>
    <row r="8" spans="1:23">
      <c r="E8" s="294"/>
      <c r="F8" s="294"/>
      <c r="G8" s="294"/>
      <c r="H8" s="294"/>
      <c r="I8" s="294" t="s">
        <v>118</v>
      </c>
      <c r="J8" s="294"/>
      <c r="K8" s="294" t="s">
        <v>145</v>
      </c>
      <c r="L8" s="294"/>
      <c r="M8" s="294" t="s">
        <v>145</v>
      </c>
      <c r="N8" s="294"/>
      <c r="O8" s="294" t="s">
        <v>20</v>
      </c>
      <c r="Q8" s="292" t="s">
        <v>464</v>
      </c>
    </row>
    <row r="9" spans="1:23">
      <c r="E9" s="295" t="s">
        <v>214</v>
      </c>
      <c r="F9" s="294"/>
      <c r="G9" s="295" t="s">
        <v>314</v>
      </c>
      <c r="H9" s="294"/>
      <c r="I9" s="295" t="s">
        <v>331</v>
      </c>
      <c r="J9" s="294"/>
      <c r="K9" s="295" t="s">
        <v>274</v>
      </c>
      <c r="L9" s="294"/>
      <c r="M9" s="295" t="s">
        <v>332</v>
      </c>
      <c r="N9" s="294"/>
      <c r="O9" s="295" t="s">
        <v>331</v>
      </c>
      <c r="Q9" s="294"/>
      <c r="S9" s="295" t="s">
        <v>333</v>
      </c>
    </row>
    <row r="10" spans="1:23">
      <c r="A10" s="296" t="s">
        <v>117</v>
      </c>
      <c r="B10" s="296"/>
    </row>
    <row r="11" spans="1:23">
      <c r="A11" s="297" t="s">
        <v>334</v>
      </c>
      <c r="B11" s="297"/>
      <c r="E11" s="298">
        <v>44</v>
      </c>
      <c r="F11" s="298"/>
      <c r="G11" s="299">
        <v>283</v>
      </c>
      <c r="H11" s="298"/>
      <c r="I11" s="300">
        <v>6600</v>
      </c>
      <c r="K11" s="301">
        <f>+ROUND(I11/$I$27,4)</f>
        <v>0.10929999999999999</v>
      </c>
      <c r="M11" s="300">
        <f>+ROUND(K11*$E$32,0)</f>
        <v>2229</v>
      </c>
      <c r="O11" s="300">
        <f>+I11+M11</f>
        <v>8829</v>
      </c>
      <c r="P11" s="278"/>
      <c r="S11" s="302">
        <f>ROUND(+G11/E11,1)</f>
        <v>6.4</v>
      </c>
      <c r="W11" s="298"/>
    </row>
    <row r="12" spans="1:23">
      <c r="A12" s="297" t="s">
        <v>335</v>
      </c>
      <c r="B12" s="297"/>
      <c r="E12" s="298">
        <v>143</v>
      </c>
      <c r="F12" s="298"/>
      <c r="G12" s="299">
        <v>2946</v>
      </c>
      <c r="H12" s="298"/>
      <c r="I12" s="298">
        <v>42900</v>
      </c>
      <c r="K12" s="303">
        <f>+ROUND(I12/$I$27,4)</f>
        <v>0.71050000000000002</v>
      </c>
      <c r="M12" s="298">
        <f>+ROUND(K12*$E$32,0)</f>
        <v>14490</v>
      </c>
      <c r="O12" s="298">
        <f>+I12+M12</f>
        <v>57390</v>
      </c>
      <c r="P12" s="278"/>
      <c r="S12" s="302">
        <f t="shared" ref="S12:S13" si="0">ROUND(+G12/E12,1)</f>
        <v>20.6</v>
      </c>
      <c r="W12" s="298"/>
    </row>
    <row r="13" spans="1:23">
      <c r="A13" s="297" t="s">
        <v>328</v>
      </c>
      <c r="B13" s="297"/>
      <c r="E13" s="298">
        <v>35</v>
      </c>
      <c r="F13" s="298"/>
      <c r="G13" s="299">
        <v>80</v>
      </c>
      <c r="H13" s="298"/>
      <c r="I13" s="298">
        <v>525</v>
      </c>
      <c r="K13" s="303">
        <f>+ROUND(I13/$I$27,4)</f>
        <v>8.6999999999999994E-3</v>
      </c>
      <c r="M13" s="298">
        <f>+ROUND(K13*$E$32,0)</f>
        <v>177</v>
      </c>
      <c r="O13" s="298">
        <f>+I13+M13</f>
        <v>702</v>
      </c>
      <c r="P13" s="278"/>
      <c r="S13" s="302">
        <f t="shared" si="0"/>
        <v>2.2999999999999998</v>
      </c>
      <c r="W13" s="298"/>
    </row>
    <row r="14" spans="1:23">
      <c r="A14" s="297" t="s">
        <v>327</v>
      </c>
      <c r="B14" s="297"/>
      <c r="E14" s="304">
        <v>123</v>
      </c>
      <c r="F14" s="298"/>
      <c r="G14" s="305">
        <v>780</v>
      </c>
      <c r="H14" s="298"/>
      <c r="I14" s="304">
        <v>7351</v>
      </c>
      <c r="K14" s="306">
        <f>+ROUND(I14/$I$27,4)</f>
        <v>0.12180000000000001</v>
      </c>
      <c r="M14" s="307">
        <f>+ROUND(K14*$E$32,0)</f>
        <v>2484</v>
      </c>
      <c r="O14" s="304">
        <f>+I14+M14</f>
        <v>9835</v>
      </c>
      <c r="P14" s="278"/>
      <c r="S14" s="302">
        <f>ROUND(+G14/E14,1)</f>
        <v>6.3</v>
      </c>
      <c r="W14" s="298"/>
    </row>
    <row r="15" spans="1:23">
      <c r="A15" s="308" t="s">
        <v>315</v>
      </c>
      <c r="B15" s="308"/>
      <c r="E15" s="299">
        <f>SUM(E11:E14)</f>
        <v>345</v>
      </c>
      <c r="F15" s="298"/>
      <c r="G15" s="299">
        <f>SUM(G11:G14)</f>
        <v>4089</v>
      </c>
      <c r="H15" s="298"/>
      <c r="I15" s="300">
        <f>SUM(I11:I14)</f>
        <v>57376</v>
      </c>
      <c r="K15" s="301">
        <f>SUM(K11:K14)</f>
        <v>0.95030000000000003</v>
      </c>
      <c r="M15" s="300">
        <f>SUM(M11:M14)</f>
        <v>19380</v>
      </c>
      <c r="O15" s="300">
        <f>SUM(O11:O14)</f>
        <v>76756</v>
      </c>
      <c r="P15" s="278"/>
      <c r="S15" s="302"/>
      <c r="W15" s="298"/>
    </row>
    <row r="16" spans="1:23">
      <c r="A16" s="308"/>
      <c r="B16" s="308"/>
      <c r="E16" s="299"/>
      <c r="F16" s="298"/>
      <c r="G16" s="299"/>
      <c r="H16" s="298"/>
      <c r="I16" s="300"/>
      <c r="K16" s="301"/>
      <c r="M16" s="300"/>
      <c r="O16" s="300"/>
      <c r="P16" s="278"/>
      <c r="S16" s="302"/>
      <c r="W16" s="298"/>
    </row>
    <row r="17" spans="1:23">
      <c r="A17" s="296" t="s">
        <v>336</v>
      </c>
      <c r="B17" s="296"/>
      <c r="E17" s="298"/>
      <c r="F17" s="298"/>
      <c r="G17" s="299"/>
      <c r="H17" s="298"/>
      <c r="I17" s="298"/>
      <c r="K17" s="301"/>
      <c r="M17" s="298"/>
      <c r="O17" s="298"/>
      <c r="P17" s="278"/>
      <c r="S17" s="302"/>
      <c r="W17" s="298"/>
    </row>
    <row r="18" spans="1:23">
      <c r="A18" s="297" t="s">
        <v>334</v>
      </c>
      <c r="B18" s="297"/>
      <c r="E18" s="298">
        <v>2</v>
      </c>
      <c r="F18" s="298"/>
      <c r="G18" s="299">
        <v>10</v>
      </c>
      <c r="H18" s="298"/>
      <c r="I18" s="300">
        <v>300</v>
      </c>
      <c r="K18" s="301">
        <f>+ROUND(I18/$I$27,4)</f>
        <v>5.0000000000000001E-3</v>
      </c>
      <c r="M18" s="300">
        <f>+ROUND(K18*$E$32,0)</f>
        <v>102</v>
      </c>
      <c r="O18" s="300">
        <f>+I18+M18</f>
        <v>402</v>
      </c>
      <c r="P18" s="278"/>
      <c r="S18" s="302">
        <f>ROUND(+G18/E18,1)</f>
        <v>5</v>
      </c>
      <c r="W18" s="298"/>
    </row>
    <row r="19" spans="1:23">
      <c r="A19" s="297" t="s">
        <v>335</v>
      </c>
      <c r="B19" s="297"/>
      <c r="E19" s="298">
        <v>9</v>
      </c>
      <c r="F19" s="298"/>
      <c r="G19" s="299">
        <v>223</v>
      </c>
      <c r="H19" s="298"/>
      <c r="I19" s="298">
        <v>2700</v>
      </c>
      <c r="K19" s="303">
        <f t="shared" ref="K19:K20" si="1">+ROUND(I19/$I$27,4)</f>
        <v>4.4699999999999997E-2</v>
      </c>
      <c r="M19" s="298">
        <f>+ROUND(K19*$E$32,0)</f>
        <v>912</v>
      </c>
      <c r="O19" s="298">
        <f>+I19+M19</f>
        <v>3612</v>
      </c>
      <c r="P19" s="278"/>
      <c r="S19" s="302">
        <f>ROUND(+G19/E19,1)</f>
        <v>24.8</v>
      </c>
      <c r="W19" s="298"/>
    </row>
    <row r="20" spans="1:23">
      <c r="A20" s="297" t="s">
        <v>337</v>
      </c>
      <c r="B20" s="297"/>
      <c r="E20" s="304">
        <v>0</v>
      </c>
      <c r="F20" s="298"/>
      <c r="G20" s="305">
        <v>0</v>
      </c>
      <c r="H20" s="298"/>
      <c r="I20" s="304">
        <v>0</v>
      </c>
      <c r="K20" s="306">
        <f t="shared" si="1"/>
        <v>0</v>
      </c>
      <c r="M20" s="304">
        <f>+ROUND(K20*$E$32,0)</f>
        <v>0</v>
      </c>
      <c r="O20" s="304">
        <f>+I20+M20</f>
        <v>0</v>
      </c>
      <c r="P20" s="278"/>
      <c r="Q20" s="298"/>
      <c r="S20" s="302">
        <v>0</v>
      </c>
      <c r="W20" s="298"/>
    </row>
    <row r="21" spans="1:23">
      <c r="A21" s="308" t="s">
        <v>338</v>
      </c>
      <c r="B21" s="308"/>
      <c r="E21" s="298">
        <f>SUM(E18:E20)</f>
        <v>11</v>
      </c>
      <c r="F21" s="298"/>
      <c r="G21" s="299">
        <f>SUM(G18:G20)</f>
        <v>233</v>
      </c>
      <c r="H21" s="298"/>
      <c r="I21" s="300">
        <f>SUM(I18:I20)</f>
        <v>3000</v>
      </c>
      <c r="K21" s="301">
        <f>SUM(K18:K20)</f>
        <v>4.9699999999999994E-2</v>
      </c>
      <c r="M21" s="300">
        <f>SUM(M18:M20)</f>
        <v>1014</v>
      </c>
      <c r="O21" s="300">
        <f>SUM(O18:O20)</f>
        <v>4014</v>
      </c>
      <c r="P21" s="278"/>
      <c r="W21" s="298"/>
    </row>
    <row r="22" spans="1:23" hidden="1">
      <c r="A22" s="308"/>
      <c r="B22" s="308"/>
      <c r="E22" s="298"/>
      <c r="F22" s="298"/>
      <c r="G22" s="299"/>
      <c r="H22" s="298"/>
      <c r="I22" s="298"/>
      <c r="K22" s="301"/>
      <c r="M22" s="300"/>
      <c r="O22" s="300"/>
      <c r="P22" s="278"/>
      <c r="W22" s="298"/>
    </row>
    <row r="23" spans="1:23" hidden="1">
      <c r="A23" s="308" t="s">
        <v>339</v>
      </c>
      <c r="B23" s="308"/>
      <c r="E23" s="298">
        <f>+E21+E15</f>
        <v>356</v>
      </c>
      <c r="F23" s="298"/>
      <c r="G23" s="298">
        <f>+G21+G15</f>
        <v>4322</v>
      </c>
      <c r="H23" s="298"/>
      <c r="I23" s="298">
        <f>+I21+I15</f>
        <v>60376</v>
      </c>
      <c r="K23" s="301">
        <f>+K21+K15</f>
        <v>1</v>
      </c>
      <c r="M23" s="300">
        <f>+M21+M15</f>
        <v>20394</v>
      </c>
      <c r="O23" s="300">
        <f>+O21+O15</f>
        <v>80770</v>
      </c>
      <c r="P23" s="278"/>
      <c r="W23" s="298"/>
    </row>
    <row r="24" spans="1:23" hidden="1">
      <c r="A24" s="308"/>
      <c r="B24" s="308"/>
      <c r="E24" s="298"/>
      <c r="F24" s="298"/>
      <c r="G24" s="299"/>
      <c r="H24" s="298"/>
      <c r="I24" s="298"/>
      <c r="K24" s="301"/>
      <c r="M24" s="300"/>
      <c r="O24" s="300"/>
      <c r="P24" s="278"/>
      <c r="W24" s="298"/>
    </row>
    <row r="25" spans="1:23" hidden="1">
      <c r="A25" s="297" t="s">
        <v>340</v>
      </c>
      <c r="B25" s="297"/>
      <c r="E25" s="304">
        <v>0</v>
      </c>
      <c r="F25" s="298"/>
      <c r="G25" s="305">
        <v>0</v>
      </c>
      <c r="H25" s="298"/>
      <c r="I25" s="309">
        <v>0</v>
      </c>
      <c r="K25" s="306">
        <f>+ROUND(I25/$I$27,4)</f>
        <v>0</v>
      </c>
      <c r="M25" s="304">
        <f>+ROUND(K25*$E$32,0)</f>
        <v>0</v>
      </c>
      <c r="O25" s="304">
        <f>+I25+M25</f>
        <v>0</v>
      </c>
      <c r="P25" s="278"/>
      <c r="W25" s="298"/>
    </row>
    <row r="26" spans="1:23">
      <c r="A26" s="308"/>
      <c r="B26" s="308"/>
      <c r="E26" s="298"/>
      <c r="F26" s="298"/>
      <c r="G26" s="299"/>
      <c r="H26" s="298"/>
      <c r="I26" s="298"/>
      <c r="K26" s="301"/>
      <c r="M26" s="300"/>
      <c r="O26" s="300"/>
      <c r="P26" s="278"/>
      <c r="W26" s="298"/>
    </row>
    <row r="27" spans="1:23" ht="13.5" thickBot="1">
      <c r="A27" s="308" t="s">
        <v>341</v>
      </c>
      <c r="B27" s="308"/>
      <c r="E27" s="310">
        <f>+E25+E23</f>
        <v>356</v>
      </c>
      <c r="F27" s="298"/>
      <c r="G27" s="311">
        <f>+G25+G23</f>
        <v>4322</v>
      </c>
      <c r="H27" s="298"/>
      <c r="I27" s="312">
        <f>+I25+I23</f>
        <v>60376</v>
      </c>
      <c r="K27" s="313">
        <f>+K25+K23</f>
        <v>1</v>
      </c>
      <c r="M27" s="312">
        <f>+M25+M23</f>
        <v>20394</v>
      </c>
      <c r="N27" s="300"/>
      <c r="O27" s="312">
        <f>+O25+O23</f>
        <v>80770</v>
      </c>
      <c r="P27" s="278"/>
      <c r="W27" s="298"/>
    </row>
    <row r="28" spans="1:23" ht="13.5" thickTop="1">
      <c r="E28" s="298"/>
      <c r="F28" s="298"/>
      <c r="G28" s="299"/>
      <c r="H28" s="298"/>
      <c r="I28" s="298"/>
      <c r="K28" s="301"/>
      <c r="M28" s="298"/>
      <c r="O28" s="298"/>
      <c r="P28" s="278"/>
      <c r="W28" s="298"/>
    </row>
    <row r="29" spans="1:23">
      <c r="A29" s="314"/>
      <c r="B29" s="314"/>
      <c r="I29" s="300"/>
    </row>
    <row r="30" spans="1:23">
      <c r="A30" s="292" t="s">
        <v>342</v>
      </c>
      <c r="O30" s="298"/>
    </row>
    <row r="31" spans="1:23">
      <c r="A31" s="314"/>
      <c r="B31" s="314"/>
      <c r="E31" s="300"/>
      <c r="I31" s="300"/>
      <c r="K31" s="315"/>
      <c r="O31" s="316"/>
    </row>
    <row r="32" spans="1:23">
      <c r="A32" s="292" t="s">
        <v>343</v>
      </c>
      <c r="E32" s="300">
        <f>6205+14189</f>
        <v>20394</v>
      </c>
      <c r="K32" s="317"/>
    </row>
    <row r="33" spans="5:11">
      <c r="E33" s="298"/>
      <c r="K33" s="317"/>
    </row>
    <row r="34" spans="5:11">
      <c r="K34" s="317"/>
    </row>
    <row r="35" spans="5:11">
      <c r="K35" s="318"/>
    </row>
    <row r="36" spans="5:11">
      <c r="K36" s="318"/>
    </row>
  </sheetData>
  <mergeCells count="4">
    <mergeCell ref="A1:O1"/>
    <mergeCell ref="A2:O2"/>
    <mergeCell ref="A3:O3"/>
    <mergeCell ref="A4:O4"/>
  </mergeCells>
  <pageMargins left="0.17" right="0.22" top="0.75" bottom="0.75" header="0.3" footer="0.3"/>
  <pageSetup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10.710937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24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1" width="9.140625" style="2" bestFit="1" customWidth="1"/>
    <col min="22" max="22" width="10.710937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140625" style="2" bestFit="1" customWidth="1"/>
    <col min="28" max="28" width="10.7109375" style="2" bestFit="1" customWidth="1"/>
    <col min="29" max="29" width="2.285156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10.710937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140625" style="2" bestFit="1" customWidth="1"/>
    <col min="39" max="39" width="2.7109375" style="2" customWidth="1"/>
    <col min="40" max="40" width="10.710937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10.7109375" style="2" bestFit="1" customWidth="1"/>
    <col min="46" max="47" width="8.28515625" style="2" bestFit="1" customWidth="1"/>
    <col min="48" max="49" width="12.5703125" style="2" bestFit="1" customWidth="1"/>
    <col min="50" max="50" width="11.140625" style="2" hidden="1" customWidth="1"/>
    <col min="51" max="51" width="2.7109375" style="2" hidden="1" customWidth="1"/>
    <col min="52" max="52" width="11.5703125" style="7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7" width="10.710937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10.7109375" style="2" bestFit="1" customWidth="1"/>
    <col min="63" max="64" width="8.1406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10.7109375" style="2" bestFit="1" customWidth="1"/>
    <col min="69" max="69" width="2.7109375" style="2" customWidth="1"/>
    <col min="70" max="70" width="10.7109375" style="2" bestFit="1" customWidth="1"/>
    <col min="71" max="71" width="2.7109375" style="2" customWidth="1"/>
    <col min="72" max="72" width="10.710937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10.7109375" style="2" bestFit="1" customWidth="1"/>
    <col min="78" max="78" width="8.28515625" style="2" bestFit="1" customWidth="1"/>
    <col min="79" max="79" width="10.710937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10.7109375" style="2" bestFit="1" customWidth="1"/>
    <col min="84" max="84" width="2.7109375" style="2" customWidth="1"/>
    <col min="85" max="85" width="10.710937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36" t="s">
        <v>109</v>
      </c>
      <c r="B1" s="36"/>
      <c r="C1" s="36"/>
      <c r="D1" s="36"/>
      <c r="E1" s="36"/>
      <c r="F1" s="36"/>
      <c r="G1" s="36"/>
      <c r="H1" s="56"/>
      <c r="K1" s="1" t="s">
        <v>1</v>
      </c>
      <c r="N1" s="2"/>
      <c r="R1" s="24"/>
      <c r="T1" s="3"/>
      <c r="U1" s="3"/>
      <c r="AD1" s="1" t="s">
        <v>2</v>
      </c>
      <c r="AG1" s="3"/>
      <c r="AP1" s="1" t="s">
        <v>3</v>
      </c>
      <c r="AZ1" s="2"/>
      <c r="BC1" s="4"/>
      <c r="BG1" s="1" t="s">
        <v>4</v>
      </c>
      <c r="BJ1" s="3"/>
      <c r="BV1" s="1" t="s">
        <v>217</v>
      </c>
      <c r="BY1" s="3"/>
    </row>
    <row r="2" spans="1:106">
      <c r="A2" s="36" t="s">
        <v>108</v>
      </c>
      <c r="B2" s="36"/>
      <c r="C2" s="36"/>
      <c r="D2" s="36"/>
      <c r="E2" s="36"/>
      <c r="F2" s="36"/>
      <c r="G2" s="36"/>
      <c r="H2" s="56"/>
      <c r="K2" s="1" t="s">
        <v>5</v>
      </c>
      <c r="N2" s="2"/>
      <c r="R2" s="24"/>
      <c r="T2" s="3"/>
      <c r="U2" s="3"/>
      <c r="AD2" s="1" t="s">
        <v>6</v>
      </c>
      <c r="AG2" s="3"/>
      <c r="AP2" s="1" t="s">
        <v>7</v>
      </c>
      <c r="AZ2" s="2"/>
      <c r="BC2" s="4"/>
      <c r="BD2" s="4"/>
      <c r="BG2" s="1" t="s">
        <v>8</v>
      </c>
      <c r="BJ2" s="3"/>
      <c r="BO2" s="3"/>
      <c r="BV2" s="1" t="s">
        <v>218</v>
      </c>
      <c r="BY2" s="3"/>
    </row>
    <row r="3" spans="1:106">
      <c r="N3" s="2"/>
      <c r="R3" s="24"/>
      <c r="AZ3" s="2"/>
      <c r="BD3" s="4"/>
      <c r="BG3" s="7"/>
      <c r="BO3" s="3"/>
      <c r="BV3" s="7"/>
    </row>
    <row r="4" spans="1:106">
      <c r="A4" s="5" t="s">
        <v>9</v>
      </c>
      <c r="B4" s="6" t="s">
        <v>94</v>
      </c>
      <c r="K4" s="3" t="s">
        <v>9</v>
      </c>
      <c r="M4" s="9" t="str">
        <f>B4</f>
        <v>Montana-Dakota Utilities Co.</v>
      </c>
      <c r="N4" s="2"/>
      <c r="R4" s="24"/>
      <c r="S4" s="113"/>
      <c r="AD4" s="3" t="s">
        <v>9</v>
      </c>
      <c r="AF4" s="9" t="str">
        <f>B4</f>
        <v>Montana-Dakota Utilities Co.</v>
      </c>
      <c r="AP4" s="3" t="s">
        <v>11</v>
      </c>
      <c r="AR4" s="9" t="str">
        <f>AF4</f>
        <v>Montana-Dakota Utilities Co.</v>
      </c>
      <c r="AZ4" s="2"/>
      <c r="BH4" s="2" t="s">
        <v>11</v>
      </c>
      <c r="BI4" s="9" t="str">
        <f>AR4</f>
        <v>Montana-Dakota Utilities Co.</v>
      </c>
      <c r="BW4" s="2" t="s">
        <v>11</v>
      </c>
      <c r="BX4" s="9" t="str">
        <f>BI4</f>
        <v>Montana-Dakota Utilities Co.</v>
      </c>
    </row>
    <row r="5" spans="1:106">
      <c r="A5" s="5" t="s">
        <v>10</v>
      </c>
      <c r="B5" s="8" t="s">
        <v>283</v>
      </c>
      <c r="K5" s="3" t="s">
        <v>10</v>
      </c>
      <c r="M5" s="9" t="str">
        <f>$B$5</f>
        <v>Residential 95+% AFUE Furnace - Replacement</v>
      </c>
      <c r="N5" s="2"/>
      <c r="R5" s="24"/>
      <c r="AD5" s="3" t="s">
        <v>10</v>
      </c>
      <c r="AF5" s="9" t="str">
        <f>$B$5</f>
        <v>Residential 95+% AFUE Furnace - Replacement</v>
      </c>
      <c r="AP5" s="3" t="s">
        <v>12</v>
      </c>
      <c r="AR5" s="9" t="str">
        <f>$B$5</f>
        <v>Residential 95+% AFUE Furnace - Replacement</v>
      </c>
      <c r="AZ5" s="2"/>
      <c r="BH5" s="2" t="s">
        <v>12</v>
      </c>
      <c r="BI5" s="9" t="str">
        <f>$B$5</f>
        <v>Residential 95+% AFUE Furnace - Replacement</v>
      </c>
      <c r="BW5" s="2" t="s">
        <v>12</v>
      </c>
      <c r="BX5" s="9" t="str">
        <f>$B$5</f>
        <v>Residential 95+% AFUE Furnace - Replacement</v>
      </c>
    </row>
    <row r="6" spans="1:106">
      <c r="A6" s="5" t="s">
        <v>202</v>
      </c>
      <c r="B6" s="6">
        <f>'Total Program'!$B$6</f>
        <v>2025</v>
      </c>
      <c r="N6" s="2"/>
      <c r="R6" s="24"/>
      <c r="AZ6" s="2"/>
      <c r="BG6" s="7"/>
      <c r="BV6" s="7"/>
    </row>
    <row r="7" spans="1:106">
      <c r="N7" s="31" t="s">
        <v>14</v>
      </c>
      <c r="O7" s="31"/>
      <c r="P7" s="31"/>
      <c r="Q7" s="31"/>
      <c r="R7" s="81"/>
      <c r="S7" s="31"/>
      <c r="T7" s="31"/>
      <c r="U7" s="31"/>
      <c r="V7" s="31"/>
      <c r="X7" s="65" t="s">
        <v>15</v>
      </c>
      <c r="Y7" s="65"/>
      <c r="Z7" s="80"/>
      <c r="AA7" s="80"/>
      <c r="AB7" s="7"/>
      <c r="AF7" s="31" t="s">
        <v>14</v>
      </c>
      <c r="AG7" s="79"/>
      <c r="AH7" s="79"/>
      <c r="AJ7" s="65" t="s">
        <v>15</v>
      </c>
      <c r="AK7" s="65"/>
      <c r="AL7" s="65"/>
      <c r="AN7" s="56" t="s">
        <v>81</v>
      </c>
      <c r="AR7" s="31" t="s">
        <v>14</v>
      </c>
      <c r="AS7" s="31"/>
      <c r="AT7" s="31"/>
      <c r="AU7" s="31"/>
      <c r="AV7" s="31"/>
      <c r="AW7" s="31"/>
      <c r="AX7" s="31"/>
      <c r="AY7" s="31"/>
      <c r="AZ7" s="31"/>
      <c r="BB7" s="65" t="s">
        <v>15</v>
      </c>
      <c r="BC7" s="65"/>
      <c r="BD7" s="65"/>
      <c r="BE7" s="36" t="s">
        <v>81</v>
      </c>
      <c r="BG7" s="7"/>
      <c r="BI7" s="31" t="s">
        <v>14</v>
      </c>
      <c r="BJ7" s="79"/>
      <c r="BK7" s="79"/>
      <c r="BL7" s="79"/>
      <c r="BM7" s="79"/>
      <c r="BN7" s="79"/>
      <c r="BO7" s="79"/>
      <c r="BP7" s="79"/>
      <c r="BR7" s="88" t="s">
        <v>15</v>
      </c>
      <c r="BS7" s="36" t="s">
        <v>81</v>
      </c>
      <c r="BV7" s="7"/>
      <c r="BX7" s="31" t="s">
        <v>14</v>
      </c>
      <c r="BY7" s="79"/>
      <c r="BZ7" s="79"/>
      <c r="CA7" s="79"/>
      <c r="CC7" s="65" t="s">
        <v>15</v>
      </c>
      <c r="CD7" s="65"/>
      <c r="CE7" s="65"/>
      <c r="CF7" s="36" t="s">
        <v>81</v>
      </c>
    </row>
    <row r="8" spans="1:106">
      <c r="A8" s="100" t="s">
        <v>13</v>
      </c>
      <c r="B8" s="100"/>
      <c r="C8" s="10"/>
      <c r="E8" s="100"/>
      <c r="F8" s="106">
        <f>+'Total Program Inputs'!C6</f>
        <v>2025</v>
      </c>
      <c r="G8" s="7"/>
      <c r="H8" s="114"/>
      <c r="M8" s="101"/>
      <c r="N8" s="101"/>
      <c r="Q8" s="101"/>
      <c r="R8" s="24"/>
      <c r="S8" s="101"/>
      <c r="T8" s="101"/>
      <c r="U8" s="101"/>
      <c r="V8" s="101"/>
      <c r="W8" s="101"/>
      <c r="X8" s="101"/>
      <c r="Z8" s="101"/>
      <c r="AA8" s="7"/>
      <c r="AB8" s="7" t="s">
        <v>17</v>
      </c>
      <c r="AF8" s="101"/>
      <c r="AG8" s="101"/>
      <c r="AH8" s="101"/>
      <c r="AM8" s="101"/>
      <c r="AN8" s="7" t="s">
        <v>17</v>
      </c>
      <c r="AT8" s="7" t="s">
        <v>24</v>
      </c>
      <c r="AU8" s="101"/>
      <c r="AV8" s="7"/>
      <c r="AW8" s="101"/>
      <c r="AX8" s="7"/>
      <c r="AY8" s="101"/>
      <c r="AZ8" s="101"/>
      <c r="BA8" s="101"/>
      <c r="BB8" s="101"/>
      <c r="BC8" s="101"/>
      <c r="BD8" s="101"/>
      <c r="BE8" s="7" t="s">
        <v>17</v>
      </c>
      <c r="BG8" s="7"/>
      <c r="BH8" s="7"/>
      <c r="BI8" s="7"/>
      <c r="BT8" s="7" t="s">
        <v>17</v>
      </c>
      <c r="BV8" s="7"/>
      <c r="BW8" s="7"/>
      <c r="BX8" s="7"/>
      <c r="CG8" s="7" t="s">
        <v>17</v>
      </c>
      <c r="DA8" s="101"/>
      <c r="DB8" s="101"/>
    </row>
    <row r="9" spans="1:106">
      <c r="A9" s="3"/>
      <c r="E9" s="3"/>
      <c r="M9" s="7" t="s">
        <v>20</v>
      </c>
      <c r="N9" s="7" t="s">
        <v>23</v>
      </c>
      <c r="O9" s="7" t="s">
        <v>23</v>
      </c>
      <c r="P9" s="102" t="s">
        <v>21</v>
      </c>
      <c r="Q9" s="102" t="s">
        <v>21</v>
      </c>
      <c r="R9" s="103" t="s">
        <v>20</v>
      </c>
      <c r="S9" s="104" t="s">
        <v>97</v>
      </c>
      <c r="T9" s="7" t="s">
        <v>31</v>
      </c>
      <c r="U9" s="103" t="s">
        <v>20</v>
      </c>
      <c r="V9" s="7"/>
      <c r="W9" s="104" t="s">
        <v>96</v>
      </c>
      <c r="Y9" s="7" t="s">
        <v>35</v>
      </c>
      <c r="Z9" s="7"/>
      <c r="AA9" s="7" t="s">
        <v>20</v>
      </c>
      <c r="AB9" s="7" t="s">
        <v>14</v>
      </c>
      <c r="AF9" s="104" t="s">
        <v>20</v>
      </c>
      <c r="AG9" s="103" t="s">
        <v>20</v>
      </c>
      <c r="AH9" s="104" t="s">
        <v>17</v>
      </c>
      <c r="AJ9" s="7" t="s">
        <v>35</v>
      </c>
      <c r="AK9" s="7"/>
      <c r="AL9" s="7" t="s">
        <v>22</v>
      </c>
      <c r="AN9" s="7" t="s">
        <v>14</v>
      </c>
      <c r="AR9" s="104" t="s">
        <v>20</v>
      </c>
      <c r="AS9" s="7" t="s">
        <v>20</v>
      </c>
      <c r="AT9" s="7" t="s">
        <v>36</v>
      </c>
      <c r="AU9" s="7" t="s">
        <v>24</v>
      </c>
      <c r="AV9" s="102" t="s">
        <v>37</v>
      </c>
      <c r="AW9" s="102" t="s">
        <v>37</v>
      </c>
      <c r="AX9" s="7"/>
      <c r="AZ9" s="7" t="s">
        <v>17</v>
      </c>
      <c r="BB9" s="7" t="s">
        <v>22</v>
      </c>
      <c r="BC9" s="7" t="s">
        <v>39</v>
      </c>
      <c r="BD9" s="7" t="s">
        <v>17</v>
      </c>
      <c r="BE9" s="7" t="s">
        <v>14</v>
      </c>
      <c r="BG9" s="7"/>
      <c r="BH9" s="7"/>
      <c r="BI9" s="7"/>
      <c r="BJ9" s="7" t="s">
        <v>20</v>
      </c>
      <c r="BL9" s="7" t="s">
        <v>23</v>
      </c>
      <c r="BM9" s="7" t="s">
        <v>24</v>
      </c>
      <c r="BN9" s="7" t="s">
        <v>24</v>
      </c>
      <c r="BO9" s="7"/>
      <c r="BP9" s="7" t="s">
        <v>20</v>
      </c>
      <c r="BR9" s="7" t="s">
        <v>26</v>
      </c>
      <c r="BS9" s="7"/>
      <c r="BT9" s="7" t="s">
        <v>14</v>
      </c>
      <c r="BV9" s="7"/>
      <c r="BW9" s="7"/>
      <c r="BX9" s="7" t="s">
        <v>20</v>
      </c>
      <c r="BY9" s="7" t="s">
        <v>20</v>
      </c>
      <c r="BZ9" s="7" t="s">
        <v>24</v>
      </c>
      <c r="CA9" s="7" t="s">
        <v>20</v>
      </c>
      <c r="CC9" s="7" t="s">
        <v>22</v>
      </c>
      <c r="CD9" s="7" t="s">
        <v>39</v>
      </c>
      <c r="CE9" s="114"/>
      <c r="CF9" s="7"/>
      <c r="CG9" s="7" t="s">
        <v>14</v>
      </c>
    </row>
    <row r="10" spans="1:106">
      <c r="A10" s="3" t="s">
        <v>104</v>
      </c>
      <c r="C10" s="11">
        <f>+'Gas Input Table Summary'!$D$7</f>
        <v>8.3550000000000004</v>
      </c>
      <c r="D10" s="12"/>
      <c r="E10" s="3" t="s">
        <v>16</v>
      </c>
      <c r="J10" s="15"/>
      <c r="M10" s="7" t="s">
        <v>28</v>
      </c>
      <c r="N10" s="7" t="s">
        <v>29</v>
      </c>
      <c r="O10" s="7" t="s">
        <v>29</v>
      </c>
      <c r="P10" s="102" t="s">
        <v>30</v>
      </c>
      <c r="Q10" s="102" t="s">
        <v>30</v>
      </c>
      <c r="R10" s="103" t="s">
        <v>36</v>
      </c>
      <c r="S10" s="7" t="s">
        <v>31</v>
      </c>
      <c r="T10" s="7" t="s">
        <v>38</v>
      </c>
      <c r="U10" s="103" t="s">
        <v>31</v>
      </c>
      <c r="V10" s="7" t="s">
        <v>20</v>
      </c>
      <c r="W10" s="7" t="s">
        <v>119</v>
      </c>
      <c r="X10" s="7" t="s">
        <v>92</v>
      </c>
      <c r="Y10" s="7" t="s">
        <v>145</v>
      </c>
      <c r="Z10" s="7" t="s">
        <v>118</v>
      </c>
      <c r="AA10" s="7" t="s">
        <v>35</v>
      </c>
      <c r="AB10" s="7" t="s">
        <v>34</v>
      </c>
      <c r="AF10" s="104" t="s">
        <v>36</v>
      </c>
      <c r="AG10" s="103" t="s">
        <v>31</v>
      </c>
      <c r="AH10" s="104" t="s">
        <v>20</v>
      </c>
      <c r="AJ10" s="7" t="s">
        <v>145</v>
      </c>
      <c r="AK10" s="7" t="s">
        <v>118</v>
      </c>
      <c r="AL10" s="7" t="s">
        <v>35</v>
      </c>
      <c r="AN10" s="7" t="s">
        <v>34</v>
      </c>
      <c r="AR10" s="7" t="s">
        <v>28</v>
      </c>
      <c r="AS10" s="7" t="s">
        <v>132</v>
      </c>
      <c r="AT10" s="7" t="s">
        <v>38</v>
      </c>
      <c r="AU10" s="7" t="s">
        <v>36</v>
      </c>
      <c r="AV10" s="7" t="s">
        <v>99</v>
      </c>
      <c r="AW10" s="104" t="s">
        <v>99</v>
      </c>
      <c r="AX10" s="7"/>
      <c r="AY10" s="102"/>
      <c r="AZ10" s="7" t="s">
        <v>20</v>
      </c>
      <c r="BB10" s="7" t="s">
        <v>35</v>
      </c>
      <c r="BC10" s="104" t="s">
        <v>100</v>
      </c>
      <c r="BD10" s="7" t="s">
        <v>20</v>
      </c>
      <c r="BE10" s="7" t="s">
        <v>34</v>
      </c>
      <c r="BG10" s="7"/>
      <c r="BH10" s="7"/>
      <c r="BI10" s="7" t="s">
        <v>25</v>
      </c>
      <c r="BJ10" s="7" t="s">
        <v>28</v>
      </c>
      <c r="BK10" s="7" t="s">
        <v>32</v>
      </c>
      <c r="BL10" s="7" t="s">
        <v>33</v>
      </c>
      <c r="BM10" s="7" t="s">
        <v>137</v>
      </c>
      <c r="BN10" s="7" t="s">
        <v>36</v>
      </c>
      <c r="BO10" s="7"/>
      <c r="BP10" s="7" t="s">
        <v>17</v>
      </c>
      <c r="BR10" s="7" t="s">
        <v>112</v>
      </c>
      <c r="BS10" s="7"/>
      <c r="BT10" s="7" t="s">
        <v>34</v>
      </c>
      <c r="BV10" s="7"/>
      <c r="BW10" s="7"/>
      <c r="BX10" s="7" t="s">
        <v>28</v>
      </c>
      <c r="BY10" s="114" t="s">
        <v>31</v>
      </c>
      <c r="BZ10" s="7" t="s">
        <v>36</v>
      </c>
      <c r="CA10" s="7" t="s">
        <v>17</v>
      </c>
      <c r="CC10" s="7" t="s">
        <v>35</v>
      </c>
      <c r="CD10" s="104" t="s">
        <v>100</v>
      </c>
      <c r="CE10" s="114" t="s">
        <v>20</v>
      </c>
      <c r="CF10" s="7"/>
      <c r="CG10" s="7" t="s">
        <v>34</v>
      </c>
    </row>
    <row r="11" spans="1:106">
      <c r="A11" s="3" t="s">
        <v>18</v>
      </c>
      <c r="C11" s="13">
        <f>+'Gas Input Table Summary'!$D$8</f>
        <v>0.03</v>
      </c>
      <c r="E11" s="3" t="s">
        <v>19</v>
      </c>
      <c r="F11" s="137">
        <f>+'Total Program Inputs'!M12</f>
        <v>14490</v>
      </c>
      <c r="G11" s="256"/>
      <c r="H11" s="256"/>
      <c r="J11" s="5"/>
      <c r="M11" s="7" t="s">
        <v>44</v>
      </c>
      <c r="N11" s="7" t="s">
        <v>107</v>
      </c>
      <c r="O11" s="7" t="s">
        <v>38</v>
      </c>
      <c r="P11" s="102" t="s">
        <v>107</v>
      </c>
      <c r="Q11" s="102" t="s">
        <v>38</v>
      </c>
      <c r="R11" s="103" t="s">
        <v>38</v>
      </c>
      <c r="S11" s="7" t="s">
        <v>44</v>
      </c>
      <c r="T11" s="7" t="s">
        <v>95</v>
      </c>
      <c r="U11" s="103" t="s">
        <v>38</v>
      </c>
      <c r="V11" s="7" t="s">
        <v>38</v>
      </c>
      <c r="W11" s="7" t="s">
        <v>120</v>
      </c>
      <c r="X11" s="7" t="s">
        <v>93</v>
      </c>
      <c r="Y11" s="7" t="s">
        <v>15</v>
      </c>
      <c r="Z11" s="7" t="s">
        <v>15</v>
      </c>
      <c r="AA11" s="7" t="s">
        <v>15</v>
      </c>
      <c r="AB11" s="7" t="s">
        <v>15</v>
      </c>
      <c r="AF11" s="7" t="s">
        <v>38</v>
      </c>
      <c r="AG11" s="103" t="s">
        <v>38</v>
      </c>
      <c r="AH11" s="103" t="s">
        <v>38</v>
      </c>
      <c r="AJ11" s="7" t="s">
        <v>15</v>
      </c>
      <c r="AK11" s="7" t="s">
        <v>15</v>
      </c>
      <c r="AL11" s="7" t="s">
        <v>15</v>
      </c>
      <c r="AN11" s="7" t="s">
        <v>15</v>
      </c>
      <c r="AR11" s="7" t="s">
        <v>38</v>
      </c>
      <c r="AS11" s="7" t="s">
        <v>38</v>
      </c>
      <c r="AT11" s="7" t="s">
        <v>134</v>
      </c>
      <c r="AU11" s="7" t="s">
        <v>38</v>
      </c>
      <c r="AV11" s="105" t="s">
        <v>133</v>
      </c>
      <c r="AW11" s="105" t="s">
        <v>38</v>
      </c>
      <c r="AX11" s="7"/>
      <c r="AY11" s="102"/>
      <c r="AZ11" s="104" t="s">
        <v>38</v>
      </c>
      <c r="BB11" s="7" t="s">
        <v>15</v>
      </c>
      <c r="BC11" s="48" t="s">
        <v>101</v>
      </c>
      <c r="BD11" s="104" t="s">
        <v>15</v>
      </c>
      <c r="BE11" s="7" t="s">
        <v>15</v>
      </c>
      <c r="BH11" s="7"/>
      <c r="BI11" s="7" t="s">
        <v>46</v>
      </c>
      <c r="BJ11" s="7" t="s">
        <v>44</v>
      </c>
      <c r="BK11" s="7" t="s">
        <v>45</v>
      </c>
      <c r="BL11" s="7" t="s">
        <v>38</v>
      </c>
      <c r="BM11" s="7" t="s">
        <v>0</v>
      </c>
      <c r="BN11" s="7" t="s">
        <v>38</v>
      </c>
      <c r="BO11" s="7"/>
      <c r="BP11" s="7" t="s">
        <v>14</v>
      </c>
      <c r="BR11" s="7" t="s">
        <v>15</v>
      </c>
      <c r="BS11" s="7"/>
      <c r="BT11" s="7" t="s">
        <v>15</v>
      </c>
      <c r="BW11" s="7"/>
      <c r="BX11" s="114" t="s">
        <v>38</v>
      </c>
      <c r="BY11" s="114" t="s">
        <v>38</v>
      </c>
      <c r="BZ11" s="7" t="s">
        <v>38</v>
      </c>
      <c r="CA11" s="7" t="s">
        <v>14</v>
      </c>
      <c r="CC11" s="7" t="s">
        <v>15</v>
      </c>
      <c r="CD11" s="48" t="s">
        <v>101</v>
      </c>
      <c r="CE11" s="7" t="s">
        <v>15</v>
      </c>
      <c r="CF11" s="7"/>
      <c r="CG11" s="7" t="s">
        <v>15</v>
      </c>
    </row>
    <row r="12" spans="1:106">
      <c r="A12" s="3"/>
      <c r="C12" s="13"/>
      <c r="E12" s="3" t="s">
        <v>27</v>
      </c>
      <c r="F12" s="129">
        <f>+'Total Program Inputs'!I12</f>
        <v>42900</v>
      </c>
      <c r="G12" s="22"/>
      <c r="H12" s="22"/>
      <c r="L12" s="106" t="s">
        <v>43</v>
      </c>
      <c r="M12" s="106" t="s">
        <v>48</v>
      </c>
      <c r="N12" s="106" t="s">
        <v>49</v>
      </c>
      <c r="O12" s="106" t="s">
        <v>50</v>
      </c>
      <c r="P12" s="106" t="s">
        <v>51</v>
      </c>
      <c r="Q12" s="106" t="s">
        <v>52</v>
      </c>
      <c r="R12" s="106" t="s">
        <v>53</v>
      </c>
      <c r="S12" s="106" t="s">
        <v>54</v>
      </c>
      <c r="T12" s="106" t="s">
        <v>55</v>
      </c>
      <c r="U12" s="106" t="s">
        <v>56</v>
      </c>
      <c r="V12" s="106" t="s">
        <v>57</v>
      </c>
      <c r="W12" s="106" t="s">
        <v>58</v>
      </c>
      <c r="X12" s="106" t="s">
        <v>59</v>
      </c>
      <c r="Y12" s="106" t="s">
        <v>60</v>
      </c>
      <c r="Z12" s="106" t="s">
        <v>61</v>
      </c>
      <c r="AA12" s="106" t="s">
        <v>138</v>
      </c>
      <c r="AB12" s="106" t="s">
        <v>146</v>
      </c>
      <c r="AE12" s="106" t="s">
        <v>43</v>
      </c>
      <c r="AF12" s="106" t="s">
        <v>48</v>
      </c>
      <c r="AG12" s="106" t="s">
        <v>49</v>
      </c>
      <c r="AH12" s="106" t="s">
        <v>50</v>
      </c>
      <c r="AJ12" s="106" t="s">
        <v>51</v>
      </c>
      <c r="AK12" s="106" t="s">
        <v>52</v>
      </c>
      <c r="AL12" s="106" t="s">
        <v>53</v>
      </c>
      <c r="AN12" s="106" t="s">
        <v>54</v>
      </c>
      <c r="AQ12" s="106" t="s">
        <v>43</v>
      </c>
      <c r="AR12" s="106" t="s">
        <v>48</v>
      </c>
      <c r="AS12" s="106" t="s">
        <v>49</v>
      </c>
      <c r="AT12" s="106" t="s">
        <v>50</v>
      </c>
      <c r="AU12" s="106" t="s">
        <v>51</v>
      </c>
      <c r="AV12" s="106" t="s">
        <v>52</v>
      </c>
      <c r="AW12" s="106" t="s">
        <v>53</v>
      </c>
      <c r="AX12" s="106"/>
      <c r="AY12" s="106"/>
      <c r="AZ12" s="106" t="s">
        <v>54</v>
      </c>
      <c r="BB12" s="106" t="s">
        <v>55</v>
      </c>
      <c r="BC12" s="106" t="s">
        <v>56</v>
      </c>
      <c r="BD12" s="106" t="s">
        <v>57</v>
      </c>
      <c r="BE12" s="106" t="s">
        <v>58</v>
      </c>
      <c r="BH12" s="106" t="s">
        <v>43</v>
      </c>
      <c r="BI12" s="106" t="s">
        <v>48</v>
      </c>
      <c r="BJ12" s="106" t="s">
        <v>49</v>
      </c>
      <c r="BK12" s="106" t="s">
        <v>50</v>
      </c>
      <c r="BL12" s="106" t="s">
        <v>51</v>
      </c>
      <c r="BM12" s="106" t="s">
        <v>52</v>
      </c>
      <c r="BN12" s="106" t="s">
        <v>53</v>
      </c>
      <c r="BO12" s="106"/>
      <c r="BP12" s="106" t="s">
        <v>54</v>
      </c>
      <c r="BR12" s="106" t="s">
        <v>55</v>
      </c>
      <c r="BS12" s="7"/>
      <c r="BT12" s="106" t="s">
        <v>56</v>
      </c>
      <c r="BW12" s="106" t="s">
        <v>43</v>
      </c>
      <c r="BX12" s="106" t="s">
        <v>48</v>
      </c>
      <c r="BY12" s="106" t="s">
        <v>49</v>
      </c>
      <c r="BZ12" s="106" t="s">
        <v>50</v>
      </c>
      <c r="CA12" s="117" t="s">
        <v>51</v>
      </c>
      <c r="CC12" s="117" t="s">
        <v>52</v>
      </c>
      <c r="CD12" s="117" t="s">
        <v>53</v>
      </c>
      <c r="CE12" s="117" t="s">
        <v>54</v>
      </c>
      <c r="CF12" s="7"/>
      <c r="CG12" s="117" t="s">
        <v>55</v>
      </c>
    </row>
    <row r="13" spans="1:106">
      <c r="A13" s="3" t="s">
        <v>40</v>
      </c>
      <c r="C13" s="140">
        <f>+'Gas Input Table Summary'!$D$9</f>
        <v>0.13497000000000001</v>
      </c>
      <c r="E13" s="3" t="s">
        <v>41</v>
      </c>
      <c r="F13" s="12">
        <f>SUM(F11:F12)</f>
        <v>57390</v>
      </c>
      <c r="G13" s="12"/>
      <c r="H13" s="12"/>
      <c r="J13" s="7"/>
      <c r="L13" s="7"/>
      <c r="M13" s="7"/>
      <c r="N13" s="7"/>
      <c r="Q13" s="7"/>
      <c r="R13" s="24"/>
      <c r="S13" s="7"/>
      <c r="T13" s="7"/>
      <c r="V13" s="7"/>
      <c r="W13" s="7"/>
      <c r="X13" s="7"/>
      <c r="Z13" s="7"/>
      <c r="AA13" s="7"/>
      <c r="AB13" s="7"/>
      <c r="AE13" s="7"/>
      <c r="AF13" s="7"/>
      <c r="AH13" s="7"/>
      <c r="AL13" s="7"/>
      <c r="AN13" s="7"/>
      <c r="AQ13" s="7"/>
      <c r="AR13" s="7"/>
      <c r="AS13" s="7"/>
      <c r="AU13" s="7"/>
      <c r="AW13" s="4"/>
      <c r="AY13" s="4"/>
      <c r="BB13" s="7"/>
      <c r="BC13" s="7"/>
      <c r="BD13" s="7"/>
      <c r="BE13" s="7"/>
      <c r="BH13" s="7"/>
      <c r="BI13" s="7"/>
      <c r="BJ13" s="7"/>
      <c r="BK13" s="7"/>
      <c r="BL13" s="7"/>
      <c r="BN13" s="7"/>
      <c r="BO13" s="7"/>
      <c r="BP13" s="7"/>
      <c r="BR13" s="7"/>
      <c r="BS13" s="7"/>
      <c r="BT13" s="7"/>
      <c r="BW13" s="7"/>
      <c r="BX13" s="7"/>
      <c r="BY13" s="7"/>
      <c r="BZ13" s="7"/>
      <c r="CA13" s="7"/>
      <c r="CC13" s="7"/>
      <c r="CD13" s="7"/>
      <c r="CE13" s="7"/>
      <c r="CF13" s="7"/>
      <c r="CG13" s="7"/>
    </row>
    <row r="14" spans="1:106">
      <c r="A14" s="3" t="s">
        <v>47</v>
      </c>
      <c r="C14" s="13">
        <f>+'Gas Input Table Summary'!$D$10</f>
        <v>0.03</v>
      </c>
      <c r="F14" s="16"/>
      <c r="G14" s="16"/>
      <c r="H14" s="16"/>
      <c r="J14" s="2">
        <f>$C$47-$C$45</f>
        <v>0</v>
      </c>
      <c r="L14" s="7">
        <f>$C$47</f>
        <v>2025</v>
      </c>
      <c r="M14" s="16">
        <f>ROUND(IF($C$47+$F$23&gt;L14,F25*F30,0),0)</f>
        <v>2946</v>
      </c>
      <c r="N14" s="107">
        <f t="shared" ref="N14:N34" si="0">ROUND($C$17*(1+$C$18)^J14,3)</f>
        <v>3.4159999999999999</v>
      </c>
      <c r="O14" s="12">
        <f t="shared" ref="O14:O34" si="1">ROUND(M14*N14,0)</f>
        <v>10064</v>
      </c>
      <c r="P14" s="107">
        <f t="shared" ref="P14:P34" si="2">ROUND($C$25*(1+$C$26)^J14,3)</f>
        <v>0</v>
      </c>
      <c r="Q14" s="12">
        <f>ROUND(M14*P14,0)</f>
        <v>0</v>
      </c>
      <c r="R14" s="108">
        <f t="shared" ref="R14:R34" si="3">O14+Q14</f>
        <v>10064</v>
      </c>
      <c r="S14" s="42">
        <f t="shared" ref="S14:S34" si="4">ROUND(M14*$C$23,1)</f>
        <v>29.5</v>
      </c>
      <c r="T14" s="12">
        <f t="shared" ref="T14:T34" si="5">ROUND($C$20*(1+$C$21)^J14,0)</f>
        <v>175</v>
      </c>
      <c r="U14" s="109">
        <f>ROUND(S14*T14,0)</f>
        <v>5163</v>
      </c>
      <c r="V14" s="12">
        <f>ROUND(+U14+R14,0)</f>
        <v>15227</v>
      </c>
      <c r="W14" s="110">
        <f t="shared" ref="W14:W34" si="6">ROUND($H$36*(1+$C$11)^J14,3)</f>
        <v>2.532</v>
      </c>
      <c r="X14" s="111">
        <f t="shared" ref="X14:X34" si="7">ROUND((1-$H$38)*(W14*M14),0)</f>
        <v>5893</v>
      </c>
      <c r="Y14" s="111">
        <f>ROUND($F$11,0)</f>
        <v>14490</v>
      </c>
      <c r="Z14" s="111">
        <f>ROUND($F$12,0)</f>
        <v>42900</v>
      </c>
      <c r="AA14" s="111">
        <f t="shared" ref="AA14:AA34" si="8">SUM(X14:Z14)</f>
        <v>63283</v>
      </c>
      <c r="AB14" s="12">
        <f>V14-AA14</f>
        <v>-48056</v>
      </c>
      <c r="AE14" s="7">
        <f>$C$47</f>
        <v>2025</v>
      </c>
      <c r="AF14" s="12">
        <f t="shared" ref="AF14:AF34" si="9">+R14</f>
        <v>10064</v>
      </c>
      <c r="AG14" s="12">
        <f t="shared" ref="AG14:AG34" si="10">+U14</f>
        <v>5163</v>
      </c>
      <c r="AH14" s="111">
        <f>+AG14+AF14</f>
        <v>15227</v>
      </c>
      <c r="AJ14" s="12">
        <f>ROUND(Y14,0)</f>
        <v>14490</v>
      </c>
      <c r="AK14" s="12">
        <f>ROUND(Z14,0)</f>
        <v>42900</v>
      </c>
      <c r="AL14" s="12">
        <f t="shared" ref="AL14:AL34" si="11">SUM(AJ14:AK14)</f>
        <v>57390</v>
      </c>
      <c r="AN14" s="12">
        <f t="shared" ref="AN14:AN34" si="12">+AH14-AL14</f>
        <v>-42163</v>
      </c>
      <c r="AQ14" s="7">
        <f>$C$47</f>
        <v>2025</v>
      </c>
      <c r="AR14" s="12">
        <f t="shared" ref="AR14:AR34" si="13">AF14</f>
        <v>10064</v>
      </c>
      <c r="AS14" s="12">
        <f>+AG14</f>
        <v>5163</v>
      </c>
      <c r="AT14" s="107">
        <f>ROUND(($C$28/(1-$C$31))*(1+$C$29)^J14,3)</f>
        <v>0.03</v>
      </c>
      <c r="AU14" s="12">
        <f>ROUND(IF($C$47+$F$23&gt;$AQ14,$F$30*$F$27,0)*AT14,0)</f>
        <v>3089</v>
      </c>
      <c r="AV14" s="107">
        <f>ROUND($C$33*(1+$C$34)^J14,3)</f>
        <v>2.0699999999999998</v>
      </c>
      <c r="AW14" s="12">
        <f>ROUND(AV14*M14,0)</f>
        <v>6098</v>
      </c>
      <c r="AX14" s="107"/>
      <c r="AY14" s="12"/>
      <c r="AZ14" s="12">
        <f>ROUND(AR14+AS14+AU14+AW14+AY14,0)</f>
        <v>24414</v>
      </c>
      <c r="BA14" s="17"/>
      <c r="BB14" s="111">
        <f>ROUND($F$13,0)</f>
        <v>57390</v>
      </c>
      <c r="BC14" s="111">
        <f>ROUND((F15*F30)-Z14,0)</f>
        <v>62348</v>
      </c>
      <c r="BD14" s="109">
        <f>BB14+BC14</f>
        <v>119738</v>
      </c>
      <c r="BE14" s="111">
        <f t="shared" ref="BE14:BE34" si="14">AZ14-BD14</f>
        <v>-95324</v>
      </c>
      <c r="BH14" s="7">
        <f>$C$47</f>
        <v>2025</v>
      </c>
      <c r="BI14" s="12">
        <f>+F12</f>
        <v>42900</v>
      </c>
      <c r="BJ14" s="16">
        <f t="shared" ref="BJ14:BJ34" si="15">+M14</f>
        <v>2946</v>
      </c>
      <c r="BK14" s="112">
        <f>ROUND($C$10*(1+$C$11)^J14,3)</f>
        <v>8.3550000000000004</v>
      </c>
      <c r="BL14" s="12">
        <f>ROUND(BJ14*BK14,0)</f>
        <v>24614</v>
      </c>
      <c r="BM14" s="112">
        <f t="shared" ref="BM14:BM34" si="16">ROUND($C$13*(1+$C$14)^J14,3)</f>
        <v>0.13500000000000001</v>
      </c>
      <c r="BN14" s="12">
        <f>ROUND(IF($C$47+$F$23&gt;$BH14,$F$30*$F$27,0)*BM14,0)</f>
        <v>13900</v>
      </c>
      <c r="BO14" s="12"/>
      <c r="BP14" s="12">
        <f t="shared" ref="BP14:BP34" si="17">BI14+BL14+BN14+BO14</f>
        <v>81414</v>
      </c>
      <c r="BR14" s="12">
        <f>ROUND(F15*F30,0)</f>
        <v>105248</v>
      </c>
      <c r="BS14" s="12"/>
      <c r="BT14" s="12">
        <f>BP14-BR14</f>
        <v>-23834</v>
      </c>
      <c r="BW14" s="7">
        <f>$C$47</f>
        <v>2025</v>
      </c>
      <c r="BX14" s="12">
        <f t="shared" ref="BX14:BX36" si="18">$R14</f>
        <v>10064</v>
      </c>
      <c r="BY14" s="12">
        <f>U14</f>
        <v>5163</v>
      </c>
      <c r="BZ14" s="115">
        <f>AU14</f>
        <v>3089</v>
      </c>
      <c r="CA14" s="12">
        <f>SUM(BX14:BZ14)</f>
        <v>18316</v>
      </c>
      <c r="CC14" s="12">
        <f>BB14</f>
        <v>57390</v>
      </c>
      <c r="CD14" s="12">
        <f>BC14</f>
        <v>62348</v>
      </c>
      <c r="CE14" s="12">
        <f>SUM(CC14:CD14)</f>
        <v>119738</v>
      </c>
      <c r="CF14" s="12"/>
      <c r="CG14" s="12">
        <f>CA14-CE14</f>
        <v>-101422</v>
      </c>
    </row>
    <row r="15" spans="1:106">
      <c r="A15" s="3" t="s">
        <v>62</v>
      </c>
      <c r="C15" s="131" t="str">
        <f>+'Gas Input Table Summary'!$D$11</f>
        <v>kWh</v>
      </c>
      <c r="E15" s="3" t="s">
        <v>63</v>
      </c>
      <c r="F15" s="258">
        <f>ROUND('Database Inputs'!K11,0)</f>
        <v>736</v>
      </c>
      <c r="G15" s="257"/>
      <c r="H15" s="257"/>
      <c r="J15" s="2">
        <f t="shared" ref="J15:J36" si="19">J14+1</f>
        <v>1</v>
      </c>
      <c r="L15" s="7">
        <f t="shared" ref="L15:L36" si="20">L14+1</f>
        <v>2026</v>
      </c>
      <c r="M15" s="16">
        <f>ROUND(IF($C$47+$F$23&gt;L15,$F$25*$F$30,0)+IF($C$48+$G$23&gt;L15,$G$25*$G$30,0),0)</f>
        <v>2946</v>
      </c>
      <c r="N15" s="53">
        <f t="shared" si="0"/>
        <v>3.5179999999999998</v>
      </c>
      <c r="O15" s="32">
        <f t="shared" si="1"/>
        <v>10364</v>
      </c>
      <c r="P15" s="53">
        <f t="shared" si="2"/>
        <v>0</v>
      </c>
      <c r="Q15" s="46">
        <f t="shared" ref="Q15:Q34" si="21">ROUND(M15*P15,0)</f>
        <v>0</v>
      </c>
      <c r="R15" s="43">
        <f>O15+Q15</f>
        <v>10364</v>
      </c>
      <c r="S15" s="42">
        <f>ROUND(M15*$C$23,1)</f>
        <v>29.5</v>
      </c>
      <c r="T15" s="46">
        <f>ROUND($C$20*(1+$C$21)^J15,0)</f>
        <v>177</v>
      </c>
      <c r="U15" s="44">
        <f>ROUND(S15*T15,0)</f>
        <v>5222</v>
      </c>
      <c r="V15" s="16">
        <f>ROUND(+U15+R15,0)</f>
        <v>15586</v>
      </c>
      <c r="W15" s="45">
        <f>ROUND($H$36*(1+$C$11)^J15,3)</f>
        <v>2.6080000000000001</v>
      </c>
      <c r="X15" s="46">
        <f>ROUND((1-$H$38)*(W15*M15),0)</f>
        <v>6070</v>
      </c>
      <c r="Y15" s="46">
        <f>ROUND($G$11,0)</f>
        <v>0</v>
      </c>
      <c r="Z15" s="46">
        <f>ROUND($G$12,0)</f>
        <v>0</v>
      </c>
      <c r="AA15" s="46">
        <f>SUM(X15:Z15)</f>
        <v>6070</v>
      </c>
      <c r="AB15" s="46">
        <f>V15-AA15</f>
        <v>9516</v>
      </c>
      <c r="AE15" s="7">
        <f t="shared" ref="AE15:AE36" si="22">AE14+1</f>
        <v>2026</v>
      </c>
      <c r="AF15" s="46">
        <f t="shared" si="9"/>
        <v>10364</v>
      </c>
      <c r="AG15" s="16">
        <f t="shared" si="10"/>
        <v>5222</v>
      </c>
      <c r="AH15" s="46">
        <f>+AG15+AF15</f>
        <v>15586</v>
      </c>
      <c r="AJ15" s="32">
        <f t="shared" ref="AJ15:AK34" si="23">ROUND(Y15,0)</f>
        <v>0</v>
      </c>
      <c r="AK15" s="32">
        <f t="shared" si="23"/>
        <v>0</v>
      </c>
      <c r="AL15" s="32">
        <f t="shared" si="11"/>
        <v>0</v>
      </c>
      <c r="AN15" s="77">
        <f t="shared" si="12"/>
        <v>15586</v>
      </c>
      <c r="AQ15" s="7">
        <f t="shared" ref="AQ15:AQ36" si="24">AQ14+1</f>
        <v>2026</v>
      </c>
      <c r="AR15" s="46">
        <f t="shared" si="13"/>
        <v>10364</v>
      </c>
      <c r="AS15" s="46">
        <f t="shared" ref="AS15:AS34" si="25">+AG15</f>
        <v>5222</v>
      </c>
      <c r="AT15" s="91">
        <f>ROUND(($C$28/(1-$C$31))*(1+$C$29)^J15,3)</f>
        <v>0.03</v>
      </c>
      <c r="AU15" s="16">
        <f>ROUND((IF($C$47+$F$23&gt;$AQ15,$F$27*$F$30,0)+IF($C$48+$G$23&gt;AQ15,$G$27*$G$30,0))*AT15,0)</f>
        <v>3089</v>
      </c>
      <c r="AV15" s="53">
        <f>ROUND($C$33*(1+$C$34)^J15,3)</f>
        <v>2.105</v>
      </c>
      <c r="AW15" s="46">
        <f>ROUND(AV15*M15,0)</f>
        <v>6201</v>
      </c>
      <c r="AX15" s="91"/>
      <c r="AY15" s="92"/>
      <c r="AZ15" s="46">
        <f>ROUND(AR15+AS15+AU15+AW15+AY15,0)</f>
        <v>24876</v>
      </c>
      <c r="BA15" s="17"/>
      <c r="BB15" s="46">
        <f>ROUND($G$13,0)</f>
        <v>0</v>
      </c>
      <c r="BC15" s="46">
        <f>ROUND(($G$15*$G$30)-$Z$15,0)</f>
        <v>0</v>
      </c>
      <c r="BD15" s="47">
        <f t="shared" ref="BD15:BD34" si="26">BB15+BC15</f>
        <v>0</v>
      </c>
      <c r="BE15" s="46">
        <f t="shared" si="14"/>
        <v>24876</v>
      </c>
      <c r="BH15" s="7">
        <f t="shared" ref="BH15:BH36" si="27">BH14+1</f>
        <v>2026</v>
      </c>
      <c r="BI15" s="46">
        <f>+G12</f>
        <v>0</v>
      </c>
      <c r="BJ15" s="16">
        <f t="shared" si="15"/>
        <v>2946</v>
      </c>
      <c r="BK15" s="87">
        <f t="shared" ref="BK15:BK34" si="28">ROUND($C$10*(1+$C$11)^J15,3)</f>
        <v>8.6059999999999999</v>
      </c>
      <c r="BL15" s="46">
        <f>ROUND(BJ15*BK15,0)</f>
        <v>25353</v>
      </c>
      <c r="BM15" s="87">
        <f>ROUND($C$13*(1+$C$14)^J15,3)</f>
        <v>0.13900000000000001</v>
      </c>
      <c r="BN15" s="16">
        <f>ROUND((IF($C$47+$F$23&gt;BH15,$F$27*$F$30,0)+IF($C$48+$G$23&gt;BH15,$G$27*$G$30,0))*BM15,0)</f>
        <v>14311</v>
      </c>
      <c r="BO15" s="16"/>
      <c r="BP15" s="46">
        <f t="shared" si="17"/>
        <v>39664</v>
      </c>
      <c r="BR15" s="46">
        <f>ROUND($G$15*$G$30,0)</f>
        <v>0</v>
      </c>
      <c r="BS15" s="46"/>
      <c r="BT15" s="46">
        <f t="shared" ref="BT15:BT34" si="29">BP15-BR15</f>
        <v>39664</v>
      </c>
      <c r="BW15" s="7">
        <f t="shared" ref="BW15:BW36" si="30">BW14+1</f>
        <v>2026</v>
      </c>
      <c r="BX15" s="46">
        <f t="shared" si="18"/>
        <v>10364</v>
      </c>
      <c r="BY15" s="16">
        <f t="shared" ref="BY15:BY34" si="31">U15</f>
        <v>5222</v>
      </c>
      <c r="BZ15" s="116">
        <f t="shared" ref="BZ15:BZ34" si="32">AU15</f>
        <v>3089</v>
      </c>
      <c r="CA15" s="46">
        <f>SUM(BX15:BZ15)</f>
        <v>18675</v>
      </c>
      <c r="CC15" s="46">
        <f t="shared" ref="CC15:CD34" si="33">BB15</f>
        <v>0</v>
      </c>
      <c r="CD15" s="46">
        <f t="shared" si="33"/>
        <v>0</v>
      </c>
      <c r="CE15" s="46">
        <f>SUM(CC15:CD15)</f>
        <v>0</v>
      </c>
      <c r="CF15" s="46"/>
      <c r="CG15" s="46">
        <f>CA15-CE15</f>
        <v>18675</v>
      </c>
    </row>
    <row r="16" spans="1:106">
      <c r="F16" s="16"/>
      <c r="G16" s="16"/>
      <c r="H16" s="16"/>
      <c r="J16" s="2">
        <f t="shared" si="19"/>
        <v>2</v>
      </c>
      <c r="L16" s="7">
        <f t="shared" si="20"/>
        <v>2027</v>
      </c>
      <c r="M16" s="16">
        <f>ROUND(IF($C$47+$F$23&gt;L16,$F$25*$F$30,0)+IF($C$48+$G$23&gt;L16,$G$25*$G$30,0)+IF($C$49+$H$23&gt;L16,$H$25*$H$30,0),0)</f>
        <v>2946</v>
      </c>
      <c r="N16" s="53">
        <f t="shared" si="0"/>
        <v>3.6240000000000001</v>
      </c>
      <c r="O16" s="32">
        <f t="shared" si="1"/>
        <v>10676</v>
      </c>
      <c r="P16" s="53">
        <f t="shared" si="2"/>
        <v>0</v>
      </c>
      <c r="Q16" s="46">
        <f t="shared" si="21"/>
        <v>0</v>
      </c>
      <c r="R16" s="43">
        <f t="shared" si="3"/>
        <v>10676</v>
      </c>
      <c r="S16" s="42">
        <f t="shared" si="4"/>
        <v>29.5</v>
      </c>
      <c r="T16" s="46">
        <f t="shared" si="5"/>
        <v>179</v>
      </c>
      <c r="U16" s="44">
        <f t="shared" ref="U16:U34" si="34">ROUND(S16*T16,0)</f>
        <v>5281</v>
      </c>
      <c r="V16" s="16">
        <f t="shared" ref="V16:V34" si="35">ROUND(+U16+R16,0)</f>
        <v>15957</v>
      </c>
      <c r="W16" s="45">
        <f t="shared" si="6"/>
        <v>2.6859999999999999</v>
      </c>
      <c r="X16" s="46">
        <f t="shared" si="7"/>
        <v>6251</v>
      </c>
      <c r="Y16" s="46">
        <f>ROUND($H$11,0)</f>
        <v>0</v>
      </c>
      <c r="Z16" s="46">
        <f>ROUND($H$12,0)</f>
        <v>0</v>
      </c>
      <c r="AA16" s="46">
        <f>SUM(X16:Z16)</f>
        <v>6251</v>
      </c>
      <c r="AB16" s="46">
        <f>V16-AA16</f>
        <v>9706</v>
      </c>
      <c r="AE16" s="7">
        <f t="shared" si="22"/>
        <v>2027</v>
      </c>
      <c r="AF16" s="46">
        <f t="shared" si="9"/>
        <v>10676</v>
      </c>
      <c r="AG16" s="16">
        <f t="shared" si="10"/>
        <v>5281</v>
      </c>
      <c r="AH16" s="46">
        <f t="shared" ref="AH16:AH34" si="36">+AG16+AF16</f>
        <v>15957</v>
      </c>
      <c r="AJ16" s="32">
        <f t="shared" si="23"/>
        <v>0</v>
      </c>
      <c r="AK16" s="32">
        <f t="shared" si="23"/>
        <v>0</v>
      </c>
      <c r="AL16" s="32">
        <f>SUM(AJ16:AK16)</f>
        <v>0</v>
      </c>
      <c r="AN16" s="77">
        <f>+AH16-AL16</f>
        <v>15957</v>
      </c>
      <c r="AQ16" s="7">
        <f t="shared" si="24"/>
        <v>2027</v>
      </c>
      <c r="AR16" s="46">
        <f t="shared" si="13"/>
        <v>10676</v>
      </c>
      <c r="AS16" s="46">
        <f t="shared" si="25"/>
        <v>5281</v>
      </c>
      <c r="AT16" s="91">
        <f t="shared" ref="AT16:AT34" si="37">ROUND(($C$28/(1-$C$31))*(1+$C$29)^J16,3)</f>
        <v>3.1E-2</v>
      </c>
      <c r="AU16" s="16">
        <f>ROUND((IF($C$47+$F$23&gt;$AQ16,$F$27*$F$30,0)+IF($C$48+$G$23&gt;AQ16,$G$27*$G$30,0)+IF($C$49+$H$23&gt;AQ16,$H$27*$H$30,0))*AT16,0)</f>
        <v>3192</v>
      </c>
      <c r="AV16" s="53">
        <f t="shared" ref="AV16:AV34" si="38">ROUND($C$33*(1+$C$34)^J16,3)</f>
        <v>2.141</v>
      </c>
      <c r="AW16" s="46">
        <f t="shared" ref="AW16:AW34" si="39">ROUND(AV16*M16,0)</f>
        <v>6307</v>
      </c>
      <c r="AX16" s="91"/>
      <c r="AY16" s="92"/>
      <c r="AZ16" s="46">
        <f t="shared" ref="AZ16:AZ34" si="40">ROUND(AR16+AS16+AU16+AW16+AY16,0)</f>
        <v>25456</v>
      </c>
      <c r="BA16" s="17"/>
      <c r="BB16" s="46">
        <f>ROUND($H$13,0)</f>
        <v>0</v>
      </c>
      <c r="BC16" s="46">
        <f>ROUND(($H$15*$H$30)-$Z$16,0)</f>
        <v>0</v>
      </c>
      <c r="BD16" s="47">
        <f>BB16+BC16</f>
        <v>0</v>
      </c>
      <c r="BE16" s="46">
        <f t="shared" si="14"/>
        <v>25456</v>
      </c>
      <c r="BH16" s="7">
        <f t="shared" si="27"/>
        <v>2027</v>
      </c>
      <c r="BI16" s="46">
        <f>ROUND(H12,0)</f>
        <v>0</v>
      </c>
      <c r="BJ16" s="16">
        <f t="shared" si="15"/>
        <v>2946</v>
      </c>
      <c r="BK16" s="87">
        <f t="shared" si="28"/>
        <v>8.8640000000000008</v>
      </c>
      <c r="BL16" s="46">
        <f t="shared" ref="BL16:BL34" si="41">ROUND(BJ16*BK16,0)</f>
        <v>26113</v>
      </c>
      <c r="BM16" s="87">
        <f t="shared" si="16"/>
        <v>0.14299999999999999</v>
      </c>
      <c r="BN16" s="16">
        <f>ROUND((IF($C$47+$F$23&gt;BH16,$F$27*$F$30,0)+IF($C$49+$H$23&gt;BH16,$H$27*$H$30,0)+IF($C$48+$G$23&gt;BH16,$G$27*$G$30,0))*BM16,0)</f>
        <v>14723</v>
      </c>
      <c r="BO16" s="16"/>
      <c r="BP16" s="46">
        <f>BI16+BL16+BN16+BO16</f>
        <v>40836</v>
      </c>
      <c r="BR16" s="46">
        <f>ROUND($H$15*$H$30,0)</f>
        <v>0</v>
      </c>
      <c r="BS16" s="46"/>
      <c r="BT16" s="46">
        <f>BP16-BR16</f>
        <v>40836</v>
      </c>
      <c r="BW16" s="7">
        <f t="shared" si="30"/>
        <v>2027</v>
      </c>
      <c r="BX16" s="46">
        <f t="shared" si="18"/>
        <v>10676</v>
      </c>
      <c r="BY16" s="16">
        <f t="shared" si="31"/>
        <v>5281</v>
      </c>
      <c r="BZ16" s="116">
        <f t="shared" si="32"/>
        <v>3192</v>
      </c>
      <c r="CA16" s="46">
        <f t="shared" ref="CA16:CA34" si="42">SUM(BX16:BZ16)</f>
        <v>19149</v>
      </c>
      <c r="CC16" s="46">
        <f t="shared" si="33"/>
        <v>0</v>
      </c>
      <c r="CD16" s="46">
        <f t="shared" si="33"/>
        <v>0</v>
      </c>
      <c r="CE16" s="46">
        <f t="shared" ref="CE16:CE34" si="43">SUM(CC16:CD16)</f>
        <v>0</v>
      </c>
      <c r="CF16" s="46"/>
      <c r="CG16" s="46">
        <f t="shared" ref="CG16:CG34" si="44">CA16-CE16</f>
        <v>19149</v>
      </c>
    </row>
    <row r="17" spans="1:106">
      <c r="A17" s="3" t="s">
        <v>105</v>
      </c>
      <c r="C17" s="11">
        <f>+'Gas Input Table Summary'!$D$12</f>
        <v>3.4159999999999999</v>
      </c>
      <c r="D17" s="19"/>
      <c r="E17" s="3" t="s">
        <v>64</v>
      </c>
      <c r="F17" s="14">
        <f>+'Gas Input Table Summary'!$D$35</f>
        <v>0</v>
      </c>
      <c r="G17" s="14"/>
      <c r="H17" s="14"/>
      <c r="J17" s="2">
        <f t="shared" si="19"/>
        <v>3</v>
      </c>
      <c r="L17" s="7">
        <f t="shared" si="20"/>
        <v>2028</v>
      </c>
      <c r="M17" s="16">
        <f t="shared" ref="M17:M34" si="45">ROUND(IF($C$47+$F$23&gt;L17,$F$25*$F$30,0)+IF($C$48+$G$23&gt;L17,$G$25*$G$30,0)+IF($C$49+$H$23&gt;L17,$H$25*$H$30,0),0)</f>
        <v>2946</v>
      </c>
      <c r="N17" s="53">
        <f t="shared" si="0"/>
        <v>3.7330000000000001</v>
      </c>
      <c r="O17" s="32">
        <f t="shared" si="1"/>
        <v>10997</v>
      </c>
      <c r="P17" s="53">
        <f t="shared" si="2"/>
        <v>0</v>
      </c>
      <c r="Q17" s="46">
        <f t="shared" si="21"/>
        <v>0</v>
      </c>
      <c r="R17" s="43">
        <f t="shared" si="3"/>
        <v>10997</v>
      </c>
      <c r="S17" s="42">
        <f t="shared" si="4"/>
        <v>29.5</v>
      </c>
      <c r="T17" s="46">
        <f t="shared" si="5"/>
        <v>181</v>
      </c>
      <c r="U17" s="44">
        <f t="shared" si="34"/>
        <v>5340</v>
      </c>
      <c r="V17" s="16">
        <f t="shared" si="35"/>
        <v>16337</v>
      </c>
      <c r="W17" s="45">
        <f t="shared" si="6"/>
        <v>2.7669999999999999</v>
      </c>
      <c r="X17" s="46">
        <f t="shared" si="7"/>
        <v>6440</v>
      </c>
      <c r="Y17" s="46">
        <v>0</v>
      </c>
      <c r="Z17" s="46">
        <v>0</v>
      </c>
      <c r="AA17" s="46">
        <f t="shared" si="8"/>
        <v>6440</v>
      </c>
      <c r="AB17" s="46">
        <f t="shared" ref="AB17:AB34" si="46">V17-AA17</f>
        <v>9897</v>
      </c>
      <c r="AE17" s="7">
        <f t="shared" si="22"/>
        <v>2028</v>
      </c>
      <c r="AF17" s="46">
        <f t="shared" si="9"/>
        <v>10997</v>
      </c>
      <c r="AG17" s="16">
        <f t="shared" si="10"/>
        <v>5340</v>
      </c>
      <c r="AH17" s="46">
        <f t="shared" si="36"/>
        <v>16337</v>
      </c>
      <c r="AJ17" s="32">
        <f t="shared" si="23"/>
        <v>0</v>
      </c>
      <c r="AK17" s="32">
        <f t="shared" si="23"/>
        <v>0</v>
      </c>
      <c r="AL17" s="32">
        <f t="shared" si="11"/>
        <v>0</v>
      </c>
      <c r="AN17" s="77">
        <f t="shared" si="12"/>
        <v>16337</v>
      </c>
      <c r="AQ17" s="7">
        <f t="shared" si="24"/>
        <v>2028</v>
      </c>
      <c r="AR17" s="46">
        <f t="shared" si="13"/>
        <v>10997</v>
      </c>
      <c r="AS17" s="46">
        <f t="shared" si="25"/>
        <v>5340</v>
      </c>
      <c r="AT17" s="91">
        <f t="shared" si="37"/>
        <v>3.2000000000000001E-2</v>
      </c>
      <c r="AU17" s="16">
        <f t="shared" ref="AU17:AU34" si="47">ROUND((IF($C$47+$F$23&gt;$AQ17,$F$27*$F$30,0)+IF($C$48+$G$23&gt;AQ17,$G$27*$G$30,0)+IF($C$49+$H$23&gt;AQ17,$H$27*$H$30,0))*AT17,0)</f>
        <v>3295</v>
      </c>
      <c r="AV17" s="53">
        <f t="shared" si="38"/>
        <v>2.177</v>
      </c>
      <c r="AW17" s="46">
        <f t="shared" si="39"/>
        <v>6413</v>
      </c>
      <c r="AX17" s="91"/>
      <c r="AY17" s="92"/>
      <c r="AZ17" s="46">
        <f t="shared" si="40"/>
        <v>26045</v>
      </c>
      <c r="BA17" s="17"/>
      <c r="BB17" s="46">
        <v>0</v>
      </c>
      <c r="BC17" s="46">
        <v>0</v>
      </c>
      <c r="BD17" s="47">
        <f t="shared" si="26"/>
        <v>0</v>
      </c>
      <c r="BE17" s="46">
        <f t="shared" si="14"/>
        <v>26045</v>
      </c>
      <c r="BH17" s="7">
        <f t="shared" si="27"/>
        <v>2028</v>
      </c>
      <c r="BI17" s="46">
        <v>0</v>
      </c>
      <c r="BJ17" s="16">
        <f t="shared" si="15"/>
        <v>2946</v>
      </c>
      <c r="BK17" s="87">
        <f t="shared" si="28"/>
        <v>9.1300000000000008</v>
      </c>
      <c r="BL17" s="46">
        <f t="shared" si="41"/>
        <v>26897</v>
      </c>
      <c r="BM17" s="87">
        <f t="shared" si="16"/>
        <v>0.14699999999999999</v>
      </c>
      <c r="BN17" s="16">
        <f t="shared" ref="BN17:BN34" si="48">ROUND((IF($C$47+$F$23&gt;BH17,$F$27*$F$30,0)+IF($C$49+$H$23&gt;BH17,$H$27*$H$30,0)+IF($C$48+$G$23&gt;BH17,$G$27*$G$30,0))*BM17,0)</f>
        <v>15135</v>
      </c>
      <c r="BO17" s="16"/>
      <c r="BP17" s="46">
        <f t="shared" si="17"/>
        <v>42032</v>
      </c>
      <c r="BR17" s="46">
        <f t="shared" ref="BR17:BR34" si="49">+BC17</f>
        <v>0</v>
      </c>
      <c r="BS17" s="46"/>
      <c r="BT17" s="46">
        <f t="shared" si="29"/>
        <v>42032</v>
      </c>
      <c r="BW17" s="7">
        <f t="shared" si="30"/>
        <v>2028</v>
      </c>
      <c r="BX17" s="46">
        <f t="shared" si="18"/>
        <v>10997</v>
      </c>
      <c r="BY17" s="16">
        <f t="shared" si="31"/>
        <v>5340</v>
      </c>
      <c r="BZ17" s="116">
        <f t="shared" si="32"/>
        <v>3295</v>
      </c>
      <c r="CA17" s="46">
        <f t="shared" si="42"/>
        <v>19632</v>
      </c>
      <c r="CC17" s="46">
        <f t="shared" si="33"/>
        <v>0</v>
      </c>
      <c r="CD17" s="46">
        <f t="shared" si="33"/>
        <v>0</v>
      </c>
      <c r="CE17" s="46">
        <f t="shared" si="43"/>
        <v>0</v>
      </c>
      <c r="CF17" s="46"/>
      <c r="CG17" s="46">
        <f t="shared" si="44"/>
        <v>19632</v>
      </c>
    </row>
    <row r="18" spans="1:106">
      <c r="A18" s="3" t="s">
        <v>18</v>
      </c>
      <c r="C18" s="15">
        <f>+'Gas Input Table Summary'!$D$13</f>
        <v>0.03</v>
      </c>
      <c r="E18" s="2" t="s">
        <v>65</v>
      </c>
      <c r="F18" s="15">
        <f>+'Gas Input Table Summary'!$D$38</f>
        <v>0</v>
      </c>
      <c r="G18" s="15"/>
      <c r="H18" s="15"/>
      <c r="J18" s="2">
        <f t="shared" si="19"/>
        <v>4</v>
      </c>
      <c r="L18" s="7">
        <f t="shared" si="20"/>
        <v>2029</v>
      </c>
      <c r="M18" s="16">
        <f t="shared" si="45"/>
        <v>2946</v>
      </c>
      <c r="N18" s="53">
        <f t="shared" si="0"/>
        <v>3.8450000000000002</v>
      </c>
      <c r="O18" s="32">
        <f t="shared" si="1"/>
        <v>11327</v>
      </c>
      <c r="P18" s="53">
        <f t="shared" si="2"/>
        <v>0</v>
      </c>
      <c r="Q18" s="46">
        <f t="shared" si="21"/>
        <v>0</v>
      </c>
      <c r="R18" s="43">
        <f t="shared" si="3"/>
        <v>11327</v>
      </c>
      <c r="S18" s="42">
        <f t="shared" si="4"/>
        <v>29.5</v>
      </c>
      <c r="T18" s="46">
        <f t="shared" si="5"/>
        <v>182</v>
      </c>
      <c r="U18" s="44">
        <f t="shared" si="34"/>
        <v>5369</v>
      </c>
      <c r="V18" s="16">
        <f t="shared" si="35"/>
        <v>16696</v>
      </c>
      <c r="W18" s="45">
        <f t="shared" si="6"/>
        <v>2.85</v>
      </c>
      <c r="X18" s="46">
        <f t="shared" si="7"/>
        <v>6633</v>
      </c>
      <c r="Y18" s="46">
        <v>0</v>
      </c>
      <c r="Z18" s="46">
        <v>0</v>
      </c>
      <c r="AA18" s="46">
        <f t="shared" si="8"/>
        <v>6633</v>
      </c>
      <c r="AB18" s="46">
        <f t="shared" si="46"/>
        <v>10063</v>
      </c>
      <c r="AE18" s="7">
        <f t="shared" si="22"/>
        <v>2029</v>
      </c>
      <c r="AF18" s="46">
        <f t="shared" si="9"/>
        <v>11327</v>
      </c>
      <c r="AG18" s="16">
        <f t="shared" si="10"/>
        <v>5369</v>
      </c>
      <c r="AH18" s="46">
        <f t="shared" si="36"/>
        <v>16696</v>
      </c>
      <c r="AJ18" s="32">
        <f t="shared" si="23"/>
        <v>0</v>
      </c>
      <c r="AK18" s="32">
        <f t="shared" si="23"/>
        <v>0</v>
      </c>
      <c r="AL18" s="32">
        <f t="shared" si="11"/>
        <v>0</v>
      </c>
      <c r="AN18" s="77">
        <f t="shared" si="12"/>
        <v>16696</v>
      </c>
      <c r="AQ18" s="7">
        <f t="shared" si="24"/>
        <v>2029</v>
      </c>
      <c r="AR18" s="46">
        <f t="shared" si="13"/>
        <v>11327</v>
      </c>
      <c r="AS18" s="46">
        <f t="shared" si="25"/>
        <v>5369</v>
      </c>
      <c r="AT18" s="91">
        <f t="shared" si="37"/>
        <v>3.3000000000000002E-2</v>
      </c>
      <c r="AU18" s="16">
        <f t="shared" si="47"/>
        <v>3398</v>
      </c>
      <c r="AV18" s="53">
        <f t="shared" si="38"/>
        <v>2.214</v>
      </c>
      <c r="AW18" s="46">
        <f t="shared" si="39"/>
        <v>6522</v>
      </c>
      <c r="AX18" s="91"/>
      <c r="AY18" s="92"/>
      <c r="AZ18" s="46">
        <f t="shared" si="40"/>
        <v>26616</v>
      </c>
      <c r="BA18" s="17"/>
      <c r="BB18" s="46">
        <v>0</v>
      </c>
      <c r="BC18" s="46">
        <v>0</v>
      </c>
      <c r="BD18" s="47">
        <f t="shared" si="26"/>
        <v>0</v>
      </c>
      <c r="BE18" s="46">
        <f t="shared" si="14"/>
        <v>26616</v>
      </c>
      <c r="BH18" s="7">
        <f t="shared" si="27"/>
        <v>2029</v>
      </c>
      <c r="BI18" s="46">
        <v>0</v>
      </c>
      <c r="BJ18" s="16">
        <f t="shared" si="15"/>
        <v>2946</v>
      </c>
      <c r="BK18" s="87">
        <f t="shared" si="28"/>
        <v>9.4039999999999999</v>
      </c>
      <c r="BL18" s="46">
        <f t="shared" si="41"/>
        <v>27704</v>
      </c>
      <c r="BM18" s="87">
        <f t="shared" si="16"/>
        <v>0.152</v>
      </c>
      <c r="BN18" s="16">
        <f t="shared" si="48"/>
        <v>15650</v>
      </c>
      <c r="BO18" s="16"/>
      <c r="BP18" s="46">
        <f t="shared" si="17"/>
        <v>43354</v>
      </c>
      <c r="BR18" s="46">
        <f t="shared" si="49"/>
        <v>0</v>
      </c>
      <c r="BS18" s="46"/>
      <c r="BT18" s="46">
        <f t="shared" si="29"/>
        <v>43354</v>
      </c>
      <c r="BW18" s="7">
        <f t="shared" si="30"/>
        <v>2029</v>
      </c>
      <c r="BX18" s="46">
        <f t="shared" si="18"/>
        <v>11327</v>
      </c>
      <c r="BY18" s="16">
        <f t="shared" si="31"/>
        <v>5369</v>
      </c>
      <c r="BZ18" s="116">
        <f t="shared" si="32"/>
        <v>3398</v>
      </c>
      <c r="CA18" s="46">
        <f t="shared" si="42"/>
        <v>20094</v>
      </c>
      <c r="CC18" s="46">
        <f t="shared" si="33"/>
        <v>0</v>
      </c>
      <c r="CD18" s="46">
        <f t="shared" si="33"/>
        <v>0</v>
      </c>
      <c r="CE18" s="46">
        <f t="shared" si="43"/>
        <v>0</v>
      </c>
      <c r="CF18" s="46"/>
      <c r="CG18" s="46">
        <f t="shared" si="44"/>
        <v>20094</v>
      </c>
      <c r="DB18" s="5"/>
    </row>
    <row r="19" spans="1:106">
      <c r="C19" s="3"/>
      <c r="J19" s="2">
        <f t="shared" si="19"/>
        <v>5</v>
      </c>
      <c r="L19" s="7">
        <f t="shared" si="20"/>
        <v>2030</v>
      </c>
      <c r="M19" s="16">
        <f t="shared" si="45"/>
        <v>2946</v>
      </c>
      <c r="N19" s="53">
        <f t="shared" si="0"/>
        <v>3.96</v>
      </c>
      <c r="O19" s="32">
        <f t="shared" si="1"/>
        <v>11666</v>
      </c>
      <c r="P19" s="53">
        <f t="shared" si="2"/>
        <v>0</v>
      </c>
      <c r="Q19" s="46">
        <f t="shared" si="21"/>
        <v>0</v>
      </c>
      <c r="R19" s="43">
        <f t="shared" si="3"/>
        <v>11666</v>
      </c>
      <c r="S19" s="42">
        <f t="shared" si="4"/>
        <v>29.5</v>
      </c>
      <c r="T19" s="46">
        <f t="shared" si="5"/>
        <v>184</v>
      </c>
      <c r="U19" s="44">
        <f t="shared" si="34"/>
        <v>5428</v>
      </c>
      <c r="V19" s="16">
        <f t="shared" si="35"/>
        <v>17094</v>
      </c>
      <c r="W19" s="45">
        <f t="shared" si="6"/>
        <v>2.9350000000000001</v>
      </c>
      <c r="X19" s="46">
        <f t="shared" si="7"/>
        <v>6831</v>
      </c>
      <c r="Y19" s="46">
        <v>0</v>
      </c>
      <c r="Z19" s="46">
        <v>0</v>
      </c>
      <c r="AA19" s="46">
        <f t="shared" si="8"/>
        <v>6831</v>
      </c>
      <c r="AB19" s="46">
        <f t="shared" si="46"/>
        <v>10263</v>
      </c>
      <c r="AE19" s="7">
        <f t="shared" si="22"/>
        <v>2030</v>
      </c>
      <c r="AF19" s="46">
        <f t="shared" si="9"/>
        <v>11666</v>
      </c>
      <c r="AG19" s="16">
        <f t="shared" si="10"/>
        <v>5428</v>
      </c>
      <c r="AH19" s="46">
        <f t="shared" si="36"/>
        <v>17094</v>
      </c>
      <c r="AJ19" s="32">
        <f t="shared" si="23"/>
        <v>0</v>
      </c>
      <c r="AK19" s="32">
        <f t="shared" si="23"/>
        <v>0</v>
      </c>
      <c r="AL19" s="32">
        <f t="shared" si="11"/>
        <v>0</v>
      </c>
      <c r="AN19" s="77">
        <f t="shared" si="12"/>
        <v>17094</v>
      </c>
      <c r="AQ19" s="7">
        <f t="shared" si="24"/>
        <v>2030</v>
      </c>
      <c r="AR19" s="46">
        <f t="shared" si="13"/>
        <v>11666</v>
      </c>
      <c r="AS19" s="46">
        <f t="shared" si="25"/>
        <v>5428</v>
      </c>
      <c r="AT19" s="91">
        <f t="shared" si="37"/>
        <v>3.4000000000000002E-2</v>
      </c>
      <c r="AU19" s="16">
        <f t="shared" si="47"/>
        <v>3501</v>
      </c>
      <c r="AV19" s="53">
        <f t="shared" si="38"/>
        <v>2.2509999999999999</v>
      </c>
      <c r="AW19" s="46">
        <f t="shared" si="39"/>
        <v>6631</v>
      </c>
      <c r="AX19" s="91"/>
      <c r="AY19" s="92"/>
      <c r="AZ19" s="46">
        <f t="shared" si="40"/>
        <v>27226</v>
      </c>
      <c r="BA19" s="17"/>
      <c r="BB19" s="46">
        <v>0</v>
      </c>
      <c r="BC19" s="46">
        <v>0</v>
      </c>
      <c r="BD19" s="47">
        <f t="shared" si="26"/>
        <v>0</v>
      </c>
      <c r="BE19" s="46">
        <f t="shared" si="14"/>
        <v>27226</v>
      </c>
      <c r="BH19" s="7">
        <f t="shared" si="27"/>
        <v>2030</v>
      </c>
      <c r="BI19" s="46">
        <v>0</v>
      </c>
      <c r="BJ19" s="16">
        <f t="shared" si="15"/>
        <v>2946</v>
      </c>
      <c r="BK19" s="87">
        <f t="shared" si="28"/>
        <v>9.6859999999999999</v>
      </c>
      <c r="BL19" s="46">
        <f t="shared" si="41"/>
        <v>28535</v>
      </c>
      <c r="BM19" s="87">
        <f t="shared" si="16"/>
        <v>0.156</v>
      </c>
      <c r="BN19" s="16">
        <f t="shared" si="48"/>
        <v>16062</v>
      </c>
      <c r="BO19" s="16"/>
      <c r="BP19" s="46">
        <f t="shared" si="17"/>
        <v>44597</v>
      </c>
      <c r="BR19" s="46">
        <f t="shared" si="49"/>
        <v>0</v>
      </c>
      <c r="BS19" s="46"/>
      <c r="BT19" s="46">
        <f t="shared" si="29"/>
        <v>44597</v>
      </c>
      <c r="BW19" s="7">
        <f t="shared" si="30"/>
        <v>2030</v>
      </c>
      <c r="BX19" s="46">
        <f t="shared" si="18"/>
        <v>11666</v>
      </c>
      <c r="BY19" s="16">
        <f t="shared" si="31"/>
        <v>5428</v>
      </c>
      <c r="BZ19" s="116">
        <f t="shared" si="32"/>
        <v>3501</v>
      </c>
      <c r="CA19" s="46">
        <f t="shared" si="42"/>
        <v>20595</v>
      </c>
      <c r="CC19" s="46">
        <f t="shared" si="33"/>
        <v>0</v>
      </c>
      <c r="CD19" s="46">
        <f t="shared" si="33"/>
        <v>0</v>
      </c>
      <c r="CE19" s="46">
        <f t="shared" si="43"/>
        <v>0</v>
      </c>
      <c r="CF19" s="46"/>
      <c r="CG19" s="46">
        <f t="shared" si="44"/>
        <v>20595</v>
      </c>
    </row>
    <row r="20" spans="1:106">
      <c r="A20" s="3" t="s">
        <v>66</v>
      </c>
      <c r="C20" s="20">
        <f>+'Gas Input Table Summary'!$D$14</f>
        <v>175.3</v>
      </c>
      <c r="E20" s="3" t="s">
        <v>67</v>
      </c>
      <c r="F20" s="14">
        <f>+'Gas Input Table Summary'!$D$41</f>
        <v>0</v>
      </c>
      <c r="G20" s="14"/>
      <c r="H20" s="14"/>
      <c r="J20" s="2">
        <f t="shared" si="19"/>
        <v>6</v>
      </c>
      <c r="L20" s="7">
        <f t="shared" si="20"/>
        <v>2031</v>
      </c>
      <c r="M20" s="16">
        <f t="shared" si="45"/>
        <v>2946</v>
      </c>
      <c r="N20" s="53">
        <f t="shared" si="0"/>
        <v>4.0789999999999997</v>
      </c>
      <c r="O20" s="32">
        <f t="shared" si="1"/>
        <v>12017</v>
      </c>
      <c r="P20" s="53">
        <f t="shared" si="2"/>
        <v>0</v>
      </c>
      <c r="Q20" s="46">
        <f t="shared" si="21"/>
        <v>0</v>
      </c>
      <c r="R20" s="43">
        <f t="shared" si="3"/>
        <v>12017</v>
      </c>
      <c r="S20" s="42">
        <f t="shared" si="4"/>
        <v>29.5</v>
      </c>
      <c r="T20" s="46">
        <f t="shared" si="5"/>
        <v>186</v>
      </c>
      <c r="U20" s="44">
        <f t="shared" si="34"/>
        <v>5487</v>
      </c>
      <c r="V20" s="16">
        <f t="shared" si="35"/>
        <v>17504</v>
      </c>
      <c r="W20" s="45">
        <f t="shared" si="6"/>
        <v>3.0230000000000001</v>
      </c>
      <c r="X20" s="46">
        <f t="shared" si="7"/>
        <v>7036</v>
      </c>
      <c r="Y20" s="46">
        <v>0</v>
      </c>
      <c r="Z20" s="46">
        <v>0</v>
      </c>
      <c r="AA20" s="46">
        <f t="shared" si="8"/>
        <v>7036</v>
      </c>
      <c r="AB20" s="46">
        <f t="shared" si="46"/>
        <v>10468</v>
      </c>
      <c r="AE20" s="7">
        <f t="shared" si="22"/>
        <v>2031</v>
      </c>
      <c r="AF20" s="46">
        <f t="shared" si="9"/>
        <v>12017</v>
      </c>
      <c r="AG20" s="16">
        <f t="shared" si="10"/>
        <v>5487</v>
      </c>
      <c r="AH20" s="46">
        <f t="shared" si="36"/>
        <v>17504</v>
      </c>
      <c r="AJ20" s="32">
        <f t="shared" si="23"/>
        <v>0</v>
      </c>
      <c r="AK20" s="32">
        <f t="shared" si="23"/>
        <v>0</v>
      </c>
      <c r="AL20" s="32">
        <f t="shared" si="11"/>
        <v>0</v>
      </c>
      <c r="AN20" s="77">
        <f t="shared" si="12"/>
        <v>17504</v>
      </c>
      <c r="AQ20" s="7">
        <f t="shared" si="24"/>
        <v>2031</v>
      </c>
      <c r="AR20" s="46">
        <f t="shared" si="13"/>
        <v>12017</v>
      </c>
      <c r="AS20" s="46">
        <f t="shared" si="25"/>
        <v>5487</v>
      </c>
      <c r="AT20" s="91">
        <f t="shared" si="37"/>
        <v>3.5000000000000003E-2</v>
      </c>
      <c r="AU20" s="16">
        <f t="shared" si="47"/>
        <v>3604</v>
      </c>
      <c r="AV20" s="53">
        <f t="shared" si="38"/>
        <v>2.2890000000000001</v>
      </c>
      <c r="AW20" s="46">
        <f t="shared" si="39"/>
        <v>6743</v>
      </c>
      <c r="AX20" s="91"/>
      <c r="AY20" s="92"/>
      <c r="AZ20" s="46">
        <f t="shared" si="40"/>
        <v>27851</v>
      </c>
      <c r="BA20" s="17"/>
      <c r="BB20" s="46">
        <v>0</v>
      </c>
      <c r="BC20" s="46">
        <v>0</v>
      </c>
      <c r="BD20" s="47">
        <f t="shared" si="26"/>
        <v>0</v>
      </c>
      <c r="BE20" s="46">
        <f t="shared" si="14"/>
        <v>27851</v>
      </c>
      <c r="BH20" s="7">
        <f t="shared" si="27"/>
        <v>2031</v>
      </c>
      <c r="BI20" s="46">
        <v>0</v>
      </c>
      <c r="BJ20" s="16">
        <f t="shared" si="15"/>
        <v>2946</v>
      </c>
      <c r="BK20" s="87">
        <f t="shared" si="28"/>
        <v>9.9760000000000009</v>
      </c>
      <c r="BL20" s="46">
        <f t="shared" si="41"/>
        <v>29389</v>
      </c>
      <c r="BM20" s="87">
        <f t="shared" si="16"/>
        <v>0.161</v>
      </c>
      <c r="BN20" s="16">
        <f t="shared" si="48"/>
        <v>16577</v>
      </c>
      <c r="BO20" s="16"/>
      <c r="BP20" s="46">
        <f t="shared" si="17"/>
        <v>45966</v>
      </c>
      <c r="BR20" s="46">
        <f t="shared" si="49"/>
        <v>0</v>
      </c>
      <c r="BS20" s="46"/>
      <c r="BT20" s="46">
        <f t="shared" si="29"/>
        <v>45966</v>
      </c>
      <c r="BW20" s="7">
        <f t="shared" si="30"/>
        <v>2031</v>
      </c>
      <c r="BX20" s="46">
        <f t="shared" si="18"/>
        <v>12017</v>
      </c>
      <c r="BY20" s="16">
        <f t="shared" si="31"/>
        <v>5487</v>
      </c>
      <c r="BZ20" s="116">
        <f t="shared" si="32"/>
        <v>3604</v>
      </c>
      <c r="CA20" s="46">
        <f t="shared" si="42"/>
        <v>21108</v>
      </c>
      <c r="CC20" s="46">
        <f t="shared" si="33"/>
        <v>0</v>
      </c>
      <c r="CD20" s="46">
        <f t="shared" si="33"/>
        <v>0</v>
      </c>
      <c r="CE20" s="46">
        <f t="shared" si="43"/>
        <v>0</v>
      </c>
      <c r="CF20" s="46"/>
      <c r="CG20" s="46">
        <f t="shared" si="44"/>
        <v>21108</v>
      </c>
      <c r="DB20" s="7"/>
    </row>
    <row r="21" spans="1:106">
      <c r="A21" s="3" t="s">
        <v>18</v>
      </c>
      <c r="C21" s="15">
        <f>+'Gas Input Table Summary'!$D$15</f>
        <v>0.01</v>
      </c>
      <c r="E21" s="2" t="s">
        <v>65</v>
      </c>
      <c r="F21" s="15">
        <f>+'Gas Input Table Summary'!$D$44</f>
        <v>0</v>
      </c>
      <c r="G21" s="15"/>
      <c r="H21" s="15"/>
      <c r="J21" s="2">
        <f t="shared" si="19"/>
        <v>7</v>
      </c>
      <c r="L21" s="7">
        <f t="shared" si="20"/>
        <v>2032</v>
      </c>
      <c r="M21" s="16">
        <f t="shared" si="45"/>
        <v>2946</v>
      </c>
      <c r="N21" s="53">
        <f t="shared" si="0"/>
        <v>4.2009999999999996</v>
      </c>
      <c r="O21" s="32">
        <f t="shared" si="1"/>
        <v>12376</v>
      </c>
      <c r="P21" s="53">
        <f t="shared" si="2"/>
        <v>0</v>
      </c>
      <c r="Q21" s="46">
        <f t="shared" si="21"/>
        <v>0</v>
      </c>
      <c r="R21" s="43">
        <f t="shared" si="3"/>
        <v>12376</v>
      </c>
      <c r="S21" s="42">
        <f t="shared" si="4"/>
        <v>29.5</v>
      </c>
      <c r="T21" s="46">
        <f t="shared" si="5"/>
        <v>188</v>
      </c>
      <c r="U21" s="44">
        <f t="shared" si="34"/>
        <v>5546</v>
      </c>
      <c r="V21" s="16">
        <f t="shared" si="35"/>
        <v>17922</v>
      </c>
      <c r="W21" s="45">
        <f t="shared" si="6"/>
        <v>3.1139999999999999</v>
      </c>
      <c r="X21" s="46">
        <f t="shared" si="7"/>
        <v>7247</v>
      </c>
      <c r="Y21" s="46">
        <v>0</v>
      </c>
      <c r="Z21" s="46">
        <v>0</v>
      </c>
      <c r="AA21" s="46">
        <f t="shared" si="8"/>
        <v>7247</v>
      </c>
      <c r="AB21" s="46">
        <f t="shared" si="46"/>
        <v>10675</v>
      </c>
      <c r="AE21" s="7">
        <f t="shared" si="22"/>
        <v>2032</v>
      </c>
      <c r="AF21" s="46">
        <f t="shared" si="9"/>
        <v>12376</v>
      </c>
      <c r="AG21" s="16">
        <f t="shared" si="10"/>
        <v>5546</v>
      </c>
      <c r="AH21" s="46">
        <f t="shared" si="36"/>
        <v>17922</v>
      </c>
      <c r="AJ21" s="32">
        <f t="shared" si="23"/>
        <v>0</v>
      </c>
      <c r="AK21" s="32">
        <f t="shared" si="23"/>
        <v>0</v>
      </c>
      <c r="AL21" s="32">
        <f t="shared" si="11"/>
        <v>0</v>
      </c>
      <c r="AN21" s="77">
        <f t="shared" si="12"/>
        <v>17922</v>
      </c>
      <c r="AQ21" s="7">
        <f t="shared" si="24"/>
        <v>2032</v>
      </c>
      <c r="AR21" s="46">
        <f t="shared" si="13"/>
        <v>12376</v>
      </c>
      <c r="AS21" s="46">
        <f t="shared" si="25"/>
        <v>5546</v>
      </c>
      <c r="AT21" s="91">
        <f t="shared" si="37"/>
        <v>3.5999999999999997E-2</v>
      </c>
      <c r="AU21" s="16">
        <f t="shared" si="47"/>
        <v>3707</v>
      </c>
      <c r="AV21" s="53">
        <f t="shared" si="38"/>
        <v>2.3279999999999998</v>
      </c>
      <c r="AW21" s="46">
        <f t="shared" si="39"/>
        <v>6858</v>
      </c>
      <c r="AX21" s="91"/>
      <c r="AY21" s="92"/>
      <c r="AZ21" s="46">
        <f t="shared" si="40"/>
        <v>28487</v>
      </c>
      <c r="BA21" s="17"/>
      <c r="BB21" s="46">
        <v>0</v>
      </c>
      <c r="BC21" s="46">
        <v>0</v>
      </c>
      <c r="BD21" s="47">
        <f t="shared" si="26"/>
        <v>0</v>
      </c>
      <c r="BE21" s="46">
        <f t="shared" si="14"/>
        <v>28487</v>
      </c>
      <c r="BH21" s="7">
        <f t="shared" si="27"/>
        <v>2032</v>
      </c>
      <c r="BI21" s="46">
        <v>0</v>
      </c>
      <c r="BJ21" s="16">
        <f t="shared" si="15"/>
        <v>2946</v>
      </c>
      <c r="BK21" s="87">
        <f t="shared" si="28"/>
        <v>10.276</v>
      </c>
      <c r="BL21" s="46">
        <f t="shared" si="41"/>
        <v>30273</v>
      </c>
      <c r="BM21" s="87">
        <f t="shared" si="16"/>
        <v>0.16600000000000001</v>
      </c>
      <c r="BN21" s="16">
        <f t="shared" si="48"/>
        <v>17091</v>
      </c>
      <c r="BO21" s="16"/>
      <c r="BP21" s="46">
        <f t="shared" si="17"/>
        <v>47364</v>
      </c>
      <c r="BR21" s="46">
        <f t="shared" si="49"/>
        <v>0</v>
      </c>
      <c r="BS21" s="46"/>
      <c r="BT21" s="46">
        <f t="shared" si="29"/>
        <v>47364</v>
      </c>
      <c r="BW21" s="7">
        <f t="shared" si="30"/>
        <v>2032</v>
      </c>
      <c r="BX21" s="46">
        <f t="shared" si="18"/>
        <v>12376</v>
      </c>
      <c r="BY21" s="16">
        <f t="shared" si="31"/>
        <v>5546</v>
      </c>
      <c r="BZ21" s="116">
        <f t="shared" si="32"/>
        <v>3707</v>
      </c>
      <c r="CA21" s="46">
        <f t="shared" si="42"/>
        <v>21629</v>
      </c>
      <c r="CC21" s="46">
        <f t="shared" si="33"/>
        <v>0</v>
      </c>
      <c r="CD21" s="46">
        <f t="shared" si="33"/>
        <v>0</v>
      </c>
      <c r="CE21" s="46">
        <f t="shared" si="43"/>
        <v>0</v>
      </c>
      <c r="CF21" s="46"/>
      <c r="CG21" s="46">
        <f t="shared" si="44"/>
        <v>21629</v>
      </c>
    </row>
    <row r="22" spans="1:106">
      <c r="F22" s="16"/>
      <c r="G22" s="16"/>
      <c r="H22" s="16"/>
      <c r="J22" s="2">
        <f t="shared" si="19"/>
        <v>8</v>
      </c>
      <c r="L22" s="7">
        <f t="shared" si="20"/>
        <v>2033</v>
      </c>
      <c r="M22" s="16">
        <f t="shared" si="45"/>
        <v>2946</v>
      </c>
      <c r="N22" s="53">
        <f t="shared" si="0"/>
        <v>4.327</v>
      </c>
      <c r="O22" s="32">
        <f t="shared" si="1"/>
        <v>12747</v>
      </c>
      <c r="P22" s="53">
        <f t="shared" si="2"/>
        <v>0</v>
      </c>
      <c r="Q22" s="46">
        <f t="shared" si="21"/>
        <v>0</v>
      </c>
      <c r="R22" s="43">
        <f t="shared" si="3"/>
        <v>12747</v>
      </c>
      <c r="S22" s="42">
        <f t="shared" si="4"/>
        <v>29.5</v>
      </c>
      <c r="T22" s="46">
        <f t="shared" si="5"/>
        <v>190</v>
      </c>
      <c r="U22" s="44">
        <f t="shared" si="34"/>
        <v>5605</v>
      </c>
      <c r="V22" s="16">
        <f t="shared" si="35"/>
        <v>18352</v>
      </c>
      <c r="W22" s="45">
        <f t="shared" si="6"/>
        <v>3.2069999999999999</v>
      </c>
      <c r="X22" s="46">
        <f t="shared" si="7"/>
        <v>7464</v>
      </c>
      <c r="Y22" s="46">
        <v>0</v>
      </c>
      <c r="Z22" s="46">
        <v>0</v>
      </c>
      <c r="AA22" s="46">
        <f t="shared" si="8"/>
        <v>7464</v>
      </c>
      <c r="AB22" s="46">
        <f t="shared" si="46"/>
        <v>10888</v>
      </c>
      <c r="AE22" s="7">
        <f t="shared" si="22"/>
        <v>2033</v>
      </c>
      <c r="AF22" s="46">
        <f t="shared" si="9"/>
        <v>12747</v>
      </c>
      <c r="AG22" s="16">
        <f t="shared" si="10"/>
        <v>5605</v>
      </c>
      <c r="AH22" s="46">
        <f t="shared" si="36"/>
        <v>18352</v>
      </c>
      <c r="AJ22" s="32">
        <f t="shared" si="23"/>
        <v>0</v>
      </c>
      <c r="AK22" s="32">
        <f t="shared" si="23"/>
        <v>0</v>
      </c>
      <c r="AL22" s="32">
        <f t="shared" si="11"/>
        <v>0</v>
      </c>
      <c r="AN22" s="77">
        <f t="shared" si="12"/>
        <v>18352</v>
      </c>
      <c r="AQ22" s="7">
        <f t="shared" si="24"/>
        <v>2033</v>
      </c>
      <c r="AR22" s="46">
        <f t="shared" si="13"/>
        <v>12747</v>
      </c>
      <c r="AS22" s="46">
        <f t="shared" si="25"/>
        <v>5605</v>
      </c>
      <c r="AT22" s="91">
        <f t="shared" si="37"/>
        <v>3.6999999999999998E-2</v>
      </c>
      <c r="AU22" s="16">
        <f t="shared" si="47"/>
        <v>3810</v>
      </c>
      <c r="AV22" s="53">
        <f t="shared" si="38"/>
        <v>2.367</v>
      </c>
      <c r="AW22" s="46">
        <f t="shared" si="39"/>
        <v>6973</v>
      </c>
      <c r="AX22" s="91"/>
      <c r="AY22" s="92"/>
      <c r="AZ22" s="46">
        <f t="shared" si="40"/>
        <v>29135</v>
      </c>
      <c r="BA22" s="17"/>
      <c r="BB22" s="46">
        <v>0</v>
      </c>
      <c r="BC22" s="46">
        <v>0</v>
      </c>
      <c r="BD22" s="47">
        <f t="shared" si="26"/>
        <v>0</v>
      </c>
      <c r="BE22" s="46">
        <f t="shared" si="14"/>
        <v>29135</v>
      </c>
      <c r="BH22" s="7">
        <f t="shared" si="27"/>
        <v>2033</v>
      </c>
      <c r="BI22" s="46">
        <v>0</v>
      </c>
      <c r="BJ22" s="16">
        <f t="shared" si="15"/>
        <v>2946</v>
      </c>
      <c r="BK22" s="87">
        <f t="shared" si="28"/>
        <v>10.584</v>
      </c>
      <c r="BL22" s="46">
        <f t="shared" si="41"/>
        <v>31180</v>
      </c>
      <c r="BM22" s="87">
        <f t="shared" si="16"/>
        <v>0.17100000000000001</v>
      </c>
      <c r="BN22" s="16">
        <f t="shared" si="48"/>
        <v>17606</v>
      </c>
      <c r="BO22" s="16"/>
      <c r="BP22" s="46">
        <f t="shared" si="17"/>
        <v>48786</v>
      </c>
      <c r="BR22" s="46">
        <f t="shared" si="49"/>
        <v>0</v>
      </c>
      <c r="BS22" s="46"/>
      <c r="BT22" s="46">
        <f t="shared" si="29"/>
        <v>48786</v>
      </c>
      <c r="BW22" s="7">
        <f t="shared" si="30"/>
        <v>2033</v>
      </c>
      <c r="BX22" s="46">
        <f t="shared" si="18"/>
        <v>12747</v>
      </c>
      <c r="BY22" s="16">
        <f t="shared" si="31"/>
        <v>5605</v>
      </c>
      <c r="BZ22" s="116">
        <f t="shared" si="32"/>
        <v>3810</v>
      </c>
      <c r="CA22" s="46">
        <f t="shared" si="42"/>
        <v>22162</v>
      </c>
      <c r="CC22" s="46">
        <f t="shared" si="33"/>
        <v>0</v>
      </c>
      <c r="CD22" s="46">
        <f t="shared" si="33"/>
        <v>0</v>
      </c>
      <c r="CE22" s="46">
        <f t="shared" si="43"/>
        <v>0</v>
      </c>
      <c r="CF22" s="46"/>
      <c r="CG22" s="46">
        <f t="shared" si="44"/>
        <v>22162</v>
      </c>
    </row>
    <row r="23" spans="1:106">
      <c r="A23" s="3" t="s">
        <v>68</v>
      </c>
      <c r="C23" s="21">
        <f>+'Gas Input Table Summary'!$D$16</f>
        <v>0.01</v>
      </c>
      <c r="E23" s="3" t="s">
        <v>69</v>
      </c>
      <c r="F23" s="138">
        <f>ROUND('Database Inputs'!D11,0)</f>
        <v>20</v>
      </c>
      <c r="G23" s="132"/>
      <c r="H23" s="132"/>
      <c r="J23" s="2">
        <f t="shared" si="19"/>
        <v>9</v>
      </c>
      <c r="L23" s="7">
        <f t="shared" si="20"/>
        <v>2034</v>
      </c>
      <c r="M23" s="16">
        <f t="shared" si="45"/>
        <v>2946</v>
      </c>
      <c r="N23" s="53">
        <f t="shared" si="0"/>
        <v>4.4569999999999999</v>
      </c>
      <c r="O23" s="32">
        <f t="shared" si="1"/>
        <v>13130</v>
      </c>
      <c r="P23" s="53">
        <f t="shared" si="2"/>
        <v>0</v>
      </c>
      <c r="Q23" s="46">
        <f t="shared" si="21"/>
        <v>0</v>
      </c>
      <c r="R23" s="43">
        <f t="shared" si="3"/>
        <v>13130</v>
      </c>
      <c r="S23" s="42">
        <f t="shared" si="4"/>
        <v>29.5</v>
      </c>
      <c r="T23" s="46">
        <f t="shared" si="5"/>
        <v>192</v>
      </c>
      <c r="U23" s="44">
        <f t="shared" si="34"/>
        <v>5664</v>
      </c>
      <c r="V23" s="16">
        <f t="shared" si="35"/>
        <v>18794</v>
      </c>
      <c r="W23" s="45">
        <f t="shared" si="6"/>
        <v>3.3039999999999998</v>
      </c>
      <c r="X23" s="46">
        <f t="shared" si="7"/>
        <v>7690</v>
      </c>
      <c r="Y23" s="46">
        <v>0</v>
      </c>
      <c r="Z23" s="46">
        <v>0</v>
      </c>
      <c r="AA23" s="46">
        <f t="shared" si="8"/>
        <v>7690</v>
      </c>
      <c r="AB23" s="46">
        <f t="shared" si="46"/>
        <v>11104</v>
      </c>
      <c r="AE23" s="7">
        <f t="shared" si="22"/>
        <v>2034</v>
      </c>
      <c r="AF23" s="46">
        <f t="shared" si="9"/>
        <v>13130</v>
      </c>
      <c r="AG23" s="16">
        <f t="shared" si="10"/>
        <v>5664</v>
      </c>
      <c r="AH23" s="46">
        <f t="shared" si="36"/>
        <v>18794</v>
      </c>
      <c r="AJ23" s="32">
        <f t="shared" si="23"/>
        <v>0</v>
      </c>
      <c r="AK23" s="32">
        <f t="shared" si="23"/>
        <v>0</v>
      </c>
      <c r="AL23" s="32">
        <f t="shared" si="11"/>
        <v>0</v>
      </c>
      <c r="AN23" s="77">
        <f t="shared" si="12"/>
        <v>18794</v>
      </c>
      <c r="AQ23" s="7">
        <f t="shared" si="24"/>
        <v>2034</v>
      </c>
      <c r="AR23" s="46">
        <f t="shared" si="13"/>
        <v>13130</v>
      </c>
      <c r="AS23" s="46">
        <f t="shared" si="25"/>
        <v>5664</v>
      </c>
      <c r="AT23" s="91">
        <f t="shared" si="37"/>
        <v>3.9E-2</v>
      </c>
      <c r="AU23" s="16">
        <f t="shared" si="47"/>
        <v>4015</v>
      </c>
      <c r="AV23" s="53">
        <f t="shared" si="38"/>
        <v>2.407</v>
      </c>
      <c r="AW23" s="46">
        <f t="shared" si="39"/>
        <v>7091</v>
      </c>
      <c r="AX23" s="91"/>
      <c r="AY23" s="92"/>
      <c r="AZ23" s="46">
        <f t="shared" si="40"/>
        <v>29900</v>
      </c>
      <c r="BA23" s="17"/>
      <c r="BB23" s="46">
        <v>0</v>
      </c>
      <c r="BC23" s="46">
        <v>0</v>
      </c>
      <c r="BD23" s="47">
        <f t="shared" si="26"/>
        <v>0</v>
      </c>
      <c r="BE23" s="46">
        <f t="shared" si="14"/>
        <v>29900</v>
      </c>
      <c r="BH23" s="7">
        <f t="shared" si="27"/>
        <v>2034</v>
      </c>
      <c r="BI23" s="46">
        <v>0</v>
      </c>
      <c r="BJ23" s="16">
        <f t="shared" si="15"/>
        <v>2946</v>
      </c>
      <c r="BK23" s="87">
        <f t="shared" si="28"/>
        <v>10.901</v>
      </c>
      <c r="BL23" s="46">
        <f t="shared" si="41"/>
        <v>32114</v>
      </c>
      <c r="BM23" s="87">
        <f t="shared" si="16"/>
        <v>0.17599999999999999</v>
      </c>
      <c r="BN23" s="16">
        <f t="shared" si="48"/>
        <v>18121</v>
      </c>
      <c r="BO23" s="16"/>
      <c r="BP23" s="46">
        <f t="shared" si="17"/>
        <v>50235</v>
      </c>
      <c r="BR23" s="46">
        <f t="shared" si="49"/>
        <v>0</v>
      </c>
      <c r="BS23" s="46"/>
      <c r="BT23" s="46">
        <f t="shared" si="29"/>
        <v>50235</v>
      </c>
      <c r="BW23" s="7">
        <f t="shared" si="30"/>
        <v>2034</v>
      </c>
      <c r="BX23" s="46">
        <f t="shared" si="18"/>
        <v>13130</v>
      </c>
      <c r="BY23" s="16">
        <f t="shared" si="31"/>
        <v>5664</v>
      </c>
      <c r="BZ23" s="116">
        <f t="shared" si="32"/>
        <v>4015</v>
      </c>
      <c r="CA23" s="46">
        <f t="shared" si="42"/>
        <v>22809</v>
      </c>
      <c r="CC23" s="46">
        <f t="shared" si="33"/>
        <v>0</v>
      </c>
      <c r="CD23" s="46">
        <f t="shared" si="33"/>
        <v>0</v>
      </c>
      <c r="CE23" s="46">
        <f t="shared" si="43"/>
        <v>0</v>
      </c>
      <c r="CF23" s="46"/>
      <c r="CG23" s="46">
        <f t="shared" si="44"/>
        <v>22809</v>
      </c>
    </row>
    <row r="24" spans="1:106">
      <c r="F24" s="250"/>
      <c r="G24" s="16"/>
      <c r="H24" s="16"/>
      <c r="J24" s="2">
        <f t="shared" si="19"/>
        <v>10</v>
      </c>
      <c r="L24" s="7">
        <f t="shared" si="20"/>
        <v>2035</v>
      </c>
      <c r="M24" s="16">
        <f t="shared" si="45"/>
        <v>2946</v>
      </c>
      <c r="N24" s="53">
        <f t="shared" si="0"/>
        <v>4.5910000000000002</v>
      </c>
      <c r="O24" s="32">
        <f t="shared" si="1"/>
        <v>13525</v>
      </c>
      <c r="P24" s="53">
        <f t="shared" si="2"/>
        <v>0</v>
      </c>
      <c r="Q24" s="46">
        <f t="shared" si="21"/>
        <v>0</v>
      </c>
      <c r="R24" s="43">
        <f t="shared" si="3"/>
        <v>13525</v>
      </c>
      <c r="S24" s="42">
        <f t="shared" si="4"/>
        <v>29.5</v>
      </c>
      <c r="T24" s="46">
        <f t="shared" si="5"/>
        <v>194</v>
      </c>
      <c r="U24" s="44">
        <f t="shared" si="34"/>
        <v>5723</v>
      </c>
      <c r="V24" s="16">
        <f t="shared" si="35"/>
        <v>19248</v>
      </c>
      <c r="W24" s="45">
        <f t="shared" si="6"/>
        <v>3.403</v>
      </c>
      <c r="X24" s="46">
        <f t="shared" si="7"/>
        <v>7920</v>
      </c>
      <c r="Y24" s="46">
        <v>0</v>
      </c>
      <c r="Z24" s="46">
        <v>0</v>
      </c>
      <c r="AA24" s="46">
        <f t="shared" si="8"/>
        <v>7920</v>
      </c>
      <c r="AB24" s="46">
        <f t="shared" si="46"/>
        <v>11328</v>
      </c>
      <c r="AE24" s="7">
        <f t="shared" si="22"/>
        <v>2035</v>
      </c>
      <c r="AF24" s="46">
        <f t="shared" si="9"/>
        <v>13525</v>
      </c>
      <c r="AG24" s="16">
        <f t="shared" si="10"/>
        <v>5723</v>
      </c>
      <c r="AH24" s="46">
        <f t="shared" si="36"/>
        <v>19248</v>
      </c>
      <c r="AJ24" s="32">
        <f t="shared" si="23"/>
        <v>0</v>
      </c>
      <c r="AK24" s="32">
        <f t="shared" si="23"/>
        <v>0</v>
      </c>
      <c r="AL24" s="32">
        <f t="shared" si="11"/>
        <v>0</v>
      </c>
      <c r="AN24" s="77">
        <f t="shared" si="12"/>
        <v>19248</v>
      </c>
      <c r="AQ24" s="7">
        <f t="shared" si="24"/>
        <v>2035</v>
      </c>
      <c r="AR24" s="46">
        <f t="shared" si="13"/>
        <v>13525</v>
      </c>
      <c r="AS24" s="46">
        <f t="shared" si="25"/>
        <v>5723</v>
      </c>
      <c r="AT24" s="91">
        <f t="shared" si="37"/>
        <v>0.04</v>
      </c>
      <c r="AU24" s="16">
        <f t="shared" si="47"/>
        <v>4118</v>
      </c>
      <c r="AV24" s="53">
        <f t="shared" si="38"/>
        <v>2.448</v>
      </c>
      <c r="AW24" s="46">
        <f t="shared" si="39"/>
        <v>7212</v>
      </c>
      <c r="AX24" s="91"/>
      <c r="AY24" s="92"/>
      <c r="AZ24" s="46">
        <f t="shared" si="40"/>
        <v>30578</v>
      </c>
      <c r="BA24" s="17"/>
      <c r="BB24" s="46">
        <v>0</v>
      </c>
      <c r="BC24" s="46">
        <v>0</v>
      </c>
      <c r="BD24" s="47">
        <f t="shared" si="26"/>
        <v>0</v>
      </c>
      <c r="BE24" s="46">
        <f t="shared" si="14"/>
        <v>30578</v>
      </c>
      <c r="BH24" s="7">
        <f t="shared" si="27"/>
        <v>2035</v>
      </c>
      <c r="BI24" s="46">
        <v>0</v>
      </c>
      <c r="BJ24" s="16">
        <f t="shared" si="15"/>
        <v>2946</v>
      </c>
      <c r="BK24" s="87">
        <f t="shared" si="28"/>
        <v>11.228</v>
      </c>
      <c r="BL24" s="46">
        <f t="shared" si="41"/>
        <v>33078</v>
      </c>
      <c r="BM24" s="87">
        <f t="shared" si="16"/>
        <v>0.18099999999999999</v>
      </c>
      <c r="BN24" s="16">
        <f t="shared" si="48"/>
        <v>18636</v>
      </c>
      <c r="BO24" s="16"/>
      <c r="BP24" s="46">
        <f t="shared" si="17"/>
        <v>51714</v>
      </c>
      <c r="BR24" s="46">
        <f t="shared" si="49"/>
        <v>0</v>
      </c>
      <c r="BS24" s="46"/>
      <c r="BT24" s="46">
        <f t="shared" si="29"/>
        <v>51714</v>
      </c>
      <c r="BW24" s="7">
        <f t="shared" si="30"/>
        <v>2035</v>
      </c>
      <c r="BX24" s="46">
        <f t="shared" si="18"/>
        <v>13525</v>
      </c>
      <c r="BY24" s="16">
        <f t="shared" si="31"/>
        <v>5723</v>
      </c>
      <c r="BZ24" s="116">
        <f t="shared" si="32"/>
        <v>4118</v>
      </c>
      <c r="CA24" s="46">
        <f t="shared" si="42"/>
        <v>23366</v>
      </c>
      <c r="CC24" s="46">
        <f t="shared" si="33"/>
        <v>0</v>
      </c>
      <c r="CD24" s="46">
        <f t="shared" si="33"/>
        <v>0</v>
      </c>
      <c r="CE24" s="46">
        <f t="shared" si="43"/>
        <v>0</v>
      </c>
      <c r="CF24" s="46"/>
      <c r="CG24" s="46">
        <f t="shared" si="44"/>
        <v>23366</v>
      </c>
    </row>
    <row r="25" spans="1:106">
      <c r="A25" s="130" t="s">
        <v>106</v>
      </c>
      <c r="C25" s="11">
        <f>+'Gas Input Table Summary'!$D$17</f>
        <v>0</v>
      </c>
      <c r="E25" s="48" t="s">
        <v>102</v>
      </c>
      <c r="F25" s="139">
        <f>+ROUND(F32/F30,3)</f>
        <v>20.600999999999999</v>
      </c>
      <c r="G25" s="133"/>
      <c r="H25" s="133"/>
      <c r="J25" s="2">
        <f t="shared" si="19"/>
        <v>11</v>
      </c>
      <c r="L25" s="7">
        <f t="shared" si="20"/>
        <v>2036</v>
      </c>
      <c r="M25" s="16">
        <f t="shared" si="45"/>
        <v>2946</v>
      </c>
      <c r="N25" s="53">
        <f t="shared" si="0"/>
        <v>4.7290000000000001</v>
      </c>
      <c r="O25" s="32">
        <f t="shared" si="1"/>
        <v>13932</v>
      </c>
      <c r="P25" s="53">
        <f t="shared" si="2"/>
        <v>0</v>
      </c>
      <c r="Q25" s="46">
        <f t="shared" si="21"/>
        <v>0</v>
      </c>
      <c r="R25" s="43">
        <f t="shared" si="3"/>
        <v>13932</v>
      </c>
      <c r="S25" s="42">
        <f t="shared" si="4"/>
        <v>29.5</v>
      </c>
      <c r="T25" s="46">
        <f t="shared" si="5"/>
        <v>196</v>
      </c>
      <c r="U25" s="44">
        <f t="shared" si="34"/>
        <v>5782</v>
      </c>
      <c r="V25" s="16">
        <f t="shared" si="35"/>
        <v>19714</v>
      </c>
      <c r="W25" s="45">
        <f t="shared" si="6"/>
        <v>3.5049999999999999</v>
      </c>
      <c r="X25" s="46">
        <f t="shared" si="7"/>
        <v>8157</v>
      </c>
      <c r="Y25" s="46">
        <v>0</v>
      </c>
      <c r="Z25" s="46">
        <v>0</v>
      </c>
      <c r="AA25" s="46">
        <f t="shared" si="8"/>
        <v>8157</v>
      </c>
      <c r="AB25" s="46">
        <f t="shared" si="46"/>
        <v>11557</v>
      </c>
      <c r="AE25" s="7">
        <f t="shared" si="22"/>
        <v>2036</v>
      </c>
      <c r="AF25" s="46">
        <f t="shared" si="9"/>
        <v>13932</v>
      </c>
      <c r="AG25" s="16">
        <f t="shared" si="10"/>
        <v>5782</v>
      </c>
      <c r="AH25" s="46">
        <f t="shared" si="36"/>
        <v>19714</v>
      </c>
      <c r="AJ25" s="32">
        <f t="shared" si="23"/>
        <v>0</v>
      </c>
      <c r="AK25" s="32">
        <f t="shared" si="23"/>
        <v>0</v>
      </c>
      <c r="AL25" s="32">
        <f t="shared" si="11"/>
        <v>0</v>
      </c>
      <c r="AN25" s="77">
        <f t="shared" si="12"/>
        <v>19714</v>
      </c>
      <c r="AQ25" s="7">
        <f t="shared" si="24"/>
        <v>2036</v>
      </c>
      <c r="AR25" s="46">
        <f t="shared" si="13"/>
        <v>13932</v>
      </c>
      <c r="AS25" s="46">
        <f t="shared" si="25"/>
        <v>5782</v>
      </c>
      <c r="AT25" s="91">
        <f t="shared" si="37"/>
        <v>4.1000000000000002E-2</v>
      </c>
      <c r="AU25" s="16">
        <f t="shared" si="47"/>
        <v>4221</v>
      </c>
      <c r="AV25" s="53">
        <f t="shared" si="38"/>
        <v>2.4889999999999999</v>
      </c>
      <c r="AW25" s="46">
        <f t="shared" si="39"/>
        <v>7333</v>
      </c>
      <c r="AX25" s="91"/>
      <c r="AY25" s="92"/>
      <c r="AZ25" s="46">
        <f t="shared" si="40"/>
        <v>31268</v>
      </c>
      <c r="BA25" s="17"/>
      <c r="BB25" s="46">
        <v>0</v>
      </c>
      <c r="BC25" s="46">
        <v>0</v>
      </c>
      <c r="BD25" s="47">
        <f t="shared" si="26"/>
        <v>0</v>
      </c>
      <c r="BE25" s="46">
        <f t="shared" si="14"/>
        <v>31268</v>
      </c>
      <c r="BH25" s="7">
        <f t="shared" si="27"/>
        <v>2036</v>
      </c>
      <c r="BI25" s="46">
        <v>0</v>
      </c>
      <c r="BJ25" s="16">
        <f t="shared" si="15"/>
        <v>2946</v>
      </c>
      <c r="BK25" s="87">
        <f t="shared" si="28"/>
        <v>11.565</v>
      </c>
      <c r="BL25" s="46">
        <f t="shared" si="41"/>
        <v>34070</v>
      </c>
      <c r="BM25" s="87">
        <f t="shared" si="16"/>
        <v>0.187</v>
      </c>
      <c r="BN25" s="16">
        <f t="shared" si="48"/>
        <v>19254</v>
      </c>
      <c r="BO25" s="16"/>
      <c r="BP25" s="46">
        <f t="shared" si="17"/>
        <v>53324</v>
      </c>
      <c r="BR25" s="46">
        <f t="shared" si="49"/>
        <v>0</v>
      </c>
      <c r="BS25" s="46"/>
      <c r="BT25" s="46">
        <f t="shared" si="29"/>
        <v>53324</v>
      </c>
      <c r="BW25" s="7">
        <f t="shared" si="30"/>
        <v>2036</v>
      </c>
      <c r="BX25" s="46">
        <f t="shared" si="18"/>
        <v>13932</v>
      </c>
      <c r="BY25" s="16">
        <f t="shared" si="31"/>
        <v>5782</v>
      </c>
      <c r="BZ25" s="116">
        <f t="shared" si="32"/>
        <v>4221</v>
      </c>
      <c r="CA25" s="46">
        <f t="shared" si="42"/>
        <v>23935</v>
      </c>
      <c r="CC25" s="46">
        <f t="shared" si="33"/>
        <v>0</v>
      </c>
      <c r="CD25" s="46">
        <f t="shared" si="33"/>
        <v>0</v>
      </c>
      <c r="CE25" s="46">
        <f t="shared" si="43"/>
        <v>0</v>
      </c>
      <c r="CF25" s="46"/>
      <c r="CG25" s="46">
        <f t="shared" si="44"/>
        <v>23935</v>
      </c>
    </row>
    <row r="26" spans="1:106">
      <c r="A26" s="3" t="s">
        <v>18</v>
      </c>
      <c r="C26" s="15">
        <f>+'Gas Input Table Summary'!$D$18</f>
        <v>0</v>
      </c>
      <c r="F26" s="250"/>
      <c r="G26" s="16"/>
      <c r="H26" s="16"/>
      <c r="J26" s="2">
        <f t="shared" si="19"/>
        <v>12</v>
      </c>
      <c r="L26" s="7">
        <f t="shared" si="20"/>
        <v>2037</v>
      </c>
      <c r="M26" s="16">
        <f t="shared" si="45"/>
        <v>2946</v>
      </c>
      <c r="N26" s="53">
        <f t="shared" si="0"/>
        <v>4.87</v>
      </c>
      <c r="O26" s="32">
        <f t="shared" si="1"/>
        <v>14347</v>
      </c>
      <c r="P26" s="53">
        <f t="shared" si="2"/>
        <v>0</v>
      </c>
      <c r="Q26" s="46">
        <f t="shared" si="21"/>
        <v>0</v>
      </c>
      <c r="R26" s="43">
        <f t="shared" si="3"/>
        <v>14347</v>
      </c>
      <c r="S26" s="42">
        <f t="shared" si="4"/>
        <v>29.5</v>
      </c>
      <c r="T26" s="46">
        <f t="shared" si="5"/>
        <v>198</v>
      </c>
      <c r="U26" s="44">
        <f t="shared" si="34"/>
        <v>5841</v>
      </c>
      <c r="V26" s="16">
        <f t="shared" si="35"/>
        <v>20188</v>
      </c>
      <c r="W26" s="45">
        <f t="shared" si="6"/>
        <v>3.61</v>
      </c>
      <c r="X26" s="46">
        <f t="shared" si="7"/>
        <v>8402</v>
      </c>
      <c r="Y26" s="46">
        <v>0</v>
      </c>
      <c r="Z26" s="46">
        <v>0</v>
      </c>
      <c r="AA26" s="46">
        <f t="shared" si="8"/>
        <v>8402</v>
      </c>
      <c r="AB26" s="46">
        <f t="shared" si="46"/>
        <v>11786</v>
      </c>
      <c r="AE26" s="7">
        <f t="shared" si="22"/>
        <v>2037</v>
      </c>
      <c r="AF26" s="46">
        <f t="shared" si="9"/>
        <v>14347</v>
      </c>
      <c r="AG26" s="16">
        <f t="shared" si="10"/>
        <v>5841</v>
      </c>
      <c r="AH26" s="46">
        <f t="shared" si="36"/>
        <v>20188</v>
      </c>
      <c r="AJ26" s="32">
        <f t="shared" si="23"/>
        <v>0</v>
      </c>
      <c r="AK26" s="32">
        <f t="shared" si="23"/>
        <v>0</v>
      </c>
      <c r="AL26" s="32">
        <f t="shared" si="11"/>
        <v>0</v>
      </c>
      <c r="AN26" s="77">
        <f t="shared" si="12"/>
        <v>20188</v>
      </c>
      <c r="AQ26" s="7">
        <f t="shared" si="24"/>
        <v>2037</v>
      </c>
      <c r="AR26" s="46">
        <f t="shared" si="13"/>
        <v>14347</v>
      </c>
      <c r="AS26" s="46">
        <f t="shared" si="25"/>
        <v>5841</v>
      </c>
      <c r="AT26" s="91">
        <f t="shared" si="37"/>
        <v>4.2000000000000003E-2</v>
      </c>
      <c r="AU26" s="16">
        <f t="shared" si="47"/>
        <v>4324</v>
      </c>
      <c r="AV26" s="53">
        <f t="shared" si="38"/>
        <v>2.5310000000000001</v>
      </c>
      <c r="AW26" s="46">
        <f t="shared" si="39"/>
        <v>7456</v>
      </c>
      <c r="AX26" s="91"/>
      <c r="AY26" s="92"/>
      <c r="AZ26" s="46">
        <f t="shared" si="40"/>
        <v>31968</v>
      </c>
      <c r="BA26" s="17"/>
      <c r="BB26" s="46">
        <v>0</v>
      </c>
      <c r="BC26" s="46">
        <v>0</v>
      </c>
      <c r="BD26" s="47">
        <f t="shared" si="26"/>
        <v>0</v>
      </c>
      <c r="BE26" s="46">
        <f t="shared" si="14"/>
        <v>31968</v>
      </c>
      <c r="BH26" s="7">
        <f t="shared" si="27"/>
        <v>2037</v>
      </c>
      <c r="BI26" s="46">
        <v>0</v>
      </c>
      <c r="BJ26" s="16">
        <f t="shared" si="15"/>
        <v>2946</v>
      </c>
      <c r="BK26" s="87">
        <f t="shared" si="28"/>
        <v>11.912000000000001</v>
      </c>
      <c r="BL26" s="46">
        <f t="shared" si="41"/>
        <v>35093</v>
      </c>
      <c r="BM26" s="87">
        <f t="shared" si="16"/>
        <v>0.192</v>
      </c>
      <c r="BN26" s="16">
        <f t="shared" si="48"/>
        <v>19768</v>
      </c>
      <c r="BO26" s="16"/>
      <c r="BP26" s="46">
        <f t="shared" si="17"/>
        <v>54861</v>
      </c>
      <c r="BR26" s="46">
        <f t="shared" si="49"/>
        <v>0</v>
      </c>
      <c r="BS26" s="46"/>
      <c r="BT26" s="46">
        <f t="shared" si="29"/>
        <v>54861</v>
      </c>
      <c r="BW26" s="7">
        <f t="shared" si="30"/>
        <v>2037</v>
      </c>
      <c r="BX26" s="46">
        <f t="shared" si="18"/>
        <v>14347</v>
      </c>
      <c r="BY26" s="16">
        <f t="shared" si="31"/>
        <v>5841</v>
      </c>
      <c r="BZ26" s="116">
        <f t="shared" si="32"/>
        <v>4324</v>
      </c>
      <c r="CA26" s="46">
        <f t="shared" si="42"/>
        <v>24512</v>
      </c>
      <c r="CC26" s="46">
        <f t="shared" si="33"/>
        <v>0</v>
      </c>
      <c r="CD26" s="46">
        <f t="shared" si="33"/>
        <v>0</v>
      </c>
      <c r="CE26" s="46">
        <f t="shared" si="43"/>
        <v>0</v>
      </c>
      <c r="CF26" s="46"/>
      <c r="CG26" s="46">
        <f t="shared" si="44"/>
        <v>24512</v>
      </c>
    </row>
    <row r="27" spans="1:106">
      <c r="A27" s="3"/>
      <c r="C27" s="15"/>
      <c r="E27" s="3" t="s">
        <v>70</v>
      </c>
      <c r="F27" s="250">
        <f>+'Database Inputs'!H11</f>
        <v>720</v>
      </c>
      <c r="G27" s="142"/>
      <c r="H27" s="142"/>
      <c r="J27" s="2">
        <f t="shared" si="19"/>
        <v>13</v>
      </c>
      <c r="L27" s="7">
        <f t="shared" si="20"/>
        <v>2038</v>
      </c>
      <c r="M27" s="16">
        <f t="shared" si="45"/>
        <v>2946</v>
      </c>
      <c r="N27" s="53">
        <f t="shared" si="0"/>
        <v>5.0170000000000003</v>
      </c>
      <c r="O27" s="32">
        <f t="shared" si="1"/>
        <v>14780</v>
      </c>
      <c r="P27" s="53">
        <f t="shared" si="2"/>
        <v>0</v>
      </c>
      <c r="Q27" s="46">
        <f t="shared" si="21"/>
        <v>0</v>
      </c>
      <c r="R27" s="43">
        <f t="shared" si="3"/>
        <v>14780</v>
      </c>
      <c r="S27" s="42">
        <f t="shared" si="4"/>
        <v>29.5</v>
      </c>
      <c r="T27" s="46">
        <f t="shared" si="5"/>
        <v>200</v>
      </c>
      <c r="U27" s="44">
        <f t="shared" si="34"/>
        <v>5900</v>
      </c>
      <c r="V27" s="16">
        <f t="shared" si="35"/>
        <v>20680</v>
      </c>
      <c r="W27" s="45">
        <f t="shared" si="6"/>
        <v>3.718</v>
      </c>
      <c r="X27" s="46">
        <f t="shared" si="7"/>
        <v>8653</v>
      </c>
      <c r="Y27" s="46">
        <v>0</v>
      </c>
      <c r="Z27" s="46">
        <v>0</v>
      </c>
      <c r="AA27" s="46">
        <f t="shared" si="8"/>
        <v>8653</v>
      </c>
      <c r="AB27" s="46">
        <f t="shared" si="46"/>
        <v>12027</v>
      </c>
      <c r="AE27" s="7">
        <f t="shared" si="22"/>
        <v>2038</v>
      </c>
      <c r="AF27" s="46">
        <f t="shared" si="9"/>
        <v>14780</v>
      </c>
      <c r="AG27" s="16">
        <f t="shared" si="10"/>
        <v>5900</v>
      </c>
      <c r="AH27" s="46">
        <f t="shared" si="36"/>
        <v>20680</v>
      </c>
      <c r="AJ27" s="32">
        <f t="shared" si="23"/>
        <v>0</v>
      </c>
      <c r="AK27" s="32">
        <f t="shared" si="23"/>
        <v>0</v>
      </c>
      <c r="AL27" s="32">
        <f t="shared" si="11"/>
        <v>0</v>
      </c>
      <c r="AN27" s="77">
        <f t="shared" si="12"/>
        <v>20680</v>
      </c>
      <c r="AQ27" s="7">
        <f t="shared" si="24"/>
        <v>2038</v>
      </c>
      <c r="AR27" s="46">
        <f t="shared" si="13"/>
        <v>14780</v>
      </c>
      <c r="AS27" s="46">
        <f t="shared" si="25"/>
        <v>5900</v>
      </c>
      <c r="AT27" s="91">
        <f t="shared" si="37"/>
        <v>4.2999999999999997E-2</v>
      </c>
      <c r="AU27" s="16">
        <f t="shared" si="47"/>
        <v>4427</v>
      </c>
      <c r="AV27" s="53">
        <f t="shared" si="38"/>
        <v>2.5739999999999998</v>
      </c>
      <c r="AW27" s="46">
        <f t="shared" si="39"/>
        <v>7583</v>
      </c>
      <c r="AX27" s="91"/>
      <c r="AY27" s="92"/>
      <c r="AZ27" s="46">
        <f t="shared" si="40"/>
        <v>32690</v>
      </c>
      <c r="BA27" s="17"/>
      <c r="BB27" s="46">
        <v>0</v>
      </c>
      <c r="BC27" s="46">
        <v>0</v>
      </c>
      <c r="BD27" s="47">
        <f t="shared" si="26"/>
        <v>0</v>
      </c>
      <c r="BE27" s="46">
        <f t="shared" si="14"/>
        <v>32690</v>
      </c>
      <c r="BH27" s="7">
        <f t="shared" si="27"/>
        <v>2038</v>
      </c>
      <c r="BI27" s="46">
        <v>0</v>
      </c>
      <c r="BJ27" s="16">
        <f t="shared" si="15"/>
        <v>2946</v>
      </c>
      <c r="BK27" s="87">
        <f t="shared" si="28"/>
        <v>12.27</v>
      </c>
      <c r="BL27" s="46">
        <f t="shared" si="41"/>
        <v>36147</v>
      </c>
      <c r="BM27" s="87">
        <f t="shared" si="16"/>
        <v>0.19800000000000001</v>
      </c>
      <c r="BN27" s="16">
        <f t="shared" si="48"/>
        <v>20386</v>
      </c>
      <c r="BO27" s="16"/>
      <c r="BP27" s="46">
        <f t="shared" si="17"/>
        <v>56533</v>
      </c>
      <c r="BR27" s="46">
        <f t="shared" si="49"/>
        <v>0</v>
      </c>
      <c r="BS27" s="46"/>
      <c r="BT27" s="46">
        <f t="shared" si="29"/>
        <v>56533</v>
      </c>
      <c r="BW27" s="7">
        <f t="shared" si="30"/>
        <v>2038</v>
      </c>
      <c r="BX27" s="46">
        <f t="shared" si="18"/>
        <v>14780</v>
      </c>
      <c r="BY27" s="16">
        <f t="shared" si="31"/>
        <v>5900</v>
      </c>
      <c r="BZ27" s="116">
        <f t="shared" si="32"/>
        <v>4427</v>
      </c>
      <c r="CA27" s="46">
        <f t="shared" si="42"/>
        <v>25107</v>
      </c>
      <c r="CC27" s="46">
        <f t="shared" si="33"/>
        <v>0</v>
      </c>
      <c r="CD27" s="46">
        <f t="shared" si="33"/>
        <v>0</v>
      </c>
      <c r="CE27" s="46">
        <f t="shared" si="43"/>
        <v>0</v>
      </c>
      <c r="CF27" s="46"/>
      <c r="CG27" s="46">
        <f t="shared" si="44"/>
        <v>25107</v>
      </c>
    </row>
    <row r="28" spans="1:106">
      <c r="A28" s="3" t="s">
        <v>71</v>
      </c>
      <c r="C28" s="140">
        <f>+'Gas Input Table Summary'!$D$19</f>
        <v>2.7300000000000001E-2</v>
      </c>
      <c r="E28" s="3" t="s">
        <v>72</v>
      </c>
      <c r="F28" s="250">
        <v>0</v>
      </c>
      <c r="G28" s="142"/>
      <c r="H28" s="142"/>
      <c r="J28" s="2">
        <f t="shared" si="19"/>
        <v>14</v>
      </c>
      <c r="L28" s="7">
        <f t="shared" si="20"/>
        <v>2039</v>
      </c>
      <c r="M28" s="16">
        <f t="shared" si="45"/>
        <v>2946</v>
      </c>
      <c r="N28" s="53">
        <f t="shared" si="0"/>
        <v>5.1669999999999998</v>
      </c>
      <c r="O28" s="32">
        <f t="shared" si="1"/>
        <v>15222</v>
      </c>
      <c r="P28" s="53">
        <f t="shared" si="2"/>
        <v>0</v>
      </c>
      <c r="Q28" s="46">
        <f t="shared" si="21"/>
        <v>0</v>
      </c>
      <c r="R28" s="43">
        <f t="shared" si="3"/>
        <v>15222</v>
      </c>
      <c r="S28" s="42">
        <f t="shared" si="4"/>
        <v>29.5</v>
      </c>
      <c r="T28" s="46">
        <f t="shared" si="5"/>
        <v>202</v>
      </c>
      <c r="U28" s="44">
        <f t="shared" si="34"/>
        <v>5959</v>
      </c>
      <c r="V28" s="16">
        <f t="shared" si="35"/>
        <v>21181</v>
      </c>
      <c r="W28" s="45">
        <f t="shared" si="6"/>
        <v>3.83</v>
      </c>
      <c r="X28" s="46">
        <f t="shared" si="7"/>
        <v>8914</v>
      </c>
      <c r="Y28" s="46">
        <v>0</v>
      </c>
      <c r="Z28" s="46">
        <v>0</v>
      </c>
      <c r="AA28" s="46">
        <f t="shared" si="8"/>
        <v>8914</v>
      </c>
      <c r="AB28" s="46">
        <f t="shared" si="46"/>
        <v>12267</v>
      </c>
      <c r="AE28" s="7">
        <f t="shared" si="22"/>
        <v>2039</v>
      </c>
      <c r="AF28" s="46">
        <f t="shared" si="9"/>
        <v>15222</v>
      </c>
      <c r="AG28" s="16">
        <f t="shared" si="10"/>
        <v>5959</v>
      </c>
      <c r="AH28" s="46">
        <f t="shared" si="36"/>
        <v>21181</v>
      </c>
      <c r="AJ28" s="32">
        <f t="shared" si="23"/>
        <v>0</v>
      </c>
      <c r="AK28" s="32">
        <f t="shared" si="23"/>
        <v>0</v>
      </c>
      <c r="AL28" s="32">
        <f t="shared" si="11"/>
        <v>0</v>
      </c>
      <c r="AN28" s="77">
        <f t="shared" si="12"/>
        <v>21181</v>
      </c>
      <c r="AQ28" s="7">
        <f t="shared" si="24"/>
        <v>2039</v>
      </c>
      <c r="AR28" s="46">
        <f t="shared" si="13"/>
        <v>15222</v>
      </c>
      <c r="AS28" s="46">
        <f t="shared" si="25"/>
        <v>5959</v>
      </c>
      <c r="AT28" s="91">
        <f t="shared" si="37"/>
        <v>4.4999999999999998E-2</v>
      </c>
      <c r="AU28" s="16">
        <f t="shared" si="47"/>
        <v>4633</v>
      </c>
      <c r="AV28" s="53">
        <f t="shared" si="38"/>
        <v>2.617</v>
      </c>
      <c r="AW28" s="46">
        <f t="shared" si="39"/>
        <v>7710</v>
      </c>
      <c r="AX28" s="91"/>
      <c r="AY28" s="92"/>
      <c r="AZ28" s="46">
        <f t="shared" si="40"/>
        <v>33524</v>
      </c>
      <c r="BA28" s="17"/>
      <c r="BB28" s="46">
        <v>0</v>
      </c>
      <c r="BC28" s="46">
        <v>0</v>
      </c>
      <c r="BD28" s="47">
        <f t="shared" si="26"/>
        <v>0</v>
      </c>
      <c r="BE28" s="46">
        <f t="shared" si="14"/>
        <v>33524</v>
      </c>
      <c r="BH28" s="7">
        <f t="shared" si="27"/>
        <v>2039</v>
      </c>
      <c r="BI28" s="46">
        <v>0</v>
      </c>
      <c r="BJ28" s="16">
        <f t="shared" si="15"/>
        <v>2946</v>
      </c>
      <c r="BK28" s="87">
        <f t="shared" si="28"/>
        <v>12.638</v>
      </c>
      <c r="BL28" s="46">
        <f t="shared" si="41"/>
        <v>37232</v>
      </c>
      <c r="BM28" s="87">
        <f t="shared" si="16"/>
        <v>0.20399999999999999</v>
      </c>
      <c r="BN28" s="16">
        <f t="shared" si="48"/>
        <v>21004</v>
      </c>
      <c r="BO28" s="16"/>
      <c r="BP28" s="46">
        <f t="shared" si="17"/>
        <v>58236</v>
      </c>
      <c r="BR28" s="46">
        <f t="shared" si="49"/>
        <v>0</v>
      </c>
      <c r="BS28" s="46"/>
      <c r="BT28" s="46">
        <f t="shared" si="29"/>
        <v>58236</v>
      </c>
      <c r="BW28" s="7">
        <f t="shared" si="30"/>
        <v>2039</v>
      </c>
      <c r="BX28" s="46">
        <f t="shared" si="18"/>
        <v>15222</v>
      </c>
      <c r="BY28" s="16">
        <f t="shared" si="31"/>
        <v>5959</v>
      </c>
      <c r="BZ28" s="116">
        <f t="shared" si="32"/>
        <v>4633</v>
      </c>
      <c r="CA28" s="46">
        <f t="shared" si="42"/>
        <v>25814</v>
      </c>
      <c r="CC28" s="46">
        <f t="shared" si="33"/>
        <v>0</v>
      </c>
      <c r="CD28" s="46">
        <f t="shared" si="33"/>
        <v>0</v>
      </c>
      <c r="CE28" s="46">
        <f t="shared" si="43"/>
        <v>0</v>
      </c>
      <c r="CF28" s="46"/>
      <c r="CG28" s="46">
        <f t="shared" si="44"/>
        <v>25814</v>
      </c>
    </row>
    <row r="29" spans="1:106">
      <c r="A29" s="3" t="s">
        <v>47</v>
      </c>
      <c r="C29" s="15">
        <f>+'Gas Input Table Summary'!$D$20</f>
        <v>0.03</v>
      </c>
      <c r="E29" s="3"/>
      <c r="F29" s="250"/>
      <c r="G29" s="16"/>
      <c r="H29" s="16"/>
      <c r="J29" s="2">
        <f t="shared" si="19"/>
        <v>15</v>
      </c>
      <c r="L29" s="7">
        <f t="shared" si="20"/>
        <v>2040</v>
      </c>
      <c r="M29" s="16">
        <f t="shared" si="45"/>
        <v>2946</v>
      </c>
      <c r="N29" s="53">
        <f t="shared" si="0"/>
        <v>5.3220000000000001</v>
      </c>
      <c r="O29" s="32">
        <f t="shared" si="1"/>
        <v>15679</v>
      </c>
      <c r="P29" s="53">
        <f t="shared" si="2"/>
        <v>0</v>
      </c>
      <c r="Q29" s="46">
        <f t="shared" si="21"/>
        <v>0</v>
      </c>
      <c r="R29" s="43">
        <f t="shared" si="3"/>
        <v>15679</v>
      </c>
      <c r="S29" s="42">
        <f t="shared" si="4"/>
        <v>29.5</v>
      </c>
      <c r="T29" s="46">
        <f t="shared" si="5"/>
        <v>204</v>
      </c>
      <c r="U29" s="44">
        <f t="shared" si="34"/>
        <v>6018</v>
      </c>
      <c r="V29" s="16">
        <f t="shared" si="35"/>
        <v>21697</v>
      </c>
      <c r="W29" s="45">
        <f t="shared" si="6"/>
        <v>3.9449999999999998</v>
      </c>
      <c r="X29" s="46">
        <f t="shared" si="7"/>
        <v>9181</v>
      </c>
      <c r="Y29" s="49">
        <v>0</v>
      </c>
      <c r="Z29" s="49">
        <v>0</v>
      </c>
      <c r="AA29" s="49">
        <f t="shared" si="8"/>
        <v>9181</v>
      </c>
      <c r="AB29" s="49">
        <f t="shared" si="46"/>
        <v>12516</v>
      </c>
      <c r="AE29" s="7">
        <f t="shared" si="22"/>
        <v>2040</v>
      </c>
      <c r="AF29" s="46">
        <f t="shared" si="9"/>
        <v>15679</v>
      </c>
      <c r="AG29" s="16">
        <f t="shared" si="10"/>
        <v>6018</v>
      </c>
      <c r="AH29" s="46">
        <f t="shared" si="36"/>
        <v>21697</v>
      </c>
      <c r="AJ29" s="32">
        <f t="shared" si="23"/>
        <v>0</v>
      </c>
      <c r="AK29" s="32">
        <f t="shared" si="23"/>
        <v>0</v>
      </c>
      <c r="AL29" s="32">
        <f t="shared" si="11"/>
        <v>0</v>
      </c>
      <c r="AN29" s="77">
        <f t="shared" si="12"/>
        <v>21697</v>
      </c>
      <c r="AQ29" s="7">
        <f t="shared" si="24"/>
        <v>2040</v>
      </c>
      <c r="AR29" s="49">
        <f t="shared" si="13"/>
        <v>15679</v>
      </c>
      <c r="AS29" s="46">
        <f t="shared" si="25"/>
        <v>6018</v>
      </c>
      <c r="AT29" s="91">
        <f t="shared" si="37"/>
        <v>4.5999999999999999E-2</v>
      </c>
      <c r="AU29" s="16">
        <f t="shared" si="47"/>
        <v>4736</v>
      </c>
      <c r="AV29" s="53">
        <f t="shared" si="38"/>
        <v>2.6619999999999999</v>
      </c>
      <c r="AW29" s="46">
        <f t="shared" si="39"/>
        <v>7842</v>
      </c>
      <c r="AX29" s="91"/>
      <c r="AY29" s="92"/>
      <c r="AZ29" s="49">
        <f t="shared" si="40"/>
        <v>34275</v>
      </c>
      <c r="BA29" s="17"/>
      <c r="BB29" s="49">
        <v>0</v>
      </c>
      <c r="BC29" s="46">
        <v>0</v>
      </c>
      <c r="BD29" s="47">
        <f t="shared" si="26"/>
        <v>0</v>
      </c>
      <c r="BE29" s="49">
        <f t="shared" si="14"/>
        <v>34275</v>
      </c>
      <c r="BH29" s="7">
        <f t="shared" si="27"/>
        <v>2040</v>
      </c>
      <c r="BI29" s="46">
        <v>0</v>
      </c>
      <c r="BJ29" s="16">
        <f t="shared" si="15"/>
        <v>2946</v>
      </c>
      <c r="BK29" s="87">
        <f t="shared" si="28"/>
        <v>13.016999999999999</v>
      </c>
      <c r="BL29" s="46">
        <f t="shared" si="41"/>
        <v>38348</v>
      </c>
      <c r="BM29" s="87">
        <f t="shared" si="16"/>
        <v>0.21</v>
      </c>
      <c r="BN29" s="16">
        <f t="shared" si="48"/>
        <v>21622</v>
      </c>
      <c r="BO29" s="16"/>
      <c r="BP29" s="46">
        <f t="shared" si="17"/>
        <v>59970</v>
      </c>
      <c r="BR29" s="46">
        <f t="shared" si="49"/>
        <v>0</v>
      </c>
      <c r="BS29" s="46"/>
      <c r="BT29" s="46">
        <f t="shared" si="29"/>
        <v>59970</v>
      </c>
      <c r="BW29" s="7">
        <f t="shared" si="30"/>
        <v>2040</v>
      </c>
      <c r="BX29" s="46">
        <f t="shared" si="18"/>
        <v>15679</v>
      </c>
      <c r="BY29" s="16">
        <f t="shared" si="31"/>
        <v>6018</v>
      </c>
      <c r="BZ29" s="116">
        <f t="shared" si="32"/>
        <v>4736</v>
      </c>
      <c r="CA29" s="46">
        <f t="shared" si="42"/>
        <v>26433</v>
      </c>
      <c r="CC29" s="46">
        <f t="shared" si="33"/>
        <v>0</v>
      </c>
      <c r="CD29" s="46">
        <f t="shared" si="33"/>
        <v>0</v>
      </c>
      <c r="CE29" s="46">
        <f t="shared" si="43"/>
        <v>0</v>
      </c>
      <c r="CF29" s="46"/>
      <c r="CG29" s="46">
        <f t="shared" si="44"/>
        <v>26433</v>
      </c>
    </row>
    <row r="30" spans="1:106">
      <c r="E30" s="3" t="s">
        <v>73</v>
      </c>
      <c r="F30" s="138">
        <f>ROUND('Database Inputs'!C11,0)</f>
        <v>143</v>
      </c>
      <c r="G30" s="132"/>
      <c r="H30" s="132"/>
      <c r="J30" s="2">
        <f t="shared" si="19"/>
        <v>16</v>
      </c>
      <c r="L30" s="7">
        <f t="shared" si="20"/>
        <v>2041</v>
      </c>
      <c r="M30" s="16">
        <f t="shared" si="45"/>
        <v>2946</v>
      </c>
      <c r="N30" s="53">
        <f t="shared" si="0"/>
        <v>5.4820000000000002</v>
      </c>
      <c r="O30" s="32">
        <f t="shared" si="1"/>
        <v>16150</v>
      </c>
      <c r="P30" s="53">
        <f t="shared" si="2"/>
        <v>0</v>
      </c>
      <c r="Q30" s="46">
        <f t="shared" si="21"/>
        <v>0</v>
      </c>
      <c r="R30" s="43">
        <f t="shared" si="3"/>
        <v>16150</v>
      </c>
      <c r="S30" s="42">
        <f t="shared" si="4"/>
        <v>29.5</v>
      </c>
      <c r="T30" s="46">
        <f t="shared" si="5"/>
        <v>206</v>
      </c>
      <c r="U30" s="44">
        <f t="shared" si="34"/>
        <v>6077</v>
      </c>
      <c r="V30" s="16">
        <f t="shared" si="35"/>
        <v>22227</v>
      </c>
      <c r="W30" s="45">
        <f t="shared" si="6"/>
        <v>4.0629999999999997</v>
      </c>
      <c r="X30" s="46">
        <f t="shared" si="7"/>
        <v>9456</v>
      </c>
      <c r="Y30" s="49">
        <v>0</v>
      </c>
      <c r="Z30" s="49">
        <v>0</v>
      </c>
      <c r="AA30" s="49">
        <f t="shared" si="8"/>
        <v>9456</v>
      </c>
      <c r="AB30" s="49">
        <f t="shared" si="46"/>
        <v>12771</v>
      </c>
      <c r="AE30" s="7">
        <f t="shared" si="22"/>
        <v>2041</v>
      </c>
      <c r="AF30" s="46">
        <f t="shared" si="9"/>
        <v>16150</v>
      </c>
      <c r="AG30" s="16">
        <f t="shared" si="10"/>
        <v>6077</v>
      </c>
      <c r="AH30" s="46">
        <f t="shared" si="36"/>
        <v>22227</v>
      </c>
      <c r="AJ30" s="32">
        <f t="shared" si="23"/>
        <v>0</v>
      </c>
      <c r="AK30" s="32">
        <f t="shared" si="23"/>
        <v>0</v>
      </c>
      <c r="AL30" s="32">
        <f t="shared" si="11"/>
        <v>0</v>
      </c>
      <c r="AN30" s="77">
        <f t="shared" si="12"/>
        <v>22227</v>
      </c>
      <c r="AQ30" s="7">
        <f t="shared" si="24"/>
        <v>2041</v>
      </c>
      <c r="AR30" s="49">
        <f t="shared" si="13"/>
        <v>16150</v>
      </c>
      <c r="AS30" s="46">
        <f t="shared" si="25"/>
        <v>6077</v>
      </c>
      <c r="AT30" s="91">
        <f t="shared" si="37"/>
        <v>4.7E-2</v>
      </c>
      <c r="AU30" s="16">
        <f t="shared" si="47"/>
        <v>4839</v>
      </c>
      <c r="AV30" s="53">
        <f t="shared" si="38"/>
        <v>2.7069999999999999</v>
      </c>
      <c r="AW30" s="46">
        <f t="shared" si="39"/>
        <v>7975</v>
      </c>
      <c r="AX30" s="91"/>
      <c r="AY30" s="92"/>
      <c r="AZ30" s="49">
        <f t="shared" si="40"/>
        <v>35041</v>
      </c>
      <c r="BA30" s="17"/>
      <c r="BB30" s="49">
        <v>0</v>
      </c>
      <c r="BC30" s="46">
        <v>0</v>
      </c>
      <c r="BD30" s="47">
        <f t="shared" si="26"/>
        <v>0</v>
      </c>
      <c r="BE30" s="49">
        <f t="shared" si="14"/>
        <v>35041</v>
      </c>
      <c r="BH30" s="7">
        <f t="shared" si="27"/>
        <v>2041</v>
      </c>
      <c r="BI30" s="46">
        <v>0</v>
      </c>
      <c r="BJ30" s="16">
        <f t="shared" si="15"/>
        <v>2946</v>
      </c>
      <c r="BK30" s="87">
        <f t="shared" si="28"/>
        <v>13.407</v>
      </c>
      <c r="BL30" s="46">
        <f t="shared" si="41"/>
        <v>39497</v>
      </c>
      <c r="BM30" s="87">
        <f t="shared" si="16"/>
        <v>0.217</v>
      </c>
      <c r="BN30" s="16">
        <f t="shared" si="48"/>
        <v>22342</v>
      </c>
      <c r="BO30" s="16"/>
      <c r="BP30" s="46">
        <f t="shared" si="17"/>
        <v>61839</v>
      </c>
      <c r="BR30" s="46">
        <f t="shared" si="49"/>
        <v>0</v>
      </c>
      <c r="BS30" s="46"/>
      <c r="BT30" s="46">
        <f t="shared" si="29"/>
        <v>61839</v>
      </c>
      <c r="BW30" s="7">
        <f t="shared" si="30"/>
        <v>2041</v>
      </c>
      <c r="BX30" s="46">
        <f t="shared" si="18"/>
        <v>16150</v>
      </c>
      <c r="BY30" s="16">
        <f t="shared" si="31"/>
        <v>6077</v>
      </c>
      <c r="BZ30" s="116">
        <f t="shared" si="32"/>
        <v>4839</v>
      </c>
      <c r="CA30" s="46">
        <f t="shared" si="42"/>
        <v>27066</v>
      </c>
      <c r="CC30" s="46">
        <f t="shared" si="33"/>
        <v>0</v>
      </c>
      <c r="CD30" s="46">
        <f t="shared" si="33"/>
        <v>0</v>
      </c>
      <c r="CE30" s="46">
        <f t="shared" si="43"/>
        <v>0</v>
      </c>
      <c r="CF30" s="46"/>
      <c r="CG30" s="46">
        <f t="shared" si="44"/>
        <v>27066</v>
      </c>
    </row>
    <row r="31" spans="1:106">
      <c r="A31" s="2" t="s">
        <v>74</v>
      </c>
      <c r="C31" s="13">
        <f>+'Gas Input Table Summary'!$D$21</f>
        <v>7.7189999999999995E-2</v>
      </c>
      <c r="F31" s="250"/>
      <c r="G31" s="16"/>
      <c r="H31" s="16"/>
      <c r="J31" s="2">
        <f t="shared" si="19"/>
        <v>17</v>
      </c>
      <c r="L31" s="7">
        <f t="shared" si="20"/>
        <v>2042</v>
      </c>
      <c r="M31" s="16">
        <f t="shared" si="45"/>
        <v>2946</v>
      </c>
      <c r="N31" s="53">
        <f t="shared" si="0"/>
        <v>5.6459999999999999</v>
      </c>
      <c r="O31" s="32">
        <f t="shared" si="1"/>
        <v>16633</v>
      </c>
      <c r="P31" s="53">
        <f t="shared" si="2"/>
        <v>0</v>
      </c>
      <c r="Q31" s="46">
        <f t="shared" si="21"/>
        <v>0</v>
      </c>
      <c r="R31" s="43">
        <f t="shared" si="3"/>
        <v>16633</v>
      </c>
      <c r="S31" s="42">
        <f t="shared" si="4"/>
        <v>29.5</v>
      </c>
      <c r="T31" s="46">
        <f t="shared" si="5"/>
        <v>208</v>
      </c>
      <c r="U31" s="44">
        <f t="shared" si="34"/>
        <v>6136</v>
      </c>
      <c r="V31" s="16">
        <f t="shared" si="35"/>
        <v>22769</v>
      </c>
      <c r="W31" s="45">
        <f t="shared" si="6"/>
        <v>4.1849999999999996</v>
      </c>
      <c r="X31" s="46">
        <f t="shared" si="7"/>
        <v>9740</v>
      </c>
      <c r="Y31" s="49">
        <v>0</v>
      </c>
      <c r="Z31" s="49">
        <v>0</v>
      </c>
      <c r="AA31" s="49">
        <f t="shared" si="8"/>
        <v>9740</v>
      </c>
      <c r="AB31" s="49">
        <f t="shared" si="46"/>
        <v>13029</v>
      </c>
      <c r="AE31" s="7">
        <f t="shared" si="22"/>
        <v>2042</v>
      </c>
      <c r="AF31" s="46">
        <f t="shared" si="9"/>
        <v>16633</v>
      </c>
      <c r="AG31" s="16">
        <f t="shared" si="10"/>
        <v>6136</v>
      </c>
      <c r="AH31" s="46">
        <f t="shared" si="36"/>
        <v>22769</v>
      </c>
      <c r="AJ31" s="32">
        <f t="shared" si="23"/>
        <v>0</v>
      </c>
      <c r="AK31" s="32">
        <f t="shared" si="23"/>
        <v>0</v>
      </c>
      <c r="AL31" s="32">
        <f t="shared" si="11"/>
        <v>0</v>
      </c>
      <c r="AN31" s="77">
        <f t="shared" si="12"/>
        <v>22769</v>
      </c>
      <c r="AQ31" s="7">
        <f t="shared" si="24"/>
        <v>2042</v>
      </c>
      <c r="AR31" s="49">
        <f t="shared" si="13"/>
        <v>16633</v>
      </c>
      <c r="AS31" s="46">
        <f t="shared" si="25"/>
        <v>6136</v>
      </c>
      <c r="AT31" s="91">
        <f t="shared" si="37"/>
        <v>4.9000000000000002E-2</v>
      </c>
      <c r="AU31" s="16">
        <f t="shared" si="47"/>
        <v>5045</v>
      </c>
      <c r="AV31" s="53">
        <f t="shared" si="38"/>
        <v>2.7519999999999998</v>
      </c>
      <c r="AW31" s="46">
        <f t="shared" si="39"/>
        <v>8107</v>
      </c>
      <c r="AX31" s="91"/>
      <c r="AY31" s="92"/>
      <c r="AZ31" s="49">
        <f t="shared" si="40"/>
        <v>35921</v>
      </c>
      <c r="BA31" s="17"/>
      <c r="BB31" s="49">
        <v>0</v>
      </c>
      <c r="BC31" s="46">
        <v>0</v>
      </c>
      <c r="BD31" s="47">
        <f t="shared" si="26"/>
        <v>0</v>
      </c>
      <c r="BE31" s="49">
        <f t="shared" si="14"/>
        <v>35921</v>
      </c>
      <c r="BH31" s="7">
        <f t="shared" si="27"/>
        <v>2042</v>
      </c>
      <c r="BI31" s="46">
        <v>0</v>
      </c>
      <c r="BJ31" s="16">
        <f t="shared" si="15"/>
        <v>2946</v>
      </c>
      <c r="BK31" s="87">
        <f t="shared" si="28"/>
        <v>13.81</v>
      </c>
      <c r="BL31" s="46">
        <f t="shared" si="41"/>
        <v>40684</v>
      </c>
      <c r="BM31" s="87">
        <f t="shared" si="16"/>
        <v>0.223</v>
      </c>
      <c r="BN31" s="16">
        <f t="shared" si="48"/>
        <v>22960</v>
      </c>
      <c r="BO31" s="16"/>
      <c r="BP31" s="46">
        <f t="shared" si="17"/>
        <v>63644</v>
      </c>
      <c r="BR31" s="46">
        <f t="shared" si="49"/>
        <v>0</v>
      </c>
      <c r="BS31" s="46"/>
      <c r="BT31" s="46">
        <f t="shared" si="29"/>
        <v>63644</v>
      </c>
      <c r="BW31" s="7">
        <f t="shared" si="30"/>
        <v>2042</v>
      </c>
      <c r="BX31" s="46">
        <f t="shared" si="18"/>
        <v>16633</v>
      </c>
      <c r="BY31" s="16">
        <f t="shared" si="31"/>
        <v>6136</v>
      </c>
      <c r="BZ31" s="116">
        <f t="shared" si="32"/>
        <v>5045</v>
      </c>
      <c r="CA31" s="46">
        <f t="shared" si="42"/>
        <v>27814</v>
      </c>
      <c r="CC31" s="46">
        <f t="shared" si="33"/>
        <v>0</v>
      </c>
      <c r="CD31" s="46">
        <f t="shared" si="33"/>
        <v>0</v>
      </c>
      <c r="CE31" s="46">
        <f t="shared" si="43"/>
        <v>0</v>
      </c>
      <c r="CF31" s="46"/>
      <c r="CG31" s="46">
        <f t="shared" si="44"/>
        <v>27814</v>
      </c>
    </row>
    <row r="32" spans="1:106">
      <c r="E32" s="48" t="s">
        <v>103</v>
      </c>
      <c r="F32" s="138">
        <f>+'Total Program Inputs'!G12</f>
        <v>2946</v>
      </c>
      <c r="G32" s="22"/>
      <c r="H32" s="22"/>
      <c r="J32" s="2">
        <f t="shared" si="19"/>
        <v>18</v>
      </c>
      <c r="L32" s="7">
        <f t="shared" si="20"/>
        <v>2043</v>
      </c>
      <c r="M32" s="16">
        <f t="shared" si="45"/>
        <v>2946</v>
      </c>
      <c r="N32" s="53">
        <f t="shared" si="0"/>
        <v>5.8159999999999998</v>
      </c>
      <c r="O32" s="32">
        <f t="shared" si="1"/>
        <v>17134</v>
      </c>
      <c r="P32" s="53">
        <f t="shared" si="2"/>
        <v>0</v>
      </c>
      <c r="Q32" s="46">
        <f t="shared" si="21"/>
        <v>0</v>
      </c>
      <c r="R32" s="43">
        <f t="shared" si="3"/>
        <v>17134</v>
      </c>
      <c r="S32" s="42">
        <f t="shared" si="4"/>
        <v>29.5</v>
      </c>
      <c r="T32" s="46">
        <f t="shared" si="5"/>
        <v>210</v>
      </c>
      <c r="U32" s="44">
        <f t="shared" si="34"/>
        <v>6195</v>
      </c>
      <c r="V32" s="16">
        <f t="shared" si="35"/>
        <v>23329</v>
      </c>
      <c r="W32" s="45">
        <f t="shared" si="6"/>
        <v>4.3109999999999999</v>
      </c>
      <c r="X32" s="46">
        <f t="shared" si="7"/>
        <v>10033</v>
      </c>
      <c r="Y32" s="49">
        <v>0</v>
      </c>
      <c r="Z32" s="49">
        <v>0</v>
      </c>
      <c r="AA32" s="49">
        <f t="shared" si="8"/>
        <v>10033</v>
      </c>
      <c r="AB32" s="49">
        <f t="shared" si="46"/>
        <v>13296</v>
      </c>
      <c r="AE32" s="7">
        <f t="shared" si="22"/>
        <v>2043</v>
      </c>
      <c r="AF32" s="46">
        <f t="shared" si="9"/>
        <v>17134</v>
      </c>
      <c r="AG32" s="16">
        <f t="shared" si="10"/>
        <v>6195</v>
      </c>
      <c r="AH32" s="46">
        <f t="shared" si="36"/>
        <v>23329</v>
      </c>
      <c r="AJ32" s="32">
        <f t="shared" si="23"/>
        <v>0</v>
      </c>
      <c r="AK32" s="32">
        <f t="shared" si="23"/>
        <v>0</v>
      </c>
      <c r="AL32" s="32">
        <f t="shared" si="11"/>
        <v>0</v>
      </c>
      <c r="AN32" s="77">
        <f t="shared" si="12"/>
        <v>23329</v>
      </c>
      <c r="AQ32" s="7">
        <f t="shared" si="24"/>
        <v>2043</v>
      </c>
      <c r="AR32" s="49">
        <f t="shared" si="13"/>
        <v>17134</v>
      </c>
      <c r="AS32" s="46">
        <f t="shared" si="25"/>
        <v>6195</v>
      </c>
      <c r="AT32" s="91">
        <f t="shared" si="37"/>
        <v>0.05</v>
      </c>
      <c r="AU32" s="16">
        <f t="shared" si="47"/>
        <v>5148</v>
      </c>
      <c r="AV32" s="53">
        <f t="shared" si="38"/>
        <v>2.7989999999999999</v>
      </c>
      <c r="AW32" s="46">
        <f t="shared" si="39"/>
        <v>8246</v>
      </c>
      <c r="AX32" s="91"/>
      <c r="AY32" s="92"/>
      <c r="AZ32" s="49">
        <f t="shared" si="40"/>
        <v>36723</v>
      </c>
      <c r="BA32" s="17"/>
      <c r="BB32" s="49">
        <v>0</v>
      </c>
      <c r="BC32" s="46">
        <v>0</v>
      </c>
      <c r="BD32" s="47">
        <f t="shared" si="26"/>
        <v>0</v>
      </c>
      <c r="BE32" s="49">
        <f t="shared" si="14"/>
        <v>36723</v>
      </c>
      <c r="BH32" s="7">
        <f t="shared" si="27"/>
        <v>2043</v>
      </c>
      <c r="BI32" s="46">
        <v>0</v>
      </c>
      <c r="BJ32" s="16">
        <f t="shared" si="15"/>
        <v>2946</v>
      </c>
      <c r="BK32" s="87">
        <f t="shared" si="28"/>
        <v>14.224</v>
      </c>
      <c r="BL32" s="46">
        <f t="shared" si="41"/>
        <v>41904</v>
      </c>
      <c r="BM32" s="87">
        <f t="shared" si="16"/>
        <v>0.23</v>
      </c>
      <c r="BN32" s="16">
        <f t="shared" si="48"/>
        <v>23681</v>
      </c>
      <c r="BO32" s="16"/>
      <c r="BP32" s="46">
        <f t="shared" si="17"/>
        <v>65585</v>
      </c>
      <c r="BR32" s="46">
        <f t="shared" si="49"/>
        <v>0</v>
      </c>
      <c r="BS32" s="46"/>
      <c r="BT32" s="46">
        <f t="shared" si="29"/>
        <v>65585</v>
      </c>
      <c r="BW32" s="7">
        <f t="shared" si="30"/>
        <v>2043</v>
      </c>
      <c r="BX32" s="46">
        <f t="shared" si="18"/>
        <v>17134</v>
      </c>
      <c r="BY32" s="16">
        <f t="shared" si="31"/>
        <v>6195</v>
      </c>
      <c r="BZ32" s="116">
        <f t="shared" si="32"/>
        <v>5148</v>
      </c>
      <c r="CA32" s="46">
        <f t="shared" si="42"/>
        <v>28477</v>
      </c>
      <c r="CC32" s="46">
        <f t="shared" si="33"/>
        <v>0</v>
      </c>
      <c r="CD32" s="46">
        <f t="shared" si="33"/>
        <v>0</v>
      </c>
      <c r="CE32" s="46">
        <f t="shared" si="43"/>
        <v>0</v>
      </c>
      <c r="CF32" s="46"/>
      <c r="CG32" s="46">
        <f t="shared" si="44"/>
        <v>28477</v>
      </c>
    </row>
    <row r="33" spans="1:87">
      <c r="A33" s="2" t="s">
        <v>75</v>
      </c>
      <c r="C33" s="11">
        <f>+'Gas Input Table Summary'!$D$22</f>
        <v>2.0699999999999998</v>
      </c>
      <c r="F33" s="250"/>
      <c r="G33" s="16"/>
      <c r="H33" s="16"/>
      <c r="J33" s="2">
        <f t="shared" si="19"/>
        <v>19</v>
      </c>
      <c r="L33" s="7">
        <f t="shared" si="20"/>
        <v>2044</v>
      </c>
      <c r="M33" s="16">
        <f t="shared" si="45"/>
        <v>2946</v>
      </c>
      <c r="N33" s="53">
        <f t="shared" si="0"/>
        <v>5.99</v>
      </c>
      <c r="O33" s="32">
        <f t="shared" si="1"/>
        <v>17647</v>
      </c>
      <c r="P33" s="53">
        <f t="shared" si="2"/>
        <v>0</v>
      </c>
      <c r="Q33" s="46">
        <f t="shared" si="21"/>
        <v>0</v>
      </c>
      <c r="R33" s="43">
        <f t="shared" si="3"/>
        <v>17647</v>
      </c>
      <c r="S33" s="42">
        <f t="shared" si="4"/>
        <v>29.5</v>
      </c>
      <c r="T33" s="46">
        <f t="shared" si="5"/>
        <v>212</v>
      </c>
      <c r="U33" s="44">
        <f t="shared" si="34"/>
        <v>6254</v>
      </c>
      <c r="V33" s="16">
        <f t="shared" si="35"/>
        <v>23901</v>
      </c>
      <c r="W33" s="45">
        <f t="shared" si="6"/>
        <v>4.4400000000000004</v>
      </c>
      <c r="X33" s="46">
        <f t="shared" si="7"/>
        <v>10333</v>
      </c>
      <c r="Y33" s="49">
        <v>0</v>
      </c>
      <c r="Z33" s="49">
        <v>0</v>
      </c>
      <c r="AA33" s="49">
        <f t="shared" si="8"/>
        <v>10333</v>
      </c>
      <c r="AB33" s="49">
        <f t="shared" si="46"/>
        <v>13568</v>
      </c>
      <c r="AE33" s="7">
        <f t="shared" si="22"/>
        <v>2044</v>
      </c>
      <c r="AF33" s="46">
        <f t="shared" si="9"/>
        <v>17647</v>
      </c>
      <c r="AG33" s="16">
        <f t="shared" si="10"/>
        <v>6254</v>
      </c>
      <c r="AH33" s="46">
        <f t="shared" si="36"/>
        <v>23901</v>
      </c>
      <c r="AJ33" s="32">
        <f t="shared" si="23"/>
        <v>0</v>
      </c>
      <c r="AK33" s="32">
        <f t="shared" si="23"/>
        <v>0</v>
      </c>
      <c r="AL33" s="32">
        <f t="shared" si="11"/>
        <v>0</v>
      </c>
      <c r="AN33" s="77">
        <f t="shared" si="12"/>
        <v>23901</v>
      </c>
      <c r="AQ33" s="7">
        <f t="shared" si="24"/>
        <v>2044</v>
      </c>
      <c r="AR33" s="49">
        <f t="shared" si="13"/>
        <v>17647</v>
      </c>
      <c r="AS33" s="46">
        <f t="shared" si="25"/>
        <v>6254</v>
      </c>
      <c r="AT33" s="91">
        <f t="shared" si="37"/>
        <v>5.1999999999999998E-2</v>
      </c>
      <c r="AU33" s="16">
        <f t="shared" si="47"/>
        <v>5354</v>
      </c>
      <c r="AV33" s="53">
        <f t="shared" si="38"/>
        <v>2.8460000000000001</v>
      </c>
      <c r="AW33" s="46">
        <f t="shared" si="39"/>
        <v>8384</v>
      </c>
      <c r="AX33" s="91"/>
      <c r="AY33" s="92"/>
      <c r="AZ33" s="49">
        <f t="shared" si="40"/>
        <v>37639</v>
      </c>
      <c r="BA33" s="17"/>
      <c r="BB33" s="49">
        <v>0</v>
      </c>
      <c r="BC33" s="46">
        <v>0</v>
      </c>
      <c r="BD33" s="47">
        <f t="shared" si="26"/>
        <v>0</v>
      </c>
      <c r="BE33" s="49">
        <f t="shared" si="14"/>
        <v>37639</v>
      </c>
      <c r="BH33" s="7">
        <f t="shared" si="27"/>
        <v>2044</v>
      </c>
      <c r="BI33" s="46">
        <v>0</v>
      </c>
      <c r="BJ33" s="16">
        <f t="shared" si="15"/>
        <v>2946</v>
      </c>
      <c r="BK33" s="87">
        <f t="shared" si="28"/>
        <v>14.651</v>
      </c>
      <c r="BL33" s="46">
        <f t="shared" si="41"/>
        <v>43162</v>
      </c>
      <c r="BM33" s="87">
        <f t="shared" si="16"/>
        <v>0.23699999999999999</v>
      </c>
      <c r="BN33" s="16">
        <f t="shared" si="48"/>
        <v>24402</v>
      </c>
      <c r="BO33" s="16"/>
      <c r="BP33" s="46">
        <f t="shared" si="17"/>
        <v>67564</v>
      </c>
      <c r="BR33" s="46">
        <f t="shared" si="49"/>
        <v>0</v>
      </c>
      <c r="BS33" s="46"/>
      <c r="BT33" s="46">
        <f t="shared" si="29"/>
        <v>67564</v>
      </c>
      <c r="BW33" s="7">
        <f t="shared" si="30"/>
        <v>2044</v>
      </c>
      <c r="BX33" s="46">
        <f t="shared" si="18"/>
        <v>17647</v>
      </c>
      <c r="BY33" s="16">
        <f t="shared" si="31"/>
        <v>6254</v>
      </c>
      <c r="BZ33" s="116">
        <f t="shared" si="32"/>
        <v>5354</v>
      </c>
      <c r="CA33" s="46">
        <f t="shared" si="42"/>
        <v>29255</v>
      </c>
      <c r="CC33" s="46">
        <f t="shared" si="33"/>
        <v>0</v>
      </c>
      <c r="CD33" s="46">
        <f t="shared" si="33"/>
        <v>0</v>
      </c>
      <c r="CE33" s="46">
        <f t="shared" si="43"/>
        <v>0</v>
      </c>
      <c r="CF33" s="46"/>
      <c r="CG33" s="46">
        <f t="shared" si="44"/>
        <v>29255</v>
      </c>
    </row>
    <row r="34" spans="1:87">
      <c r="A34" s="3" t="s">
        <v>18</v>
      </c>
      <c r="C34" s="15">
        <f>+'Gas Input Table Summary'!$D$23</f>
        <v>1.6899999999999998E-2</v>
      </c>
      <c r="E34" s="2" t="s">
        <v>76</v>
      </c>
      <c r="F34" s="259">
        <f>ROUND('Database Inputs'!L11,0)</f>
        <v>300</v>
      </c>
      <c r="G34" s="135"/>
      <c r="H34" s="135"/>
      <c r="J34" s="2">
        <f t="shared" si="19"/>
        <v>20</v>
      </c>
      <c r="L34" s="7">
        <f t="shared" si="20"/>
        <v>2045</v>
      </c>
      <c r="M34" s="16">
        <f t="shared" si="45"/>
        <v>0</v>
      </c>
      <c r="N34" s="95">
        <f t="shared" si="0"/>
        <v>6.17</v>
      </c>
      <c r="O34" s="32">
        <f t="shared" si="1"/>
        <v>0</v>
      </c>
      <c r="P34" s="95">
        <f t="shared" si="2"/>
        <v>0</v>
      </c>
      <c r="Q34" s="49">
        <f t="shared" si="21"/>
        <v>0</v>
      </c>
      <c r="R34" s="96">
        <f t="shared" si="3"/>
        <v>0</v>
      </c>
      <c r="S34" s="97">
        <f t="shared" si="4"/>
        <v>0</v>
      </c>
      <c r="T34" s="49">
        <f t="shared" si="5"/>
        <v>214</v>
      </c>
      <c r="U34" s="99">
        <f t="shared" si="34"/>
        <v>0</v>
      </c>
      <c r="V34" s="16">
        <f t="shared" si="35"/>
        <v>0</v>
      </c>
      <c r="W34" s="87">
        <f t="shared" si="6"/>
        <v>4.5730000000000004</v>
      </c>
      <c r="X34" s="49">
        <f t="shared" si="7"/>
        <v>0</v>
      </c>
      <c r="Y34" s="49">
        <v>0</v>
      </c>
      <c r="Z34" s="49">
        <v>0</v>
      </c>
      <c r="AA34" s="49">
        <f t="shared" si="8"/>
        <v>0</v>
      </c>
      <c r="AB34" s="49">
        <f t="shared" si="46"/>
        <v>0</v>
      </c>
      <c r="AE34" s="7">
        <f t="shared" si="22"/>
        <v>2045</v>
      </c>
      <c r="AF34" s="49">
        <f t="shared" si="9"/>
        <v>0</v>
      </c>
      <c r="AG34" s="16">
        <f t="shared" si="10"/>
        <v>0</v>
      </c>
      <c r="AH34" s="49">
        <f t="shared" si="36"/>
        <v>0</v>
      </c>
      <c r="AJ34" s="32">
        <f t="shared" si="23"/>
        <v>0</v>
      </c>
      <c r="AK34" s="32">
        <f t="shared" si="23"/>
        <v>0</v>
      </c>
      <c r="AL34" s="32">
        <f t="shared" si="11"/>
        <v>0</v>
      </c>
      <c r="AN34" s="179">
        <f t="shared" si="12"/>
        <v>0</v>
      </c>
      <c r="AQ34" s="7">
        <f t="shared" si="24"/>
        <v>2045</v>
      </c>
      <c r="AR34" s="49">
        <f t="shared" si="13"/>
        <v>0</v>
      </c>
      <c r="AS34" s="49">
        <f t="shared" si="25"/>
        <v>0</v>
      </c>
      <c r="AT34" s="98">
        <f t="shared" si="37"/>
        <v>5.2999999999999999E-2</v>
      </c>
      <c r="AU34" s="16">
        <f t="shared" si="47"/>
        <v>0</v>
      </c>
      <c r="AV34" s="95">
        <f t="shared" si="38"/>
        <v>2.8940000000000001</v>
      </c>
      <c r="AW34" s="49">
        <f t="shared" si="39"/>
        <v>0</v>
      </c>
      <c r="AX34" s="98"/>
      <c r="AY34" s="180"/>
      <c r="AZ34" s="49">
        <f t="shared" si="40"/>
        <v>0</v>
      </c>
      <c r="BA34" s="17"/>
      <c r="BB34" s="49">
        <v>0</v>
      </c>
      <c r="BC34" s="49">
        <v>0</v>
      </c>
      <c r="BD34" s="181">
        <f t="shared" si="26"/>
        <v>0</v>
      </c>
      <c r="BE34" s="49">
        <f t="shared" si="14"/>
        <v>0</v>
      </c>
      <c r="BH34" s="7">
        <f t="shared" si="27"/>
        <v>2045</v>
      </c>
      <c r="BI34" s="49">
        <v>0</v>
      </c>
      <c r="BJ34" s="16">
        <f t="shared" si="15"/>
        <v>0</v>
      </c>
      <c r="BK34" s="87">
        <f t="shared" si="28"/>
        <v>15.09</v>
      </c>
      <c r="BL34" s="49">
        <f t="shared" si="41"/>
        <v>0</v>
      </c>
      <c r="BM34" s="87">
        <f t="shared" si="16"/>
        <v>0.24399999999999999</v>
      </c>
      <c r="BN34" s="16">
        <f t="shared" si="48"/>
        <v>0</v>
      </c>
      <c r="BO34" s="16"/>
      <c r="BP34" s="49">
        <f t="shared" si="17"/>
        <v>0</v>
      </c>
      <c r="BR34" s="49">
        <f t="shared" si="49"/>
        <v>0</v>
      </c>
      <c r="BS34" s="49"/>
      <c r="BT34" s="49">
        <f t="shared" si="29"/>
        <v>0</v>
      </c>
      <c r="BW34" s="7">
        <f t="shared" si="30"/>
        <v>2045</v>
      </c>
      <c r="BX34" s="49">
        <f t="shared" si="18"/>
        <v>0</v>
      </c>
      <c r="BY34" s="16">
        <f t="shared" si="31"/>
        <v>0</v>
      </c>
      <c r="BZ34" s="116">
        <f t="shared" si="32"/>
        <v>0</v>
      </c>
      <c r="CA34" s="49">
        <f t="shared" si="42"/>
        <v>0</v>
      </c>
      <c r="CC34" s="49">
        <f t="shared" si="33"/>
        <v>0</v>
      </c>
      <c r="CD34" s="49">
        <f t="shared" si="33"/>
        <v>0</v>
      </c>
      <c r="CE34" s="49">
        <f t="shared" si="43"/>
        <v>0</v>
      </c>
      <c r="CF34" s="49"/>
      <c r="CG34" s="49">
        <f t="shared" si="44"/>
        <v>0</v>
      </c>
    </row>
    <row r="35" spans="1:87">
      <c r="A35" s="3"/>
      <c r="C35" s="15"/>
      <c r="E35" s="3"/>
      <c r="F35" s="22"/>
      <c r="G35" s="50"/>
      <c r="H35" s="50"/>
      <c r="J35" s="2">
        <f t="shared" si="19"/>
        <v>21</v>
      </c>
      <c r="L35" s="7">
        <f t="shared" si="20"/>
        <v>2046</v>
      </c>
      <c r="M35" s="16">
        <f t="shared" ref="M35:M36" si="50">ROUND(IF($C$47+$F$23&gt;L35,$F$25*$F$30,0)+IF($C$48+$G$23&gt;L35,$G$25*$G$30,0)+IF($C$49+$H$23&gt;L35,$H$25*$H$30,0),0)</f>
        <v>0</v>
      </c>
      <c r="N35" s="95">
        <f t="shared" ref="N35:N36" si="51">ROUND($C$17*(1+$C$18)^J35,3)</f>
        <v>6.3550000000000004</v>
      </c>
      <c r="O35" s="32">
        <f t="shared" ref="O35:O36" si="52">ROUND(M35*N35,0)</f>
        <v>0</v>
      </c>
      <c r="P35" s="95">
        <f t="shared" ref="P35:P36" si="53">ROUND($C$25*(1+$C$26)^J35,3)</f>
        <v>0</v>
      </c>
      <c r="Q35" s="49">
        <f t="shared" ref="Q35:Q36" si="54">ROUND(M35*P35,0)</f>
        <v>0</v>
      </c>
      <c r="R35" s="96">
        <f t="shared" ref="R35:R36" si="55">O35+Q35</f>
        <v>0</v>
      </c>
      <c r="S35" s="97">
        <f t="shared" ref="S35:S36" si="56">ROUND(M35*$C$23,1)</f>
        <v>0</v>
      </c>
      <c r="T35" s="49">
        <f t="shared" ref="T35:T36" si="57">ROUND($C$20*(1+$C$21)^J35,0)</f>
        <v>216</v>
      </c>
      <c r="U35" s="99">
        <f t="shared" ref="U35:U36" si="58">ROUND(S35*T35,0)</f>
        <v>0</v>
      </c>
      <c r="V35" s="16">
        <f t="shared" ref="V35:V36" si="59">ROUND(+U35+R35,0)</f>
        <v>0</v>
      </c>
      <c r="W35" s="87">
        <f t="shared" ref="W35:W36" si="60">ROUND($H$36*(1+$C$11)^J35,3)</f>
        <v>4.71</v>
      </c>
      <c r="X35" s="49">
        <f t="shared" ref="X35:X36" si="61">ROUND((1-$H$38)*(W35*M35),0)</f>
        <v>0</v>
      </c>
      <c r="Y35" s="49">
        <v>0</v>
      </c>
      <c r="Z35" s="49">
        <v>0</v>
      </c>
      <c r="AA35" s="49">
        <f t="shared" ref="AA35:AA36" si="62">SUM(X35:Z35)</f>
        <v>0</v>
      </c>
      <c r="AB35" s="49">
        <f t="shared" ref="AB35:AB36" si="63">V35-AA35</f>
        <v>0</v>
      </c>
      <c r="AE35" s="7">
        <f t="shared" si="22"/>
        <v>2046</v>
      </c>
      <c r="AF35" s="49">
        <f t="shared" ref="AF35:AF36" si="64">+R35</f>
        <v>0</v>
      </c>
      <c r="AG35" s="16">
        <f t="shared" ref="AG35:AG36" si="65">+U35</f>
        <v>0</v>
      </c>
      <c r="AH35" s="49">
        <f t="shared" ref="AH35:AH36" si="66">+AG35+AF35</f>
        <v>0</v>
      </c>
      <c r="AJ35" s="32">
        <f t="shared" ref="AJ35:AJ36" si="67">ROUND(Y35,0)</f>
        <v>0</v>
      </c>
      <c r="AK35" s="32">
        <f t="shared" ref="AK35:AK36" si="68">ROUND(Z35,0)</f>
        <v>0</v>
      </c>
      <c r="AL35" s="32">
        <f t="shared" ref="AL35:AL36" si="69">SUM(AJ35:AK35)</f>
        <v>0</v>
      </c>
      <c r="AN35" s="179">
        <f t="shared" ref="AN35:AN36" si="70">+AH35-AL35</f>
        <v>0</v>
      </c>
      <c r="AQ35" s="7">
        <f t="shared" si="24"/>
        <v>2046</v>
      </c>
      <c r="AR35" s="49">
        <f t="shared" ref="AR35:AR36" si="71">AF35</f>
        <v>0</v>
      </c>
      <c r="AS35" s="49">
        <f t="shared" ref="AS35:AS36" si="72">+AG35</f>
        <v>0</v>
      </c>
      <c r="AT35" s="98">
        <f t="shared" ref="AT35:AT36" si="73">ROUND(($C$28/(1-$C$31))*(1+$C$29)^J35,3)</f>
        <v>5.5E-2</v>
      </c>
      <c r="AU35" s="16">
        <f t="shared" ref="AU35:AU36" si="74">ROUND((IF($C$47+$F$23&gt;$AQ35,$F$27*$F$30,0)+IF($C$48+$G$23&gt;AQ35,$G$27*$G$30,0)+IF($C$49+$H$23&gt;AQ35,$H$27*$H$30,0))*AT35,0)</f>
        <v>0</v>
      </c>
      <c r="AV35" s="95">
        <f t="shared" ref="AV35:AV36" si="75">ROUND($C$33*(1+$C$34)^J35,3)</f>
        <v>2.9430000000000001</v>
      </c>
      <c r="AW35" s="49">
        <f t="shared" ref="AW35:AW36" si="76">ROUND(AV35*M35,0)</f>
        <v>0</v>
      </c>
      <c r="AX35" s="98"/>
      <c r="AY35" s="180"/>
      <c r="AZ35" s="49">
        <f t="shared" ref="AZ35:AZ36" si="77">ROUND(AR35+AS35+AU35+AW35+AY35,0)</f>
        <v>0</v>
      </c>
      <c r="BA35" s="17"/>
      <c r="BB35" s="49">
        <v>0</v>
      </c>
      <c r="BC35" s="49">
        <v>0</v>
      </c>
      <c r="BD35" s="181">
        <f t="shared" ref="BD35:BD36" si="78">BB35+BC35</f>
        <v>0</v>
      </c>
      <c r="BE35" s="49">
        <f t="shared" ref="BE35:BE36" si="79">AZ35-BD35</f>
        <v>0</v>
      </c>
      <c r="BH35" s="7">
        <f t="shared" si="27"/>
        <v>2046</v>
      </c>
      <c r="BI35" s="49">
        <v>0</v>
      </c>
      <c r="BJ35" s="16">
        <f t="shared" ref="BJ35:BJ36" si="80">+M35</f>
        <v>0</v>
      </c>
      <c r="BK35" s="87">
        <f t="shared" ref="BK35:BK36" si="81">ROUND($C$10*(1+$C$11)^J35,3)</f>
        <v>15.542999999999999</v>
      </c>
      <c r="BL35" s="49">
        <f t="shared" ref="BL35:BL36" si="82">ROUND(BJ35*BK35,0)</f>
        <v>0</v>
      </c>
      <c r="BM35" s="87">
        <f t="shared" ref="BM35:BM36" si="83">ROUND($C$13*(1+$C$14)^J35,3)</f>
        <v>0.251</v>
      </c>
      <c r="BN35" s="16">
        <f t="shared" ref="BN35:BN36" si="84">ROUND((IF($C$47+$F$23&gt;BH35,$F$27*$F$30,0)+IF($C$49+$H$23&gt;BH35,$H$27*$H$30,0)+IF($C$48+$G$23&gt;BH35,$G$27*$G$30,0))*BM35,0)</f>
        <v>0</v>
      </c>
      <c r="BO35" s="16"/>
      <c r="BP35" s="49">
        <f t="shared" ref="BP35:BP36" si="85">BI35+BL35+BN35+BO35</f>
        <v>0</v>
      </c>
      <c r="BR35" s="49">
        <f t="shared" ref="BR35:BR36" si="86">+BC35</f>
        <v>0</v>
      </c>
      <c r="BS35" s="49"/>
      <c r="BT35" s="49">
        <f t="shared" ref="BT35:BT36" si="87">BP35-BR35</f>
        <v>0</v>
      </c>
      <c r="BW35" s="7">
        <f t="shared" si="30"/>
        <v>2046</v>
      </c>
      <c r="BX35" s="49">
        <f t="shared" si="18"/>
        <v>0</v>
      </c>
      <c r="BY35" s="16">
        <f t="shared" ref="BY35:BY36" si="88">U35</f>
        <v>0</v>
      </c>
      <c r="BZ35" s="116">
        <f t="shared" ref="BZ35:BZ36" si="89">AU35</f>
        <v>0</v>
      </c>
      <c r="CA35" s="49">
        <f t="shared" ref="CA35:CA36" si="90">SUM(BX35:BZ35)</f>
        <v>0</v>
      </c>
      <c r="CC35" s="49">
        <f t="shared" ref="CC35:CC36" si="91">BB35</f>
        <v>0</v>
      </c>
      <c r="CD35" s="49">
        <f t="shared" ref="CD35:CD36" si="92">BC35</f>
        <v>0</v>
      </c>
      <c r="CE35" s="49">
        <f t="shared" ref="CE35:CE36" si="93">SUM(CC35:CD35)</f>
        <v>0</v>
      </c>
      <c r="CF35" s="49"/>
      <c r="CG35" s="49">
        <f t="shared" ref="CG35:CG36" si="94">CA35-CE35</f>
        <v>0</v>
      </c>
    </row>
    <row r="36" spans="1:87">
      <c r="A36" s="3" t="s">
        <v>77</v>
      </c>
      <c r="C36" s="11">
        <f>+'Gas Input Table Summary'!$D$24</f>
        <v>0</v>
      </c>
      <c r="E36" s="3" t="s">
        <v>91</v>
      </c>
      <c r="F36" s="27"/>
      <c r="H36" s="30">
        <f>+'Gas Input Table Summary'!D58</f>
        <v>2.532</v>
      </c>
      <c r="J36" s="2">
        <f t="shared" si="19"/>
        <v>22</v>
      </c>
      <c r="L36" s="7">
        <f t="shared" si="20"/>
        <v>2047</v>
      </c>
      <c r="M36" s="33">
        <f t="shared" si="50"/>
        <v>0</v>
      </c>
      <c r="N36" s="53">
        <f t="shared" si="51"/>
        <v>6.5449999999999999</v>
      </c>
      <c r="O36" s="32">
        <f t="shared" si="52"/>
        <v>0</v>
      </c>
      <c r="P36" s="95">
        <f t="shared" si="53"/>
        <v>0</v>
      </c>
      <c r="Q36" s="49">
        <f t="shared" si="54"/>
        <v>0</v>
      </c>
      <c r="R36" s="96">
        <f t="shared" si="55"/>
        <v>0</v>
      </c>
      <c r="S36" s="97">
        <f t="shared" si="56"/>
        <v>0</v>
      </c>
      <c r="T36" s="49">
        <f t="shared" si="57"/>
        <v>218</v>
      </c>
      <c r="U36" s="99">
        <f t="shared" si="58"/>
        <v>0</v>
      </c>
      <c r="V36" s="33">
        <f t="shared" si="59"/>
        <v>0</v>
      </c>
      <c r="W36" s="45">
        <f t="shared" si="60"/>
        <v>4.8520000000000003</v>
      </c>
      <c r="X36" s="49">
        <f t="shared" si="61"/>
        <v>0</v>
      </c>
      <c r="Y36" s="49">
        <v>0</v>
      </c>
      <c r="Z36" s="49">
        <v>0</v>
      </c>
      <c r="AA36" s="54">
        <f t="shared" si="62"/>
        <v>0</v>
      </c>
      <c r="AB36" s="54">
        <f t="shared" si="63"/>
        <v>0</v>
      </c>
      <c r="AE36" s="7">
        <f t="shared" si="22"/>
        <v>2047</v>
      </c>
      <c r="AF36" s="49">
        <f t="shared" si="64"/>
        <v>0</v>
      </c>
      <c r="AG36" s="16">
        <f t="shared" si="65"/>
        <v>0</v>
      </c>
      <c r="AH36" s="54">
        <f t="shared" si="66"/>
        <v>0</v>
      </c>
      <c r="AJ36" s="32">
        <f t="shared" si="67"/>
        <v>0</v>
      </c>
      <c r="AK36" s="32">
        <f t="shared" si="68"/>
        <v>0</v>
      </c>
      <c r="AL36" s="34">
        <f t="shared" si="69"/>
        <v>0</v>
      </c>
      <c r="AN36" s="78">
        <f t="shared" si="70"/>
        <v>0</v>
      </c>
      <c r="AQ36" s="7">
        <f t="shared" si="24"/>
        <v>2047</v>
      </c>
      <c r="AR36" s="49">
        <f t="shared" si="71"/>
        <v>0</v>
      </c>
      <c r="AS36" s="49">
        <f t="shared" si="72"/>
        <v>0</v>
      </c>
      <c r="AT36" s="98">
        <f t="shared" si="73"/>
        <v>5.7000000000000002E-2</v>
      </c>
      <c r="AU36" s="16">
        <f t="shared" si="74"/>
        <v>0</v>
      </c>
      <c r="AV36" s="95">
        <f t="shared" si="75"/>
        <v>2.9929999999999999</v>
      </c>
      <c r="AW36" s="49">
        <f t="shared" si="76"/>
        <v>0</v>
      </c>
      <c r="AX36" s="91"/>
      <c r="AY36" s="93"/>
      <c r="AZ36" s="54">
        <f t="shared" si="77"/>
        <v>0</v>
      </c>
      <c r="BA36" s="17"/>
      <c r="BB36" s="49">
        <v>0</v>
      </c>
      <c r="BC36" s="49">
        <v>0</v>
      </c>
      <c r="BD36" s="55">
        <f t="shared" si="78"/>
        <v>0</v>
      </c>
      <c r="BE36" s="54">
        <f t="shared" si="79"/>
        <v>0</v>
      </c>
      <c r="BH36" s="7">
        <f t="shared" si="27"/>
        <v>2047</v>
      </c>
      <c r="BI36" s="49">
        <v>0</v>
      </c>
      <c r="BJ36" s="33">
        <f t="shared" si="80"/>
        <v>0</v>
      </c>
      <c r="BK36" s="87">
        <f t="shared" si="81"/>
        <v>16.009</v>
      </c>
      <c r="BL36" s="49">
        <f t="shared" si="82"/>
        <v>0</v>
      </c>
      <c r="BM36" s="87">
        <f t="shared" si="83"/>
        <v>0.25900000000000001</v>
      </c>
      <c r="BN36" s="16">
        <f t="shared" si="84"/>
        <v>0</v>
      </c>
      <c r="BO36" s="33"/>
      <c r="BP36" s="54">
        <f t="shared" si="85"/>
        <v>0</v>
      </c>
      <c r="BR36" s="54">
        <f t="shared" si="86"/>
        <v>0</v>
      </c>
      <c r="BS36" s="54"/>
      <c r="BT36" s="54">
        <f t="shared" si="87"/>
        <v>0</v>
      </c>
      <c r="BW36" s="7">
        <f t="shared" si="30"/>
        <v>2047</v>
      </c>
      <c r="BX36" s="49">
        <f t="shared" si="18"/>
        <v>0</v>
      </c>
      <c r="BY36" s="16">
        <f t="shared" si="88"/>
        <v>0</v>
      </c>
      <c r="BZ36" s="116">
        <f t="shared" si="89"/>
        <v>0</v>
      </c>
      <c r="CA36" s="54">
        <f t="shared" si="90"/>
        <v>0</v>
      </c>
      <c r="CC36" s="54">
        <f t="shared" si="91"/>
        <v>0</v>
      </c>
      <c r="CD36" s="54">
        <f t="shared" si="92"/>
        <v>0</v>
      </c>
      <c r="CE36" s="54">
        <f t="shared" si="93"/>
        <v>0</v>
      </c>
      <c r="CF36" s="54"/>
      <c r="CG36" s="54">
        <f t="shared" si="94"/>
        <v>0</v>
      </c>
    </row>
    <row r="37" spans="1:87">
      <c r="A37" s="2" t="s">
        <v>47</v>
      </c>
      <c r="C37" s="15">
        <f>+'Gas Input Table Summary'!$D$25</f>
        <v>0</v>
      </c>
      <c r="F37" s="16"/>
      <c r="M37" s="5"/>
      <c r="N37" s="2"/>
      <c r="R37" s="24"/>
      <c r="T37" s="18"/>
      <c r="V37" s="5"/>
      <c r="AA37" s="5"/>
      <c r="AB37" s="5"/>
      <c r="AF37" s="5"/>
      <c r="AH37" s="5"/>
      <c r="AN37" s="5"/>
      <c r="AR37" s="5"/>
      <c r="AU37" s="47"/>
      <c r="AW37" s="47"/>
      <c r="AY37" s="47"/>
      <c r="AZ37" s="47"/>
      <c r="BC37" s="16"/>
      <c r="BG37" s="7"/>
      <c r="BJ37" s="23"/>
      <c r="BP37" s="5"/>
      <c r="BT37" s="5"/>
      <c r="BV37" s="7"/>
      <c r="BY37" s="23"/>
      <c r="CA37" s="5"/>
      <c r="CG37" s="5"/>
    </row>
    <row r="38" spans="1:87">
      <c r="C38" s="15"/>
      <c r="E38" s="51" t="s">
        <v>98</v>
      </c>
      <c r="H38" s="128">
        <f>+'Gas Input Table Summary'!D59</f>
        <v>0.21</v>
      </c>
      <c r="J38" s="24"/>
      <c r="K38" s="2" t="s">
        <v>212</v>
      </c>
      <c r="M38" s="16">
        <f>SUM(M14:M36)</f>
        <v>58920</v>
      </c>
      <c r="N38" s="2"/>
      <c r="R38" s="24"/>
      <c r="S38" s="12"/>
      <c r="T38" s="18"/>
      <c r="V38" s="12">
        <f>SUM(V14:V36)</f>
        <v>384403</v>
      </c>
      <c r="X38" s="12"/>
      <c r="Y38" s="12"/>
      <c r="Z38" s="12"/>
      <c r="AA38" s="12">
        <f>SUM(AA14:AA36)</f>
        <v>215734</v>
      </c>
      <c r="AB38" s="12">
        <f>SUM(AB14:AB36)</f>
        <v>168669</v>
      </c>
      <c r="AD38" s="3" t="s">
        <v>78</v>
      </c>
      <c r="AE38" s="16"/>
      <c r="AF38" s="12"/>
      <c r="AG38" s="12"/>
      <c r="AH38" s="12">
        <f>SUM(AH14:AH36)</f>
        <v>384403</v>
      </c>
      <c r="AL38" s="12">
        <f>SUM(AL14:AL36)</f>
        <v>57390</v>
      </c>
      <c r="AN38" s="12">
        <f>SUM(AN14:AN36)</f>
        <v>327013</v>
      </c>
      <c r="AP38" s="3" t="s">
        <v>78</v>
      </c>
      <c r="AQ38" s="16"/>
      <c r="AR38" s="12"/>
      <c r="AS38" s="12"/>
      <c r="AU38" s="46"/>
      <c r="AW38" s="46"/>
      <c r="AY38" s="46"/>
      <c r="AZ38" s="94">
        <f>SUM(AZ14:AZ36)</f>
        <v>609633</v>
      </c>
      <c r="BB38" s="12"/>
      <c r="BC38" s="12"/>
      <c r="BD38" s="12">
        <f>SUM(BD14:BD36)</f>
        <v>119738</v>
      </c>
      <c r="BE38" s="12">
        <f>SUM(BE14:BE36)</f>
        <v>489895</v>
      </c>
      <c r="BG38" s="3" t="s">
        <v>212</v>
      </c>
      <c r="BI38" s="12"/>
      <c r="BJ38" s="16">
        <f>SUM(BJ14:BJ36)</f>
        <v>58920</v>
      </c>
      <c r="BK38" s="18"/>
      <c r="BL38" s="12"/>
      <c r="BN38" s="12"/>
      <c r="BO38" s="12"/>
      <c r="BP38" s="12">
        <f>SUM(BP14:BP36)</f>
        <v>1077518</v>
      </c>
      <c r="BR38" s="12">
        <f>SUM(BR14:BR36)</f>
        <v>105248</v>
      </c>
      <c r="BS38" s="12"/>
      <c r="BT38" s="12">
        <f>SUM(BT14:BT36)</f>
        <v>972270</v>
      </c>
      <c r="BX38" s="12"/>
      <c r="BY38" s="16"/>
      <c r="BZ38" s="3" t="s">
        <v>212</v>
      </c>
      <c r="CA38" s="12">
        <f>SUM(CA14:CA36)</f>
        <v>465948</v>
      </c>
      <c r="CC38" s="12"/>
      <c r="CD38" s="12"/>
      <c r="CE38" s="12">
        <f>SUM(CE14:CE36)</f>
        <v>119738</v>
      </c>
      <c r="CF38" s="12"/>
      <c r="CG38" s="12">
        <f>SUM(CG14:CG36)</f>
        <v>346210</v>
      </c>
    </row>
    <row r="39" spans="1:87">
      <c r="A39" s="3" t="s">
        <v>79</v>
      </c>
      <c r="C39" s="13">
        <f>+'Gas Input Table Summary'!$D$26</f>
        <v>9.8699999999999996E-2</v>
      </c>
      <c r="E39" s="119" t="s">
        <v>227</v>
      </c>
      <c r="M39" s="16"/>
      <c r="N39" s="2"/>
      <c r="R39" s="24"/>
      <c r="S39" s="52"/>
      <c r="T39" s="5" t="s">
        <v>80</v>
      </c>
      <c r="V39" s="52">
        <f>ROUND(V14+NPV($C$41,V15:V36),0)</f>
        <v>206587</v>
      </c>
      <c r="X39" s="12"/>
      <c r="Y39" s="12"/>
      <c r="Z39" s="12"/>
      <c r="AA39" s="12">
        <f>ROUND(AA14+NPV($C$41,AA15:AA36),0)</f>
        <v>141387</v>
      </c>
      <c r="AB39" s="12">
        <f>ROUND(AB14+NPV($C$41,AB15:AB36),0)</f>
        <v>65200</v>
      </c>
      <c r="AF39" s="12"/>
      <c r="AG39" s="3" t="s">
        <v>80</v>
      </c>
      <c r="AH39" s="12">
        <f>ROUND(AH14+NPV($C$41,AH15:AH36),0)</f>
        <v>206587</v>
      </c>
      <c r="AL39" s="12">
        <f>ROUND(AL14+NPV($C$41,AL15:AL36),0)</f>
        <v>57390</v>
      </c>
      <c r="AN39" s="12">
        <f>+AH39-AL39</f>
        <v>149197</v>
      </c>
      <c r="AR39" s="12"/>
      <c r="AS39" s="12"/>
      <c r="AU39" s="46"/>
      <c r="AW39" s="3" t="s">
        <v>80</v>
      </c>
      <c r="AY39" s="46"/>
      <c r="AZ39" s="12">
        <f>ROUND(AZ14+NPV($C$43,AZ15:AZ36),0)</f>
        <v>487384</v>
      </c>
      <c r="BB39" s="12"/>
      <c r="BC39" s="12"/>
      <c r="BD39" s="12">
        <f>ROUND(BD14+NPV($C$43,BD15:BD36),0)</f>
        <v>119738</v>
      </c>
      <c r="BE39" s="12">
        <f>AZ39-BD39</f>
        <v>367646</v>
      </c>
      <c r="BG39" s="7"/>
      <c r="BI39" s="12"/>
      <c r="BL39" s="12"/>
      <c r="BN39" s="12" t="s">
        <v>205</v>
      </c>
      <c r="BO39" s="12"/>
      <c r="BP39" s="12">
        <f>ROUND(BP14+NPV($C$39,BP15:BP36),0)</f>
        <v>489373</v>
      </c>
      <c r="BR39" s="12">
        <f>ROUND(BR14+NPV($C$39,BR15:BR36),0)</f>
        <v>105248</v>
      </c>
      <c r="BS39" s="12"/>
      <c r="BT39" s="16">
        <f>ROUND(BT14+NPV($C$39,BT15:BT36),0)</f>
        <v>384125</v>
      </c>
      <c r="BV39" s="7"/>
      <c r="BX39" s="12"/>
      <c r="BZ39" s="12" t="s">
        <v>205</v>
      </c>
      <c r="CA39" s="12">
        <f>ROUND(CA14+NPV($C$41,CA15:CA36),0)</f>
        <v>249816</v>
      </c>
      <c r="CC39" s="12"/>
      <c r="CD39" s="12"/>
      <c r="CE39" s="12">
        <f>ROUND(CE14+NPV($C$41,CE15:CE36),0)</f>
        <v>119738</v>
      </c>
      <c r="CF39" s="12"/>
      <c r="CG39" s="16">
        <f>ROUND(CG14+NPV($C$41,CG15:CG36),0)</f>
        <v>130078</v>
      </c>
    </row>
    <row r="40" spans="1:87">
      <c r="A40" s="3"/>
      <c r="C40" s="13"/>
      <c r="F40" s="16"/>
      <c r="M40" s="16"/>
      <c r="N40" s="2"/>
      <c r="R40" s="24"/>
      <c r="T40" s="18"/>
      <c r="V40" s="16"/>
      <c r="X40" s="3" t="s">
        <v>81</v>
      </c>
      <c r="Z40" s="16"/>
      <c r="AA40" s="16"/>
      <c r="AB40" s="16"/>
      <c r="AF40" s="16"/>
      <c r="AH40" s="16"/>
      <c r="AI40" s="16"/>
      <c r="AR40" s="16"/>
      <c r="AY40" s="16"/>
      <c r="AZ40" s="16"/>
      <c r="BA40" s="16"/>
      <c r="BB40" s="16"/>
      <c r="BC40" s="16"/>
      <c r="BD40" s="16"/>
      <c r="BE40" s="16"/>
      <c r="BF40" s="16"/>
      <c r="BG40" s="7"/>
      <c r="BI40" s="12"/>
      <c r="BP40" s="16"/>
      <c r="BS40" s="16"/>
      <c r="BU40" s="16"/>
      <c r="BV40" s="7"/>
      <c r="BX40" s="12"/>
      <c r="CA40" s="16"/>
      <c r="CE40" s="12"/>
      <c r="CF40" s="16"/>
    </row>
    <row r="41" spans="1:87">
      <c r="A41" s="3" t="s">
        <v>82</v>
      </c>
      <c r="C41" s="13">
        <f>+'Gas Input Table Summary'!$D$27</f>
        <v>7.0099999999999996E-2</v>
      </c>
      <c r="E41" s="39" t="s">
        <v>88</v>
      </c>
      <c r="F41" s="40" t="s">
        <v>89</v>
      </c>
      <c r="G41" s="41" t="s">
        <v>90</v>
      </c>
      <c r="K41" s="3" t="s">
        <v>83</v>
      </c>
      <c r="M41" s="16"/>
      <c r="N41" s="12">
        <f>AB39</f>
        <v>65200</v>
      </c>
      <c r="Q41" s="12"/>
      <c r="R41" s="24"/>
      <c r="T41" s="18"/>
      <c r="U41" s="18"/>
      <c r="V41" s="16"/>
      <c r="X41" s="3" t="s">
        <v>81</v>
      </c>
      <c r="Z41" s="16"/>
      <c r="AA41" s="16"/>
      <c r="AB41" s="16"/>
      <c r="AD41" s="3" t="s">
        <v>83</v>
      </c>
      <c r="AF41" s="16"/>
      <c r="AG41" s="12">
        <f>AN39</f>
        <v>149197</v>
      </c>
      <c r="AH41" s="12"/>
      <c r="AI41" s="16"/>
      <c r="AM41" s="16"/>
      <c r="AP41" s="3" t="s">
        <v>83</v>
      </c>
      <c r="AR41" s="16"/>
      <c r="AS41" s="12">
        <f>BE39</f>
        <v>367646</v>
      </c>
      <c r="AU41" s="12"/>
      <c r="AW41" s="12"/>
      <c r="AY41" s="16"/>
      <c r="AZ41" s="16"/>
      <c r="BA41" s="25"/>
      <c r="BB41" s="16"/>
      <c r="BC41" s="16"/>
      <c r="BD41" s="16"/>
      <c r="BF41" s="16"/>
      <c r="BG41" s="3" t="s">
        <v>83</v>
      </c>
      <c r="BJ41" s="12">
        <f>BT39</f>
        <v>384125</v>
      </c>
      <c r="BK41" s="12"/>
      <c r="BP41" s="16"/>
      <c r="BS41" s="16"/>
      <c r="BT41" s="16"/>
      <c r="BU41" s="16"/>
      <c r="BV41" s="3" t="s">
        <v>83</v>
      </c>
      <c r="BY41" s="12">
        <f>CG39</f>
        <v>130078</v>
      </c>
      <c r="BZ41" s="12"/>
      <c r="CA41" s="16"/>
      <c r="CF41" s="16"/>
      <c r="CG41" s="16"/>
    </row>
    <row r="42" spans="1:87" ht="13.5" thickBot="1">
      <c r="E42" s="121" t="s">
        <v>5</v>
      </c>
      <c r="F42" s="122">
        <f>N41</f>
        <v>65200</v>
      </c>
      <c r="G42" s="123">
        <f>N42</f>
        <v>1.46</v>
      </c>
      <c r="K42" s="3" t="s">
        <v>84</v>
      </c>
      <c r="N42" s="90">
        <f>ROUND(V39/AA39,2)</f>
        <v>1.46</v>
      </c>
      <c r="Q42" s="18"/>
      <c r="R42" s="24"/>
      <c r="AB42" s="16"/>
      <c r="AD42" s="3" t="s">
        <v>84</v>
      </c>
      <c r="AF42" s="18"/>
      <c r="AG42" s="35">
        <f>ROUND(AH39/AL39,2)</f>
        <v>3.6</v>
      </c>
      <c r="AH42" s="18"/>
      <c r="AP42" s="3" t="s">
        <v>84</v>
      </c>
      <c r="AR42" s="18"/>
      <c r="AS42" s="35">
        <f>ROUND(AZ39/BD39,2)</f>
        <v>4.07</v>
      </c>
      <c r="AU42" s="18"/>
      <c r="AW42" s="18"/>
      <c r="AZ42" s="2"/>
      <c r="BD42" s="16"/>
      <c r="BG42" s="3" t="s">
        <v>84</v>
      </c>
      <c r="BJ42" s="35">
        <f>ROUND(BP39/BR39,2)</f>
        <v>4.6500000000000004</v>
      </c>
      <c r="BK42" s="18"/>
      <c r="BV42" s="3" t="s">
        <v>84</v>
      </c>
      <c r="BY42" s="35">
        <f>ROUND(CA39/CE39,2)</f>
        <v>2.09</v>
      </c>
      <c r="BZ42" s="18"/>
    </row>
    <row r="43" spans="1:87" ht="13.5" thickTop="1">
      <c r="A43" s="2" t="s">
        <v>85</v>
      </c>
      <c r="C43" s="13">
        <f>+'Gas Input Table Summary'!$D$28</f>
        <v>2.29E-2</v>
      </c>
      <c r="E43" s="37" t="s">
        <v>6</v>
      </c>
      <c r="F43" s="12">
        <f>AG41</f>
        <v>149197</v>
      </c>
      <c r="G43" s="120">
        <f>AG42</f>
        <v>3.6</v>
      </c>
      <c r="J43" s="74"/>
      <c r="K43" s="75"/>
      <c r="L43" s="74"/>
      <c r="M43" s="74"/>
      <c r="N43" s="74"/>
      <c r="O43" s="74"/>
      <c r="Q43" s="74"/>
      <c r="R43" s="76"/>
      <c r="S43" s="74"/>
      <c r="T43" s="74"/>
      <c r="U43" s="74"/>
      <c r="V43" s="74"/>
      <c r="W43" s="74"/>
      <c r="X43" s="74"/>
      <c r="AB43" s="16"/>
      <c r="AD43" s="3"/>
      <c r="AM43" s="26"/>
      <c r="AN43" s="3"/>
      <c r="AP43" s="3"/>
      <c r="AZ43" s="2"/>
      <c r="BB43" s="26"/>
      <c r="BE43" s="3"/>
      <c r="BG43" s="7"/>
      <c r="BV43" s="7"/>
      <c r="CI43" s="17"/>
    </row>
    <row r="44" spans="1:87">
      <c r="E44" s="38" t="s">
        <v>7</v>
      </c>
      <c r="F44" s="12">
        <f>AS41</f>
        <v>367646</v>
      </c>
      <c r="G44" s="120">
        <f>AS42</f>
        <v>4.07</v>
      </c>
      <c r="J44" s="57" t="s">
        <v>125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AB44" s="16"/>
      <c r="AZ44" s="2"/>
      <c r="BD44" s="7"/>
      <c r="BV44" s="57" t="s">
        <v>125</v>
      </c>
      <c r="BW44" s="58"/>
      <c r="BX44" s="66"/>
      <c r="BY44" s="66"/>
      <c r="BZ44" s="67"/>
      <c r="CI44" s="17"/>
    </row>
    <row r="45" spans="1:87">
      <c r="A45" s="3" t="s">
        <v>86</v>
      </c>
      <c r="C45" s="136">
        <f>+'Gas Input Table Summary'!$D$29</f>
        <v>2025</v>
      </c>
      <c r="E45" s="37" t="s">
        <v>8</v>
      </c>
      <c r="F45" s="12">
        <f>BJ41</f>
        <v>384125</v>
      </c>
      <c r="G45" s="120">
        <f>BJ42</f>
        <v>4.6500000000000004</v>
      </c>
      <c r="J45" s="68" t="s">
        <v>48</v>
      </c>
      <c r="K45" s="69" t="s">
        <v>122</v>
      </c>
      <c r="L45" s="70"/>
      <c r="M45" s="70"/>
      <c r="N45" s="70"/>
      <c r="O45" s="70"/>
      <c r="P45" s="70"/>
      <c r="Q45" s="70"/>
      <c r="R45" s="70"/>
      <c r="S45" s="70"/>
      <c r="T45" s="71" t="s">
        <v>56</v>
      </c>
      <c r="U45" s="69" t="s">
        <v>143</v>
      </c>
      <c r="V45" s="70"/>
      <c r="W45" s="70"/>
      <c r="X45" s="72"/>
      <c r="AB45" s="16"/>
      <c r="AD45" s="57" t="s">
        <v>125</v>
      </c>
      <c r="AE45" s="58"/>
      <c r="AF45" s="66"/>
      <c r="AG45" s="66"/>
      <c r="AH45" s="67"/>
      <c r="AI45" s="67"/>
      <c r="AJ45" s="67"/>
      <c r="AK45" s="67"/>
      <c r="AN45" s="3"/>
      <c r="AP45" s="57" t="s">
        <v>125</v>
      </c>
      <c r="AQ45" s="58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7"/>
      <c r="BG45" s="57" t="s">
        <v>125</v>
      </c>
      <c r="BH45" s="58"/>
      <c r="BI45" s="66"/>
      <c r="BJ45" s="66"/>
      <c r="BK45" s="66"/>
      <c r="BL45" s="66"/>
      <c r="BM45" s="66"/>
      <c r="BN45" s="66"/>
      <c r="BO45" s="249"/>
      <c r="BP45" s="66"/>
      <c r="BQ45" s="66"/>
      <c r="BR45" s="66"/>
      <c r="BS45" s="66"/>
      <c r="BT45" s="67"/>
      <c r="BV45" s="85" t="s">
        <v>48</v>
      </c>
      <c r="BW45" s="118" t="s">
        <v>163</v>
      </c>
      <c r="BX45" s="70"/>
      <c r="BY45" s="70"/>
      <c r="BZ45" s="72"/>
      <c r="CA45" s="56" t="s">
        <v>81</v>
      </c>
      <c r="CB45" s="56"/>
      <c r="CC45" s="56"/>
      <c r="CD45" s="56"/>
      <c r="CE45" s="56"/>
      <c r="CI45" s="17"/>
    </row>
    <row r="46" spans="1:87">
      <c r="C46" s="7"/>
      <c r="E46" s="124" t="s">
        <v>218</v>
      </c>
      <c r="F46" s="125">
        <f>BY41</f>
        <v>130078</v>
      </c>
      <c r="G46" s="126">
        <f>BY42</f>
        <v>2.09</v>
      </c>
      <c r="J46" s="38" t="s">
        <v>49</v>
      </c>
      <c r="K46" s="48" t="s">
        <v>140</v>
      </c>
      <c r="N46" s="2"/>
      <c r="T46" s="5" t="s">
        <v>57</v>
      </c>
      <c r="U46" s="48" t="s">
        <v>144</v>
      </c>
      <c r="X46" s="60"/>
      <c r="AB46" s="5"/>
      <c r="AD46" s="68" t="s">
        <v>48</v>
      </c>
      <c r="AE46" s="69" t="s">
        <v>163</v>
      </c>
      <c r="AF46" s="70"/>
      <c r="AG46" s="70"/>
      <c r="AH46" s="70"/>
      <c r="AI46" s="70"/>
      <c r="AJ46" s="70"/>
      <c r="AK46" s="72"/>
      <c r="AN46" s="3"/>
      <c r="AP46" s="82" t="s">
        <v>48</v>
      </c>
      <c r="AQ46" s="69" t="s">
        <v>163</v>
      </c>
      <c r="AR46" s="70"/>
      <c r="AS46" s="70"/>
      <c r="AU46" s="70"/>
      <c r="AW46" s="5" t="s">
        <v>55</v>
      </c>
      <c r="AZ46" s="48" t="s">
        <v>153</v>
      </c>
      <c r="BD46" s="70"/>
      <c r="BE46" s="72"/>
      <c r="BG46" s="85" t="s">
        <v>48</v>
      </c>
      <c r="BH46" s="69" t="s">
        <v>157</v>
      </c>
      <c r="BI46" s="70"/>
      <c r="BJ46" s="70"/>
      <c r="BK46" s="70"/>
      <c r="BL46" s="246" t="s">
        <v>54</v>
      </c>
      <c r="BM46" s="69" t="s">
        <v>158</v>
      </c>
      <c r="BN46" s="70"/>
      <c r="BO46" s="70"/>
      <c r="BP46" s="70"/>
      <c r="BQ46" s="70"/>
      <c r="BR46" s="70"/>
      <c r="BS46" s="70"/>
      <c r="BT46" s="72"/>
      <c r="BV46" s="86" t="s">
        <v>49</v>
      </c>
      <c r="BW46" s="119" t="s">
        <v>164</v>
      </c>
      <c r="BZ46" s="60"/>
      <c r="CI46" s="17"/>
    </row>
    <row r="47" spans="1:87">
      <c r="A47" s="3" t="s">
        <v>87</v>
      </c>
      <c r="C47" s="136">
        <f>+'Total Program Inputs'!C6</f>
        <v>2025</v>
      </c>
      <c r="J47" s="38" t="s">
        <v>50</v>
      </c>
      <c r="K47" s="19" t="s">
        <v>121</v>
      </c>
      <c r="N47" s="2"/>
      <c r="T47" s="5" t="s">
        <v>58</v>
      </c>
      <c r="U47" s="48" t="s">
        <v>160</v>
      </c>
      <c r="X47" s="60"/>
      <c r="AB47" s="12"/>
      <c r="AD47" s="38" t="s">
        <v>49</v>
      </c>
      <c r="AE47" s="19" t="s">
        <v>164</v>
      </c>
      <c r="AK47" s="60"/>
      <c r="AP47" s="83" t="s">
        <v>54</v>
      </c>
      <c r="AQ47" s="48" t="s">
        <v>164</v>
      </c>
      <c r="AW47" s="5" t="s">
        <v>56</v>
      </c>
      <c r="AZ47" s="19" t="s">
        <v>154</v>
      </c>
      <c r="BE47" s="60"/>
      <c r="BG47" s="86" t="s">
        <v>49</v>
      </c>
      <c r="BH47" s="48" t="s">
        <v>126</v>
      </c>
      <c r="BL47" s="7" t="s">
        <v>55</v>
      </c>
      <c r="BM47" s="19" t="s">
        <v>167</v>
      </c>
      <c r="BO47" s="56"/>
      <c r="BP47" s="56"/>
      <c r="BQ47" s="56"/>
      <c r="BR47" s="56"/>
      <c r="BT47" s="60"/>
      <c r="BV47" s="86" t="s">
        <v>50</v>
      </c>
      <c r="BW47" s="119" t="s">
        <v>220</v>
      </c>
      <c r="BZ47" s="60"/>
      <c r="CI47" s="17"/>
    </row>
    <row r="48" spans="1:87">
      <c r="A48" s="127"/>
      <c r="C48" s="7"/>
      <c r="J48" s="38" t="s">
        <v>51</v>
      </c>
      <c r="K48" s="48" t="s">
        <v>139</v>
      </c>
      <c r="N48" s="2"/>
      <c r="T48" s="5" t="s">
        <v>59</v>
      </c>
      <c r="U48" s="19" t="s">
        <v>161</v>
      </c>
      <c r="X48" s="60"/>
      <c r="AB48" s="16"/>
      <c r="AD48" s="38" t="s">
        <v>50</v>
      </c>
      <c r="AE48" s="19" t="s">
        <v>165</v>
      </c>
      <c r="AK48" s="60"/>
      <c r="AP48" s="83" t="s">
        <v>50</v>
      </c>
      <c r="AQ48" s="48" t="s">
        <v>201</v>
      </c>
      <c r="AW48" s="5" t="s">
        <v>57</v>
      </c>
      <c r="AZ48" s="19" t="s">
        <v>155</v>
      </c>
      <c r="BE48" s="60"/>
      <c r="BG48" s="86" t="s">
        <v>50</v>
      </c>
      <c r="BH48" s="19" t="s">
        <v>130</v>
      </c>
      <c r="BL48" s="7" t="s">
        <v>56</v>
      </c>
      <c r="BM48" s="19" t="s">
        <v>159</v>
      </c>
      <c r="BT48" s="60"/>
      <c r="BV48" s="86" t="s">
        <v>51</v>
      </c>
      <c r="BW48" s="119" t="s">
        <v>128</v>
      </c>
      <c r="BZ48" s="60"/>
      <c r="CI48" s="17"/>
    </row>
    <row r="49" spans="1:108">
      <c r="A49" s="127"/>
      <c r="C49" s="7"/>
      <c r="J49" s="38" t="s">
        <v>52</v>
      </c>
      <c r="K49" s="19" t="s">
        <v>141</v>
      </c>
      <c r="N49" s="2"/>
      <c r="O49" s="24"/>
      <c r="T49" s="5" t="s">
        <v>60</v>
      </c>
      <c r="U49" s="48" t="s">
        <v>147</v>
      </c>
      <c r="X49" s="60"/>
      <c r="AB49" s="16"/>
      <c r="AD49" s="38" t="s">
        <v>51</v>
      </c>
      <c r="AE49" s="48" t="s">
        <v>127</v>
      </c>
      <c r="AK49" s="60"/>
      <c r="AO49" s="3"/>
      <c r="AP49" s="83" t="s">
        <v>51</v>
      </c>
      <c r="AQ49" s="48" t="s">
        <v>152</v>
      </c>
      <c r="AW49" s="5" t="s">
        <v>58</v>
      </c>
      <c r="AZ49" s="19" t="s">
        <v>156</v>
      </c>
      <c r="BE49" s="60"/>
      <c r="BG49" s="86" t="s">
        <v>51</v>
      </c>
      <c r="BH49" s="48" t="s">
        <v>131</v>
      </c>
      <c r="BT49" s="60"/>
      <c r="BV49" s="86" t="s">
        <v>52</v>
      </c>
      <c r="BW49" s="119" t="s">
        <v>224</v>
      </c>
      <c r="BZ49" s="60"/>
    </row>
    <row r="50" spans="1:108">
      <c r="J50" s="38" t="s">
        <v>53</v>
      </c>
      <c r="K50" s="48" t="s">
        <v>142</v>
      </c>
      <c r="N50" s="2"/>
      <c r="T50" s="5" t="s">
        <v>61</v>
      </c>
      <c r="U50" s="19" t="s">
        <v>129</v>
      </c>
      <c r="X50" s="60"/>
      <c r="AD50" s="38" t="s">
        <v>52</v>
      </c>
      <c r="AE50" s="48" t="s">
        <v>157</v>
      </c>
      <c r="AK50" s="60"/>
      <c r="AP50" s="83" t="s">
        <v>52</v>
      </c>
      <c r="AQ50" s="48" t="s">
        <v>135</v>
      </c>
      <c r="AW50" s="5"/>
      <c r="AZ50" s="2"/>
      <c r="BE50" s="60"/>
      <c r="BG50" s="86" t="s">
        <v>52</v>
      </c>
      <c r="BH50" s="48" t="s">
        <v>166</v>
      </c>
      <c r="BT50" s="60"/>
      <c r="BV50" s="86" t="s">
        <v>53</v>
      </c>
      <c r="BW50" s="119" t="s">
        <v>225</v>
      </c>
      <c r="BZ50" s="60"/>
    </row>
    <row r="51" spans="1:108" ht="14.1" customHeight="1">
      <c r="J51" s="38" t="s">
        <v>54</v>
      </c>
      <c r="K51" s="48" t="s">
        <v>123</v>
      </c>
      <c r="N51" s="2"/>
      <c r="T51" s="5" t="s">
        <v>138</v>
      </c>
      <c r="U51" s="19" t="s">
        <v>162</v>
      </c>
      <c r="X51" s="60"/>
      <c r="AD51" s="38" t="s">
        <v>53</v>
      </c>
      <c r="AE51" s="19" t="s">
        <v>149</v>
      </c>
      <c r="AK51" s="60"/>
      <c r="AP51" s="83" t="s">
        <v>53</v>
      </c>
      <c r="AQ51" s="48" t="s">
        <v>136</v>
      </c>
      <c r="AW51" s="5"/>
      <c r="AZ51" s="2"/>
      <c r="BE51" s="60"/>
      <c r="BG51" s="247" t="s">
        <v>53</v>
      </c>
      <c r="BH51" s="251" t="s">
        <v>330</v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64"/>
      <c r="BV51" s="86" t="s">
        <v>54</v>
      </c>
      <c r="BW51" s="119" t="s">
        <v>221</v>
      </c>
      <c r="BZ51" s="60"/>
    </row>
    <row r="52" spans="1:108" ht="14.1" customHeight="1">
      <c r="A52" s="3"/>
      <c r="C52" s="13"/>
      <c r="J52" s="89" t="s">
        <v>55</v>
      </c>
      <c r="K52" s="62" t="s">
        <v>124</v>
      </c>
      <c r="L52" s="10"/>
      <c r="M52" s="10"/>
      <c r="N52" s="10"/>
      <c r="O52" s="10"/>
      <c r="P52" s="10"/>
      <c r="Q52" s="10"/>
      <c r="R52" s="10"/>
      <c r="S52" s="10"/>
      <c r="T52" s="63" t="s">
        <v>146</v>
      </c>
      <c r="U52" s="62" t="s">
        <v>148</v>
      </c>
      <c r="V52" s="10"/>
      <c r="W52" s="10"/>
      <c r="X52" s="64"/>
      <c r="AD52" s="61" t="s">
        <v>54</v>
      </c>
      <c r="AE52" s="73" t="s">
        <v>150</v>
      </c>
      <c r="AF52" s="10"/>
      <c r="AG52" s="10"/>
      <c r="AH52" s="10"/>
      <c r="AI52" s="10"/>
      <c r="AJ52" s="10"/>
      <c r="AK52" s="64"/>
      <c r="AP52" s="84" t="s">
        <v>54</v>
      </c>
      <c r="AQ52" s="73" t="s">
        <v>151</v>
      </c>
      <c r="AR52" s="10"/>
      <c r="AS52" s="10"/>
      <c r="AT52" s="10"/>
      <c r="AU52" s="10"/>
      <c r="AV52" s="10"/>
      <c r="AW52" s="63"/>
      <c r="AX52" s="63"/>
      <c r="AY52" s="63"/>
      <c r="AZ52" s="63"/>
      <c r="BA52" s="10"/>
      <c r="BB52" s="10"/>
      <c r="BC52" s="10"/>
      <c r="BD52" s="10"/>
      <c r="BE52" s="64"/>
      <c r="BG52" s="7"/>
      <c r="BH52" s="48"/>
      <c r="BM52" s="5"/>
      <c r="BV52" s="247" t="s">
        <v>55</v>
      </c>
      <c r="BW52" s="248" t="s">
        <v>222</v>
      </c>
      <c r="BX52" s="10"/>
      <c r="BY52" s="10"/>
      <c r="BZ52" s="64"/>
      <c r="CL52" s="18"/>
      <c r="DB52" s="16"/>
    </row>
    <row r="53" spans="1:108" ht="14.1" customHeight="1">
      <c r="C53" s="3"/>
      <c r="AD53" s="5"/>
      <c r="AZ53" s="2"/>
      <c r="BG53" s="7"/>
      <c r="BH53" s="19"/>
      <c r="BV53" s="7"/>
      <c r="CL53" s="12"/>
      <c r="DD53" s="16"/>
    </row>
    <row r="54" spans="1:108" ht="14.1" customHeight="1">
      <c r="C54" s="17"/>
      <c r="K54" s="48"/>
      <c r="N54" s="2"/>
      <c r="R54" s="24"/>
      <c r="AZ54" s="2"/>
      <c r="BG54" s="7"/>
      <c r="BH54" s="19"/>
    </row>
    <row r="55" spans="1:108" ht="14.1" customHeight="1">
      <c r="C55" s="17"/>
      <c r="K55" s="48"/>
      <c r="N55" s="2"/>
      <c r="R55" s="24"/>
      <c r="AB55" s="16"/>
      <c r="AP55" s="5"/>
      <c r="AZ55" s="2"/>
      <c r="BG55" s="7"/>
      <c r="BV55" s="7"/>
    </row>
    <row r="56" spans="1:108">
      <c r="C56" s="17"/>
      <c r="K56" s="48"/>
      <c r="N56" s="2"/>
      <c r="R56" s="24"/>
      <c r="AP56" s="3"/>
      <c r="AZ56" s="2"/>
      <c r="BH56" s="7"/>
      <c r="BW56" s="7"/>
    </row>
    <row r="57" spans="1:108">
      <c r="C57" s="28"/>
      <c r="N57" s="2"/>
      <c r="R57" s="24"/>
      <c r="AP57" s="3"/>
      <c r="AZ57" s="2"/>
      <c r="BH57" s="7"/>
      <c r="BW57" s="7"/>
    </row>
    <row r="58" spans="1:108">
      <c r="C58" s="28"/>
      <c r="N58" s="2"/>
      <c r="Q58" s="24"/>
      <c r="AO58" s="3"/>
      <c r="AZ58" s="2"/>
      <c r="BV58" s="7"/>
    </row>
    <row r="59" spans="1:108">
      <c r="C59" s="17"/>
      <c r="N59" s="2"/>
      <c r="Q59" s="24"/>
      <c r="AZ59" s="2"/>
      <c r="BV59" s="7"/>
    </row>
    <row r="60" spans="1:108">
      <c r="N60" s="2"/>
      <c r="Q60" s="24"/>
      <c r="AZ60" s="2"/>
      <c r="BV60" s="7"/>
    </row>
    <row r="61" spans="1:108">
      <c r="N61" s="2"/>
      <c r="Q61" s="24"/>
      <c r="AZ61" s="2"/>
      <c r="BV61" s="7"/>
    </row>
    <row r="62" spans="1:108" ht="12" customHeight="1">
      <c r="N62" s="2"/>
      <c r="Q62" s="24"/>
      <c r="AZ62" s="2"/>
      <c r="BV62" s="7"/>
    </row>
    <row r="63" spans="1:108">
      <c r="N63" s="2"/>
      <c r="Q63" s="24"/>
      <c r="AZ63" s="2"/>
      <c r="BV63" s="7"/>
    </row>
    <row r="64" spans="1:108">
      <c r="N64" s="2"/>
      <c r="Q64" s="24"/>
      <c r="AZ64" s="2"/>
      <c r="BV64" s="7"/>
    </row>
    <row r="65" spans="1:74">
      <c r="C65" s="12"/>
      <c r="N65" s="2"/>
      <c r="Q65" s="24"/>
      <c r="AZ65" s="2"/>
      <c r="BG65" s="7"/>
      <c r="BV65" s="7"/>
    </row>
    <row r="66" spans="1:74">
      <c r="A66" s="9"/>
      <c r="B66" s="3"/>
      <c r="N66" s="2"/>
      <c r="Q66" s="24"/>
      <c r="AZ66" s="2"/>
      <c r="BG66" s="7"/>
      <c r="BV66" s="7"/>
    </row>
    <row r="67" spans="1:74">
      <c r="A67" s="9"/>
      <c r="B67" s="3"/>
      <c r="N67" s="2"/>
      <c r="Q67" s="24"/>
      <c r="AZ67" s="2"/>
      <c r="BG67" s="7"/>
      <c r="BV67" s="7"/>
    </row>
    <row r="68" spans="1:74">
      <c r="N68" s="2"/>
      <c r="Q68" s="24"/>
      <c r="AZ68" s="2"/>
      <c r="BG68" s="7"/>
      <c r="BV68" s="7"/>
    </row>
    <row r="69" spans="1:74">
      <c r="N69" s="2"/>
      <c r="Q69" s="24"/>
      <c r="AZ69" s="2"/>
      <c r="BG69" s="7"/>
      <c r="BV69" s="7"/>
    </row>
    <row r="70" spans="1:74">
      <c r="N70" s="2"/>
      <c r="Q70" s="24"/>
      <c r="AZ70" s="2"/>
      <c r="BG70" s="7"/>
      <c r="BV70" s="7"/>
    </row>
    <row r="71" spans="1:74">
      <c r="N71" s="2"/>
      <c r="Q71" s="24"/>
      <c r="AZ71" s="2"/>
      <c r="BG71" s="7"/>
      <c r="BV71" s="7"/>
    </row>
    <row r="72" spans="1:74">
      <c r="N72" s="2"/>
      <c r="Q72" s="24"/>
      <c r="AZ72" s="2"/>
      <c r="BG72" s="7"/>
      <c r="BV72" s="7"/>
    </row>
    <row r="73" spans="1:74">
      <c r="N73" s="2"/>
      <c r="Q73" s="24"/>
      <c r="AZ73" s="2"/>
      <c r="BG73" s="7"/>
      <c r="BV73" s="7"/>
    </row>
    <row r="74" spans="1:74">
      <c r="N74" s="2"/>
      <c r="Q74" s="24"/>
      <c r="AZ74" s="2"/>
      <c r="BG74" s="7"/>
      <c r="BV74" s="7"/>
    </row>
    <row r="75" spans="1:74">
      <c r="N75" s="2"/>
      <c r="Q75" s="24"/>
      <c r="AZ75" s="2"/>
      <c r="BG75" s="7"/>
      <c r="BV75" s="7"/>
    </row>
    <row r="76" spans="1:74">
      <c r="N76" s="2"/>
      <c r="Q76" s="24"/>
      <c r="AZ76" s="2"/>
      <c r="BG76" s="7"/>
      <c r="BV76" s="7"/>
    </row>
    <row r="77" spans="1:74">
      <c r="N77" s="2"/>
      <c r="Q77" s="24"/>
      <c r="AZ77" s="2"/>
      <c r="BG77" s="7"/>
      <c r="BV77" s="7"/>
    </row>
    <row r="78" spans="1:74">
      <c r="N78" s="2"/>
      <c r="Q78" s="24"/>
      <c r="AZ78" s="2"/>
      <c r="BG78" s="7"/>
      <c r="BV78" s="7"/>
    </row>
    <row r="79" spans="1:74">
      <c r="N79" s="2"/>
      <c r="Q79" s="24"/>
      <c r="AZ79" s="2"/>
      <c r="BG79" s="7"/>
      <c r="BV79" s="7"/>
    </row>
    <row r="80" spans="1:74">
      <c r="N80" s="2"/>
      <c r="Q80" s="24"/>
      <c r="AZ80" s="2"/>
      <c r="BG80" s="7"/>
      <c r="BV80" s="7"/>
    </row>
    <row r="81" spans="6:74">
      <c r="F81" s="26"/>
      <c r="G81" s="26"/>
      <c r="N81" s="2"/>
      <c r="Q81" s="24"/>
      <c r="AZ81" s="2"/>
      <c r="BG81" s="7"/>
      <c r="BV81" s="7"/>
    </row>
    <row r="82" spans="6:74">
      <c r="N82" s="2"/>
      <c r="Q82" s="24"/>
      <c r="AZ82" s="2"/>
      <c r="BG82" s="7"/>
      <c r="BV82" s="7"/>
    </row>
    <row r="83" spans="6:74">
      <c r="N83" s="2"/>
      <c r="Q83" s="24"/>
      <c r="AZ83" s="2"/>
      <c r="BG83" s="7"/>
      <c r="BV83" s="7"/>
    </row>
    <row r="84" spans="6:74">
      <c r="N84" s="2"/>
      <c r="Q84" s="24"/>
      <c r="AZ84" s="2"/>
      <c r="BG84" s="7"/>
      <c r="BV84" s="7"/>
    </row>
    <row r="85" spans="6:74">
      <c r="N85" s="2"/>
      <c r="Q85" s="24"/>
      <c r="AZ85" s="2"/>
      <c r="BG85" s="7"/>
      <c r="BV85" s="7"/>
    </row>
    <row r="86" spans="6:74">
      <c r="N86" s="2"/>
      <c r="Q86" s="24"/>
      <c r="AZ86" s="2"/>
      <c r="BG86" s="7"/>
      <c r="BV86" s="7"/>
    </row>
    <row r="87" spans="6:74">
      <c r="N87" s="2"/>
      <c r="Q87" s="24"/>
      <c r="AZ87" s="2"/>
      <c r="BG87" s="7"/>
      <c r="BV87" s="7"/>
    </row>
    <row r="88" spans="6:74">
      <c r="N88" s="2"/>
      <c r="Q88" s="24"/>
      <c r="AZ88" s="2"/>
      <c r="BG88" s="7"/>
      <c r="BV88" s="7"/>
    </row>
    <row r="89" spans="6:74">
      <c r="N89" s="2"/>
      <c r="Q89" s="24"/>
      <c r="AZ89" s="2"/>
      <c r="BG89" s="7"/>
      <c r="BV89" s="7"/>
    </row>
    <row r="90" spans="6:74">
      <c r="N90" s="2"/>
      <c r="Q90" s="24"/>
      <c r="AZ90" s="2"/>
      <c r="BG90" s="7"/>
      <c r="BV90" s="7"/>
    </row>
    <row r="91" spans="6:74">
      <c r="N91" s="2"/>
      <c r="Q91" s="24"/>
      <c r="AZ91" s="2"/>
      <c r="BG91" s="7"/>
      <c r="BV91" s="7"/>
    </row>
    <row r="92" spans="6:74">
      <c r="N92" s="2"/>
      <c r="Q92" s="24"/>
      <c r="AZ92" s="2"/>
      <c r="BG92" s="7"/>
      <c r="BV92" s="7"/>
    </row>
    <row r="93" spans="6:74">
      <c r="N93" s="2"/>
      <c r="Q93" s="24"/>
      <c r="AZ93" s="2"/>
      <c r="BG93" s="7"/>
      <c r="BV93" s="7"/>
    </row>
    <row r="94" spans="6:74">
      <c r="N94" s="2"/>
      <c r="Q94" s="24"/>
      <c r="AZ94" s="2"/>
      <c r="BG94" s="7"/>
      <c r="BV94" s="7"/>
    </row>
    <row r="95" spans="6:74">
      <c r="N95" s="2"/>
      <c r="Q95" s="24"/>
      <c r="AZ95" s="2"/>
      <c r="BG95" s="7"/>
      <c r="BV95" s="7"/>
    </row>
    <row r="96" spans="6:74">
      <c r="N96" s="2"/>
      <c r="Q96" s="24"/>
      <c r="AZ96" s="2"/>
      <c r="BG96" s="7"/>
      <c r="BV96" s="7"/>
    </row>
    <row r="97" spans="1:74">
      <c r="N97" s="2"/>
      <c r="Q97" s="24"/>
      <c r="AZ97" s="2"/>
      <c r="BG97" s="7"/>
      <c r="BV97" s="7"/>
    </row>
    <row r="98" spans="1:74">
      <c r="N98" s="2"/>
      <c r="Q98" s="24"/>
      <c r="AZ98" s="2"/>
      <c r="BG98" s="7"/>
      <c r="BV98" s="7"/>
    </row>
    <row r="99" spans="1:74">
      <c r="N99" s="2"/>
      <c r="Q99" s="24"/>
      <c r="AZ99" s="2"/>
      <c r="BG99" s="7"/>
      <c r="BV99" s="7"/>
    </row>
    <row r="100" spans="1:74">
      <c r="N100" s="2"/>
      <c r="Q100" s="24"/>
      <c r="AZ100" s="2"/>
      <c r="BG100" s="7"/>
      <c r="BV100" s="7"/>
    </row>
    <row r="101" spans="1:74">
      <c r="N101" s="2"/>
      <c r="Q101" s="24"/>
      <c r="AZ101" s="2"/>
      <c r="BG101" s="7"/>
      <c r="BV101" s="7"/>
    </row>
    <row r="102" spans="1:74">
      <c r="N102" s="2"/>
      <c r="Q102" s="24"/>
      <c r="AZ102" s="2"/>
      <c r="BG102" s="7"/>
      <c r="BV102" s="7"/>
    </row>
    <row r="103" spans="1:74">
      <c r="N103" s="2"/>
      <c r="Q103" s="24"/>
      <c r="AZ103" s="2"/>
      <c r="BG103" s="7"/>
      <c r="BV103" s="7"/>
    </row>
    <row r="104" spans="1:74">
      <c r="N104" s="2"/>
      <c r="Q104" s="24"/>
      <c r="AZ104" s="2"/>
      <c r="BG104" s="7"/>
      <c r="BV104" s="7"/>
    </row>
    <row r="105" spans="1:74">
      <c r="E105" s="29"/>
      <c r="N105" s="2"/>
      <c r="Q105" s="24"/>
      <c r="AZ105" s="2"/>
      <c r="BG105" s="7"/>
      <c r="BV105" s="7"/>
    </row>
    <row r="106" spans="1:74">
      <c r="N106" s="2"/>
      <c r="Q106" s="24"/>
      <c r="AZ106" s="2"/>
      <c r="BG106" s="7"/>
      <c r="BV106" s="7"/>
    </row>
    <row r="107" spans="1:74">
      <c r="N107" s="2"/>
      <c r="Q107" s="24"/>
      <c r="AZ107" s="2"/>
      <c r="BG107" s="7"/>
      <c r="BV107" s="7"/>
    </row>
    <row r="108" spans="1:74">
      <c r="N108" s="2"/>
      <c r="Q108" s="24"/>
      <c r="AZ108" s="2"/>
      <c r="BG108" s="7"/>
      <c r="BV108" s="7"/>
    </row>
    <row r="109" spans="1:74">
      <c r="N109" s="2"/>
      <c r="Q109" s="24"/>
      <c r="AZ109" s="2"/>
      <c r="BG109" s="7"/>
      <c r="BV109" s="7"/>
    </row>
    <row r="110" spans="1:74">
      <c r="N110" s="2"/>
      <c r="Q110" s="24"/>
      <c r="AZ110" s="2"/>
      <c r="BG110" s="7"/>
      <c r="BV110" s="7"/>
    </row>
    <row r="111" spans="1:74">
      <c r="A111" s="9"/>
      <c r="B111" s="3"/>
      <c r="N111" s="2"/>
      <c r="Q111" s="24"/>
      <c r="AZ111" s="2"/>
      <c r="BG111" s="7"/>
      <c r="BV111" s="7"/>
    </row>
    <row r="112" spans="1:74">
      <c r="N112" s="2"/>
      <c r="Q112" s="24"/>
      <c r="AZ112" s="2"/>
      <c r="BG112" s="7"/>
      <c r="BV112" s="7"/>
    </row>
    <row r="113" spans="1:74">
      <c r="N113" s="2"/>
      <c r="Q113" s="24"/>
      <c r="AZ113" s="2"/>
      <c r="BG113" s="7"/>
      <c r="BV113" s="7"/>
    </row>
    <row r="114" spans="1:74">
      <c r="N114" s="2"/>
      <c r="Q114" s="24"/>
      <c r="AZ114" s="2"/>
      <c r="BG114" s="7"/>
      <c r="BV114" s="7"/>
    </row>
    <row r="115" spans="1:74">
      <c r="N115" s="2"/>
      <c r="Q115" s="24"/>
      <c r="AZ115" s="2"/>
      <c r="BG115" s="7"/>
      <c r="BV115" s="7"/>
    </row>
    <row r="116" spans="1:74">
      <c r="N116" s="2"/>
      <c r="Q116" s="24"/>
      <c r="AZ116" s="2"/>
      <c r="BG116" s="7"/>
      <c r="BV116" s="7"/>
    </row>
    <row r="117" spans="1:74">
      <c r="N117" s="2"/>
      <c r="Q117" s="24"/>
      <c r="AZ117" s="2"/>
      <c r="BG117" s="7"/>
      <c r="BV117" s="7"/>
    </row>
    <row r="118" spans="1:74">
      <c r="N118" s="2"/>
      <c r="Q118" s="24"/>
      <c r="AZ118" s="2"/>
      <c r="BG118" s="7"/>
      <c r="BV118" s="7"/>
    </row>
    <row r="119" spans="1:74">
      <c r="N119" s="2"/>
      <c r="Q119" s="24"/>
      <c r="AZ119" s="2"/>
      <c r="BG119" s="7"/>
      <c r="BV119" s="7"/>
    </row>
    <row r="120" spans="1:74">
      <c r="N120" s="2"/>
      <c r="Q120" s="24"/>
      <c r="AZ120" s="2"/>
      <c r="BG120" s="7"/>
      <c r="BV120" s="7"/>
    </row>
    <row r="121" spans="1:74">
      <c r="N121" s="2"/>
      <c r="Q121" s="24"/>
      <c r="AZ121" s="2"/>
      <c r="BG121" s="7"/>
      <c r="BV121" s="7"/>
    </row>
    <row r="122" spans="1:74">
      <c r="N122" s="2"/>
      <c r="Q122" s="24"/>
      <c r="AZ122" s="2"/>
      <c r="BG122" s="7"/>
      <c r="BV122" s="7"/>
    </row>
    <row r="123" spans="1:74">
      <c r="N123" s="2"/>
      <c r="Q123" s="24"/>
      <c r="AZ123" s="2"/>
      <c r="BG123" s="7"/>
      <c r="BV123" s="7"/>
    </row>
    <row r="124" spans="1:74">
      <c r="N124" s="2"/>
      <c r="Q124" s="24"/>
      <c r="AZ124" s="2"/>
      <c r="BG124" s="7"/>
      <c r="BV124" s="7"/>
    </row>
    <row r="125" spans="1:74">
      <c r="N125" s="2"/>
      <c r="Q125" s="24"/>
      <c r="AZ125" s="2"/>
      <c r="BG125" s="7"/>
      <c r="BV125" s="7"/>
    </row>
    <row r="126" spans="1:74">
      <c r="N126" s="2"/>
      <c r="Q126" s="24"/>
      <c r="AZ126" s="2"/>
      <c r="BG126" s="7"/>
      <c r="BV126" s="7"/>
    </row>
    <row r="127" spans="1:74">
      <c r="N127" s="2"/>
      <c r="Q127" s="24"/>
      <c r="AZ127" s="2"/>
      <c r="BG127" s="7"/>
      <c r="BV127" s="7"/>
    </row>
    <row r="128" spans="1:74">
      <c r="A128" s="3"/>
      <c r="N128" s="2"/>
      <c r="Q128" s="24"/>
      <c r="AZ128" s="2"/>
      <c r="BG128" s="7"/>
      <c r="BV128" s="7"/>
    </row>
    <row r="129" spans="1:74">
      <c r="A129" s="3"/>
      <c r="N129" s="2"/>
      <c r="Q129" s="24"/>
      <c r="AZ129" s="2"/>
      <c r="BG129" s="7"/>
      <c r="BV129" s="7"/>
    </row>
    <row r="130" spans="1:74">
      <c r="A130" s="3"/>
      <c r="B130" s="3"/>
      <c r="N130" s="2"/>
      <c r="Q130" s="24"/>
      <c r="AZ130" s="2"/>
      <c r="BG130" s="7"/>
      <c r="BV130" s="7"/>
    </row>
    <row r="131" spans="1:74">
      <c r="N131" s="2"/>
      <c r="Q131" s="24"/>
      <c r="AZ131" s="2"/>
      <c r="BG131" s="7"/>
      <c r="BV131" s="7"/>
    </row>
    <row r="132" spans="1:74">
      <c r="A132" s="3"/>
      <c r="B132" s="3"/>
      <c r="N132" s="2"/>
      <c r="Q132" s="24"/>
      <c r="AZ132" s="2"/>
      <c r="BG132" s="7"/>
      <c r="BV132" s="7"/>
    </row>
    <row r="133" spans="1:74">
      <c r="N133" s="2"/>
      <c r="Q133" s="24"/>
      <c r="AZ133" s="2"/>
      <c r="BG133" s="7"/>
      <c r="BV133" s="7"/>
    </row>
    <row r="134" spans="1:74">
      <c r="A134" s="3"/>
      <c r="B134" s="3"/>
      <c r="N134" s="2"/>
      <c r="Q134" s="24"/>
      <c r="AZ134" s="2"/>
      <c r="BG134" s="7"/>
      <c r="BV134" s="7"/>
    </row>
    <row r="135" spans="1:74">
      <c r="N135" s="2"/>
      <c r="Q135" s="24"/>
      <c r="AZ135" s="2"/>
      <c r="BG135" s="7"/>
      <c r="BV135" s="7"/>
    </row>
    <row r="136" spans="1:74">
      <c r="A136" s="3"/>
      <c r="B136" s="3"/>
      <c r="N136" s="2"/>
      <c r="Q136" s="24"/>
      <c r="AZ136" s="2"/>
      <c r="BG136" s="7"/>
      <c r="BV136" s="7"/>
    </row>
    <row r="137" spans="1:74">
      <c r="N137" s="2"/>
      <c r="Q137" s="24"/>
      <c r="AZ137" s="2"/>
      <c r="BG137" s="7"/>
      <c r="BV137" s="7"/>
    </row>
    <row r="138" spans="1:74">
      <c r="A138" s="3"/>
      <c r="B138" s="3"/>
      <c r="N138" s="2"/>
      <c r="Q138" s="24"/>
      <c r="AZ138" s="2"/>
      <c r="BG138" s="7"/>
      <c r="BV138" s="7"/>
    </row>
    <row r="139" spans="1:74">
      <c r="N139" s="2"/>
      <c r="Q139" s="24"/>
      <c r="AZ139" s="2"/>
      <c r="BG139" s="7"/>
      <c r="BV139" s="7"/>
    </row>
    <row r="140" spans="1:74">
      <c r="A140" s="3"/>
      <c r="B140" s="3"/>
      <c r="N140" s="2"/>
      <c r="Q140" s="24"/>
      <c r="AZ140" s="2"/>
      <c r="BG140" s="7"/>
      <c r="BV140" s="7"/>
    </row>
    <row r="141" spans="1:74">
      <c r="N141" s="2"/>
      <c r="Q141" s="24"/>
      <c r="AZ141" s="2"/>
      <c r="BG141" s="7"/>
      <c r="BV141" s="7"/>
    </row>
    <row r="142" spans="1:74">
      <c r="A142" s="3"/>
      <c r="B142" s="3"/>
      <c r="N142" s="2"/>
      <c r="Q142" s="24"/>
      <c r="AZ142" s="2"/>
      <c r="BG142" s="7"/>
      <c r="BV142" s="7"/>
    </row>
    <row r="143" spans="1:74">
      <c r="N143" s="2"/>
      <c r="Q143" s="24"/>
      <c r="AZ143" s="2"/>
      <c r="BG143" s="7"/>
      <c r="BV143" s="7"/>
    </row>
    <row r="144" spans="1:74">
      <c r="A144" s="3"/>
      <c r="B144" s="3"/>
      <c r="N144" s="2"/>
      <c r="Q144" s="24"/>
      <c r="AZ144" s="2"/>
      <c r="BG144" s="7"/>
      <c r="BV144" s="7"/>
    </row>
    <row r="145" spans="1:74">
      <c r="N145" s="2"/>
      <c r="Q145" s="24"/>
      <c r="AZ145" s="2"/>
      <c r="BG145" s="7"/>
      <c r="BV145" s="7"/>
    </row>
    <row r="146" spans="1:74">
      <c r="N146" s="2"/>
      <c r="Q146" s="24"/>
      <c r="AZ146" s="2"/>
      <c r="BG146" s="7"/>
      <c r="BV146" s="7"/>
    </row>
    <row r="147" spans="1:74">
      <c r="N147" s="2"/>
      <c r="Q147" s="24"/>
      <c r="AZ147" s="2"/>
      <c r="BG147" s="7"/>
      <c r="BV147" s="7"/>
    </row>
    <row r="148" spans="1:74">
      <c r="A148" s="3"/>
      <c r="N148" s="2"/>
      <c r="Q148" s="24"/>
      <c r="AZ148" s="2"/>
      <c r="BG148" s="7"/>
      <c r="BV148" s="7"/>
    </row>
    <row r="149" spans="1:74">
      <c r="A149" s="3"/>
      <c r="N149" s="2"/>
      <c r="Q149" s="24"/>
      <c r="AZ149" s="2"/>
      <c r="BG149" s="7"/>
      <c r="BV149" s="7"/>
    </row>
    <row r="150" spans="1:74">
      <c r="A150" s="3"/>
      <c r="B150" s="3"/>
      <c r="N150" s="2"/>
      <c r="Q150" s="24"/>
      <c r="AZ150" s="2"/>
      <c r="BG150" s="7"/>
      <c r="BV150" s="7"/>
    </row>
    <row r="151" spans="1:74">
      <c r="B151" s="3"/>
      <c r="N151" s="2"/>
      <c r="Q151" s="24"/>
      <c r="AZ151" s="2"/>
      <c r="BG151" s="7"/>
      <c r="BV151" s="7"/>
    </row>
    <row r="152" spans="1:74">
      <c r="B152" s="3"/>
      <c r="N152" s="2"/>
      <c r="Q152" s="24"/>
      <c r="AZ152" s="2"/>
      <c r="BG152" s="7"/>
      <c r="BV152" s="7"/>
    </row>
    <row r="153" spans="1:74">
      <c r="B153" s="3"/>
      <c r="N153" s="2"/>
      <c r="Q153" s="24"/>
      <c r="AZ153" s="2"/>
      <c r="BG153" s="7"/>
      <c r="BV153" s="7"/>
    </row>
    <row r="154" spans="1:74">
      <c r="B154" s="3"/>
      <c r="N154" s="2"/>
      <c r="Q154" s="24"/>
      <c r="AZ154" s="2"/>
      <c r="BG154" s="7"/>
      <c r="BV154" s="7"/>
    </row>
    <row r="155" spans="1:74">
      <c r="B155" s="3"/>
      <c r="N155" s="2"/>
      <c r="Q155" s="24"/>
      <c r="AZ155" s="2"/>
      <c r="BG155" s="7"/>
      <c r="BV155" s="7"/>
    </row>
    <row r="156" spans="1:74">
      <c r="B156" s="3"/>
      <c r="N156" s="2"/>
      <c r="Q156" s="24"/>
      <c r="AZ156" s="2"/>
      <c r="BG156" s="7"/>
      <c r="BV156" s="7"/>
    </row>
    <row r="157" spans="1:74">
      <c r="B157" s="3"/>
      <c r="N157" s="2"/>
      <c r="Q157" s="24"/>
      <c r="AZ157" s="2"/>
      <c r="BG157" s="7"/>
      <c r="BV157" s="7"/>
    </row>
    <row r="158" spans="1:74">
      <c r="N158" s="2"/>
      <c r="Q158" s="24"/>
      <c r="AZ158" s="2"/>
      <c r="BG158" s="7"/>
      <c r="BV158" s="7"/>
    </row>
    <row r="159" spans="1:74">
      <c r="N159" s="2"/>
      <c r="Q159" s="24"/>
      <c r="AZ159" s="2"/>
      <c r="BG159" s="7"/>
      <c r="BV159" s="7"/>
    </row>
    <row r="160" spans="1:74">
      <c r="N160" s="2"/>
      <c r="Q160" s="24"/>
      <c r="AZ160" s="2"/>
      <c r="BG160" s="7"/>
      <c r="BV160" s="7"/>
    </row>
    <row r="161" spans="1:74">
      <c r="A161" s="3"/>
      <c r="B161" s="3"/>
      <c r="N161" s="2"/>
      <c r="Q161" s="24"/>
      <c r="AZ161" s="2"/>
      <c r="BG161" s="7"/>
      <c r="BV161" s="7"/>
    </row>
    <row r="162" spans="1:74">
      <c r="B162" s="3"/>
      <c r="N162" s="2"/>
      <c r="Q162" s="24"/>
      <c r="AZ162" s="2"/>
      <c r="BG162" s="7"/>
      <c r="BV162" s="7"/>
    </row>
    <row r="163" spans="1:74">
      <c r="N163" s="2"/>
      <c r="Q163" s="24"/>
      <c r="AZ163" s="2"/>
      <c r="BG163" s="7"/>
      <c r="BV163" s="7"/>
    </row>
    <row r="164" spans="1:74">
      <c r="N164" s="2"/>
      <c r="Q164" s="24"/>
      <c r="AZ164" s="2"/>
      <c r="BG164" s="7"/>
      <c r="BV164" s="7"/>
    </row>
    <row r="165" spans="1:74">
      <c r="N165" s="2"/>
      <c r="Q165" s="24"/>
      <c r="AZ165" s="2"/>
      <c r="BG165" s="7"/>
      <c r="BV165" s="7"/>
    </row>
    <row r="166" spans="1:74">
      <c r="N166" s="2"/>
      <c r="Q166" s="24"/>
      <c r="AZ166" s="2"/>
      <c r="BG166" s="7"/>
      <c r="BV166" s="7"/>
    </row>
    <row r="167" spans="1:74">
      <c r="N167" s="2"/>
      <c r="Q167" s="24"/>
      <c r="AZ167" s="2"/>
      <c r="BG167" s="7"/>
      <c r="BV167" s="7"/>
    </row>
    <row r="168" spans="1:74">
      <c r="A168" s="3"/>
      <c r="N168" s="2"/>
      <c r="Q168" s="24"/>
      <c r="AZ168" s="2"/>
      <c r="BG168" s="7"/>
      <c r="BV168" s="7"/>
    </row>
    <row r="169" spans="1:74">
      <c r="A169" s="3"/>
      <c r="N169" s="2"/>
      <c r="Q169" s="24"/>
      <c r="AZ169" s="2"/>
      <c r="BG169" s="7"/>
      <c r="BV169" s="7"/>
    </row>
    <row r="170" spans="1:74">
      <c r="A170" s="3"/>
      <c r="B170" s="3"/>
      <c r="N170" s="2"/>
      <c r="Q170" s="24"/>
      <c r="AZ170" s="2"/>
      <c r="BG170" s="7"/>
      <c r="BV170" s="7"/>
    </row>
    <row r="171" spans="1:74">
      <c r="B171" s="3"/>
      <c r="N171" s="2"/>
      <c r="Q171" s="24"/>
      <c r="AZ171" s="2"/>
      <c r="BG171" s="7"/>
      <c r="BV171" s="7"/>
    </row>
    <row r="172" spans="1:74">
      <c r="A172" s="3"/>
      <c r="B172" s="3"/>
      <c r="N172" s="2"/>
      <c r="Q172" s="24"/>
      <c r="AZ172" s="2"/>
      <c r="BG172" s="7"/>
      <c r="BV172" s="7"/>
    </row>
    <row r="173" spans="1:74">
      <c r="N173" s="2"/>
      <c r="Q173" s="24"/>
      <c r="AZ173" s="2"/>
      <c r="BG173" s="7"/>
      <c r="BV173" s="7"/>
    </row>
    <row r="174" spans="1:74">
      <c r="N174" s="2"/>
      <c r="Q174" s="24"/>
      <c r="AZ174" s="2"/>
      <c r="BG174" s="7"/>
      <c r="BV174" s="7"/>
    </row>
    <row r="175" spans="1:74">
      <c r="AZ175" s="2"/>
      <c r="BC175" s="7"/>
    </row>
    <row r="176" spans="1:74">
      <c r="AZ176" s="2"/>
      <c r="BC176" s="7"/>
    </row>
    <row r="177" spans="52:55">
      <c r="AZ177" s="2"/>
      <c r="BC177" s="7"/>
    </row>
    <row r="178" spans="52:55">
      <c r="AZ178" s="2"/>
      <c r="BC178" s="7"/>
    </row>
    <row r="179" spans="52:55">
      <c r="AZ179" s="2"/>
      <c r="BC179" s="7"/>
    </row>
    <row r="180" spans="52:55">
      <c r="AZ180" s="2"/>
      <c r="BC180" s="7"/>
    </row>
    <row r="181" spans="52:55">
      <c r="AZ181" s="2"/>
      <c r="BC181" s="7"/>
    </row>
    <row r="182" spans="52:55">
      <c r="AZ182" s="2"/>
      <c r="BC182" s="7"/>
    </row>
    <row r="183" spans="52:55">
      <c r="AZ183" s="2"/>
      <c r="BC183" s="7"/>
    </row>
    <row r="184" spans="52:55">
      <c r="AZ184" s="2"/>
      <c r="BC184" s="7"/>
    </row>
    <row r="185" spans="52:55">
      <c r="AZ185" s="2"/>
      <c r="BC185" s="7"/>
    </row>
    <row r="186" spans="52:55">
      <c r="AZ186" s="2"/>
      <c r="BC186" s="7"/>
    </row>
    <row r="187" spans="52:55">
      <c r="AZ187" s="2"/>
      <c r="BC187" s="7"/>
    </row>
    <row r="188" spans="52:55">
      <c r="AZ188" s="2"/>
      <c r="BC188" s="7"/>
    </row>
    <row r="189" spans="52:55">
      <c r="AZ189" s="2"/>
      <c r="BC189" s="7"/>
    </row>
    <row r="190" spans="52:55">
      <c r="AZ190" s="2"/>
      <c r="BC190" s="7"/>
    </row>
    <row r="191" spans="52:55">
      <c r="AZ191" s="2"/>
      <c r="BC191" s="7"/>
    </row>
    <row r="192" spans="52:55">
      <c r="AZ192" s="2"/>
      <c r="BC192" s="7"/>
    </row>
    <row r="193" spans="52:55">
      <c r="AZ193" s="2"/>
      <c r="BC193" s="7"/>
    </row>
    <row r="194" spans="52:55">
      <c r="AZ194" s="2"/>
      <c r="BC194" s="7"/>
    </row>
    <row r="195" spans="52:55">
      <c r="AZ195" s="2"/>
      <c r="BC195" s="7"/>
    </row>
    <row r="196" spans="52:55">
      <c r="AZ196" s="2"/>
      <c r="BC196" s="7"/>
    </row>
    <row r="197" spans="52:55">
      <c r="AZ197" s="2"/>
      <c r="BC197" s="7"/>
    </row>
    <row r="198" spans="52:55">
      <c r="AZ198" s="2"/>
      <c r="BC198" s="7"/>
    </row>
    <row r="199" spans="52:55">
      <c r="AZ199" s="2"/>
      <c r="BC199" s="7"/>
    </row>
    <row r="200" spans="52:55">
      <c r="AZ200" s="2"/>
      <c r="BC200" s="7"/>
    </row>
    <row r="201" spans="52:55">
      <c r="AZ201" s="2"/>
      <c r="BC201" s="7"/>
    </row>
    <row r="202" spans="52:55">
      <c r="AZ202" s="2"/>
      <c r="BC202" s="7"/>
    </row>
    <row r="203" spans="52:55">
      <c r="AZ203" s="2"/>
      <c r="BC203" s="7"/>
    </row>
    <row r="204" spans="52:55">
      <c r="AZ204" s="2"/>
      <c r="BC204" s="7"/>
    </row>
    <row r="205" spans="52:55">
      <c r="AZ205" s="2"/>
      <c r="BC205" s="7"/>
    </row>
    <row r="206" spans="52:55">
      <c r="AZ206" s="2"/>
      <c r="BC206" s="7"/>
    </row>
    <row r="207" spans="52:55">
      <c r="AZ207" s="2"/>
      <c r="BC207" s="7"/>
    </row>
    <row r="208" spans="52:55">
      <c r="AZ208" s="2"/>
      <c r="BC208" s="7"/>
    </row>
    <row r="209" spans="52:55">
      <c r="AZ209" s="2"/>
      <c r="BC209" s="7"/>
    </row>
    <row r="210" spans="52:55">
      <c r="AZ210" s="2"/>
      <c r="BC210" s="7"/>
    </row>
    <row r="211" spans="52:55">
      <c r="AZ211" s="2"/>
      <c r="BC211" s="7"/>
    </row>
    <row r="212" spans="52:55">
      <c r="AZ212" s="2"/>
      <c r="BC212" s="7"/>
    </row>
    <row r="213" spans="52:55">
      <c r="AZ213" s="2"/>
      <c r="BC213" s="7"/>
    </row>
    <row r="214" spans="52:55">
      <c r="AZ214" s="2"/>
      <c r="BC214" s="7"/>
    </row>
    <row r="215" spans="52:55">
      <c r="AZ215" s="2"/>
      <c r="BC215" s="7"/>
    </row>
    <row r="216" spans="52:55">
      <c r="AZ216" s="2"/>
      <c r="BC216" s="7"/>
    </row>
  </sheetData>
  <printOptions horizontalCentered="1" gridLinesSet="0"/>
  <pageMargins left="0.25" right="0.25" top="0.7" bottom="0.37" header="0.5" footer="0.5"/>
  <pageSetup scale="80" orientation="landscape" horizontalDpi="1200" verticalDpi="1200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1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9.1406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24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42578125" style="2" customWidth="1"/>
    <col min="28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10.28515625" style="2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42578125" style="2" customWidth="1"/>
    <col min="49" max="49" width="12.5703125" style="2" bestFit="1" customWidth="1"/>
    <col min="50" max="50" width="11.140625" style="2" hidden="1" customWidth="1"/>
    <col min="51" max="51" width="4.7109375" style="2" hidden="1" customWidth="1"/>
    <col min="52" max="52" width="10.140625" style="7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8.140625" style="2" bestFit="1" customWidth="1"/>
    <col min="57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6.14062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28515625" style="2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8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36" t="s">
        <v>109</v>
      </c>
      <c r="B1" s="36"/>
      <c r="C1" s="36"/>
      <c r="D1" s="36"/>
      <c r="E1" s="36"/>
      <c r="F1" s="36"/>
      <c r="G1" s="36"/>
      <c r="H1" s="56"/>
      <c r="K1" s="1" t="s">
        <v>1</v>
      </c>
      <c r="N1" s="2"/>
      <c r="R1" s="24"/>
      <c r="T1" s="3"/>
      <c r="U1" s="3"/>
      <c r="AD1" s="1" t="s">
        <v>2</v>
      </c>
      <c r="AG1" s="3"/>
      <c r="AP1" s="1" t="s">
        <v>3</v>
      </c>
      <c r="AZ1" s="2"/>
      <c r="BC1" s="4"/>
      <c r="BG1" s="1" t="s">
        <v>4</v>
      </c>
      <c r="BJ1" s="3"/>
      <c r="BV1" s="1" t="s">
        <v>217</v>
      </c>
      <c r="BY1" s="3"/>
    </row>
    <row r="2" spans="1:106">
      <c r="A2" s="36" t="s">
        <v>108</v>
      </c>
      <c r="B2" s="36"/>
      <c r="C2" s="36"/>
      <c r="D2" s="36"/>
      <c r="E2" s="36"/>
      <c r="F2" s="36"/>
      <c r="G2" s="36"/>
      <c r="H2" s="56"/>
      <c r="K2" s="1" t="s">
        <v>5</v>
      </c>
      <c r="N2" s="2"/>
      <c r="R2" s="24"/>
      <c r="T2" s="3"/>
      <c r="U2" s="3"/>
      <c r="AD2" s="1" t="s">
        <v>6</v>
      </c>
      <c r="AG2" s="3"/>
      <c r="AP2" s="1" t="s">
        <v>7</v>
      </c>
      <c r="AZ2" s="2"/>
      <c r="BC2" s="4"/>
      <c r="BD2" s="4"/>
      <c r="BG2" s="1" t="s">
        <v>8</v>
      </c>
      <c r="BJ2" s="3"/>
      <c r="BO2" s="3"/>
      <c r="BV2" s="1" t="s">
        <v>218</v>
      </c>
      <c r="BY2" s="3"/>
    </row>
    <row r="3" spans="1:106">
      <c r="N3" s="2"/>
      <c r="R3" s="24"/>
      <c r="AZ3" s="2"/>
      <c r="BD3" s="4"/>
      <c r="BG3" s="7"/>
      <c r="BO3" s="3"/>
      <c r="BV3" s="7"/>
    </row>
    <row r="4" spans="1:106">
      <c r="A4" s="5" t="s">
        <v>9</v>
      </c>
      <c r="B4" s="6" t="s">
        <v>94</v>
      </c>
      <c r="K4" s="3" t="s">
        <v>9</v>
      </c>
      <c r="M4" s="9" t="str">
        <f>B4</f>
        <v>Montana-Dakota Utilities Co.</v>
      </c>
      <c r="N4" s="2"/>
      <c r="R4" s="24"/>
      <c r="S4" s="113"/>
      <c r="AD4" s="3" t="s">
        <v>9</v>
      </c>
      <c r="AF4" s="9" t="str">
        <f>B4</f>
        <v>Montana-Dakota Utilities Co.</v>
      </c>
      <c r="AP4" s="3" t="s">
        <v>11</v>
      </c>
      <c r="AR4" s="9" t="str">
        <f>AF4</f>
        <v>Montana-Dakota Utilities Co.</v>
      </c>
      <c r="AZ4" s="2"/>
      <c r="BH4" s="2" t="s">
        <v>11</v>
      </c>
      <c r="BI4" s="9" t="str">
        <f>AR4</f>
        <v>Montana-Dakota Utilities Co.</v>
      </c>
      <c r="BW4" s="2" t="s">
        <v>11</v>
      </c>
      <c r="BX4" s="9" t="str">
        <f>BI4</f>
        <v>Montana-Dakota Utilities Co.</v>
      </c>
    </row>
    <row r="5" spans="1:106">
      <c r="A5" s="5" t="s">
        <v>10</v>
      </c>
      <c r="B5" s="8" t="str">
        <f>'Database Inputs'!A12</f>
        <v>Programmable Thermostats - Tier 1</v>
      </c>
      <c r="K5" s="3" t="s">
        <v>10</v>
      </c>
      <c r="M5" s="9" t="str">
        <f>$B$5</f>
        <v>Programmable Thermostats - Tier 1</v>
      </c>
      <c r="N5" s="2"/>
      <c r="R5" s="24"/>
      <c r="AD5" s="3" t="s">
        <v>10</v>
      </c>
      <c r="AF5" s="9" t="str">
        <f>$B$5</f>
        <v>Programmable Thermostats - Tier 1</v>
      </c>
      <c r="AP5" s="3" t="s">
        <v>12</v>
      </c>
      <c r="AR5" s="9" t="str">
        <f>$B$5</f>
        <v>Programmable Thermostats - Tier 1</v>
      </c>
      <c r="AZ5" s="2"/>
      <c r="BH5" s="2" t="s">
        <v>12</v>
      </c>
      <c r="BI5" s="9" t="str">
        <f>$B$5</f>
        <v>Programmable Thermostats - Tier 1</v>
      </c>
      <c r="BW5" s="2" t="s">
        <v>12</v>
      </c>
      <c r="BX5" s="9" t="str">
        <f>$B$5</f>
        <v>Programmable Thermostats - Tier 1</v>
      </c>
    </row>
    <row r="6" spans="1:106">
      <c r="A6" s="5" t="s">
        <v>202</v>
      </c>
      <c r="B6" s="6">
        <f>'Total Program'!$B$6</f>
        <v>2025</v>
      </c>
      <c r="N6" s="2"/>
      <c r="R6" s="24"/>
      <c r="AZ6" s="2"/>
      <c r="BG6" s="7"/>
      <c r="BV6" s="7"/>
    </row>
    <row r="7" spans="1:106">
      <c r="N7" s="31" t="s">
        <v>14</v>
      </c>
      <c r="O7" s="31"/>
      <c r="P7" s="31"/>
      <c r="Q7" s="31"/>
      <c r="R7" s="81"/>
      <c r="S7" s="31"/>
      <c r="T7" s="31"/>
      <c r="U7" s="31"/>
      <c r="V7" s="31"/>
      <c r="X7" s="65" t="s">
        <v>15</v>
      </c>
      <c r="Y7" s="65"/>
      <c r="Z7" s="80"/>
      <c r="AA7" s="80"/>
      <c r="AB7" s="7"/>
      <c r="AF7" s="31" t="s">
        <v>14</v>
      </c>
      <c r="AG7" s="79"/>
      <c r="AH7" s="79"/>
      <c r="AJ7" s="65" t="s">
        <v>15</v>
      </c>
      <c r="AK7" s="65"/>
      <c r="AL7" s="65"/>
      <c r="AN7" s="56" t="s">
        <v>81</v>
      </c>
      <c r="AR7" s="31" t="s">
        <v>14</v>
      </c>
      <c r="AS7" s="31"/>
      <c r="AT7" s="31"/>
      <c r="AU7" s="31"/>
      <c r="AV7" s="31"/>
      <c r="AW7" s="31"/>
      <c r="AX7" s="31"/>
      <c r="AY7" s="31"/>
      <c r="AZ7" s="31"/>
      <c r="BB7" s="65" t="s">
        <v>15</v>
      </c>
      <c r="BC7" s="65"/>
      <c r="BD7" s="65"/>
      <c r="BE7" s="36" t="s">
        <v>81</v>
      </c>
      <c r="BG7" s="7"/>
      <c r="BI7" s="31" t="s">
        <v>14</v>
      </c>
      <c r="BJ7" s="79"/>
      <c r="BK7" s="79"/>
      <c r="BL7" s="79"/>
      <c r="BM7" s="79"/>
      <c r="BN7" s="79"/>
      <c r="BO7" s="79"/>
      <c r="BP7" s="79"/>
      <c r="BR7" s="88" t="s">
        <v>15</v>
      </c>
      <c r="BS7" s="36" t="s">
        <v>81</v>
      </c>
      <c r="BV7" s="7"/>
      <c r="BX7" s="31" t="s">
        <v>14</v>
      </c>
      <c r="BY7" s="79"/>
      <c r="BZ7" s="79"/>
      <c r="CA7" s="79"/>
      <c r="CC7" s="65" t="s">
        <v>15</v>
      </c>
      <c r="CD7" s="65"/>
      <c r="CE7" s="65"/>
      <c r="CF7" s="36" t="s">
        <v>81</v>
      </c>
    </row>
    <row r="8" spans="1:106">
      <c r="A8" s="100" t="s">
        <v>13</v>
      </c>
      <c r="B8" s="100"/>
      <c r="C8" s="10"/>
      <c r="E8" s="100"/>
      <c r="F8" s="106">
        <f>+'Total Program Inputs'!C6</f>
        <v>2025</v>
      </c>
      <c r="G8" s="7"/>
      <c r="H8" s="114"/>
      <c r="M8" s="101"/>
      <c r="N8" s="101"/>
      <c r="Q8" s="101"/>
      <c r="R8" s="24"/>
      <c r="S8" s="101"/>
      <c r="T8" s="101"/>
      <c r="U8" s="101"/>
      <c r="V8" s="101"/>
      <c r="W8" s="101"/>
      <c r="X8" s="101"/>
      <c r="Z8" s="101"/>
      <c r="AA8" s="7"/>
      <c r="AB8" s="7" t="s">
        <v>17</v>
      </c>
      <c r="AF8" s="101"/>
      <c r="AG8" s="101"/>
      <c r="AH8" s="101"/>
      <c r="AM8" s="101"/>
      <c r="AN8" s="7" t="s">
        <v>17</v>
      </c>
      <c r="AT8" s="7" t="s">
        <v>24</v>
      </c>
      <c r="AU8" s="101"/>
      <c r="AV8" s="7"/>
      <c r="AW8" s="101"/>
      <c r="AX8" s="7"/>
      <c r="AY8" s="101"/>
      <c r="AZ8" s="101"/>
      <c r="BA8" s="101"/>
      <c r="BB8" s="101"/>
      <c r="BC8" s="101"/>
      <c r="BD8" s="101"/>
      <c r="BE8" s="7" t="s">
        <v>17</v>
      </c>
      <c r="BG8" s="7"/>
      <c r="BH8" s="7"/>
      <c r="BI8" s="7"/>
      <c r="BT8" s="7" t="s">
        <v>17</v>
      </c>
      <c r="BV8" s="7"/>
      <c r="BW8" s="7"/>
      <c r="BX8" s="7"/>
      <c r="CG8" s="7" t="s">
        <v>17</v>
      </c>
      <c r="DA8" s="101"/>
      <c r="DB8" s="101"/>
    </row>
    <row r="9" spans="1:106">
      <c r="A9" s="3"/>
      <c r="E9" s="3"/>
      <c r="M9" s="7" t="s">
        <v>20</v>
      </c>
      <c r="N9" s="7" t="s">
        <v>23</v>
      </c>
      <c r="O9" s="7" t="s">
        <v>23</v>
      </c>
      <c r="P9" s="102" t="s">
        <v>21</v>
      </c>
      <c r="Q9" s="102" t="s">
        <v>21</v>
      </c>
      <c r="R9" s="103" t="s">
        <v>20</v>
      </c>
      <c r="S9" s="104" t="s">
        <v>97</v>
      </c>
      <c r="T9" s="7" t="s">
        <v>31</v>
      </c>
      <c r="U9" s="103" t="s">
        <v>20</v>
      </c>
      <c r="V9" s="7"/>
      <c r="W9" s="104" t="s">
        <v>96</v>
      </c>
      <c r="Y9" s="7" t="s">
        <v>35</v>
      </c>
      <c r="Z9" s="7"/>
      <c r="AA9" s="7" t="s">
        <v>20</v>
      </c>
      <c r="AB9" s="7" t="s">
        <v>14</v>
      </c>
      <c r="AF9" s="104" t="s">
        <v>20</v>
      </c>
      <c r="AG9" s="103" t="s">
        <v>20</v>
      </c>
      <c r="AH9" s="104" t="s">
        <v>17</v>
      </c>
      <c r="AJ9" s="7" t="s">
        <v>35</v>
      </c>
      <c r="AK9" s="7"/>
      <c r="AL9" s="7" t="s">
        <v>22</v>
      </c>
      <c r="AN9" s="7" t="s">
        <v>14</v>
      </c>
      <c r="AR9" s="104" t="s">
        <v>20</v>
      </c>
      <c r="AS9" s="7" t="s">
        <v>20</v>
      </c>
      <c r="AT9" s="7" t="s">
        <v>36</v>
      </c>
      <c r="AU9" s="7" t="s">
        <v>24</v>
      </c>
      <c r="AV9" s="102" t="s">
        <v>37</v>
      </c>
      <c r="AW9" s="102" t="s">
        <v>37</v>
      </c>
      <c r="AX9" s="7"/>
      <c r="AZ9" s="7" t="s">
        <v>17</v>
      </c>
      <c r="BB9" s="7" t="s">
        <v>22</v>
      </c>
      <c r="BC9" s="7" t="s">
        <v>39</v>
      </c>
      <c r="BD9" s="7" t="s">
        <v>17</v>
      </c>
      <c r="BE9" s="7" t="s">
        <v>14</v>
      </c>
      <c r="BG9" s="7"/>
      <c r="BH9" s="7"/>
      <c r="BI9" s="7"/>
      <c r="BJ9" s="7" t="s">
        <v>20</v>
      </c>
      <c r="BL9" s="7" t="s">
        <v>23</v>
      </c>
      <c r="BM9" s="7" t="s">
        <v>24</v>
      </c>
      <c r="BN9" s="7" t="s">
        <v>24</v>
      </c>
      <c r="BO9" s="7"/>
      <c r="BP9" s="7" t="s">
        <v>20</v>
      </c>
      <c r="BR9" s="7" t="s">
        <v>26</v>
      </c>
      <c r="BS9" s="7"/>
      <c r="BT9" s="7" t="s">
        <v>14</v>
      </c>
      <c r="BV9" s="7"/>
      <c r="BW9" s="7"/>
      <c r="BX9" s="7" t="s">
        <v>20</v>
      </c>
      <c r="BY9" s="7" t="s">
        <v>20</v>
      </c>
      <c r="BZ9" s="7" t="s">
        <v>24</v>
      </c>
      <c r="CA9" s="7" t="s">
        <v>20</v>
      </c>
      <c r="CC9" s="7" t="s">
        <v>22</v>
      </c>
      <c r="CD9" s="7" t="s">
        <v>39</v>
      </c>
      <c r="CE9" s="114"/>
      <c r="CF9" s="7"/>
      <c r="CG9" s="7" t="s">
        <v>14</v>
      </c>
    </row>
    <row r="10" spans="1:106">
      <c r="A10" s="3" t="s">
        <v>104</v>
      </c>
      <c r="C10" s="11">
        <f>+'Gas Input Table Summary'!$D$7</f>
        <v>8.3550000000000004</v>
      </c>
      <c r="D10" s="12"/>
      <c r="E10" s="3" t="s">
        <v>16</v>
      </c>
      <c r="F10" s="130"/>
      <c r="G10" s="130"/>
      <c r="H10" s="130"/>
      <c r="J10" s="15"/>
      <c r="M10" s="7" t="s">
        <v>28</v>
      </c>
      <c r="N10" s="7" t="s">
        <v>29</v>
      </c>
      <c r="O10" s="7" t="s">
        <v>29</v>
      </c>
      <c r="P10" s="102" t="s">
        <v>30</v>
      </c>
      <c r="Q10" s="102" t="s">
        <v>30</v>
      </c>
      <c r="R10" s="103" t="s">
        <v>36</v>
      </c>
      <c r="S10" s="7" t="s">
        <v>31</v>
      </c>
      <c r="T10" s="7" t="s">
        <v>38</v>
      </c>
      <c r="U10" s="103" t="s">
        <v>31</v>
      </c>
      <c r="V10" s="7" t="s">
        <v>20</v>
      </c>
      <c r="W10" s="7" t="s">
        <v>119</v>
      </c>
      <c r="X10" s="7" t="s">
        <v>92</v>
      </c>
      <c r="Y10" s="7" t="s">
        <v>145</v>
      </c>
      <c r="Z10" s="7" t="s">
        <v>118</v>
      </c>
      <c r="AA10" s="7" t="s">
        <v>35</v>
      </c>
      <c r="AB10" s="7" t="s">
        <v>34</v>
      </c>
      <c r="AF10" s="104" t="s">
        <v>36</v>
      </c>
      <c r="AG10" s="103" t="s">
        <v>31</v>
      </c>
      <c r="AH10" s="104" t="s">
        <v>20</v>
      </c>
      <c r="AJ10" s="7" t="s">
        <v>145</v>
      </c>
      <c r="AK10" s="7" t="s">
        <v>118</v>
      </c>
      <c r="AL10" s="7" t="s">
        <v>35</v>
      </c>
      <c r="AN10" s="7" t="s">
        <v>34</v>
      </c>
      <c r="AR10" s="7" t="s">
        <v>28</v>
      </c>
      <c r="AS10" s="7" t="s">
        <v>132</v>
      </c>
      <c r="AT10" s="7" t="s">
        <v>38</v>
      </c>
      <c r="AU10" s="7" t="s">
        <v>36</v>
      </c>
      <c r="AV10" s="7" t="s">
        <v>99</v>
      </c>
      <c r="AW10" s="104" t="s">
        <v>99</v>
      </c>
      <c r="AX10" s="7"/>
      <c r="AY10" s="102"/>
      <c r="AZ10" s="7" t="s">
        <v>20</v>
      </c>
      <c r="BB10" s="7" t="s">
        <v>35</v>
      </c>
      <c r="BC10" s="104" t="s">
        <v>100</v>
      </c>
      <c r="BD10" s="7" t="s">
        <v>20</v>
      </c>
      <c r="BE10" s="7" t="s">
        <v>34</v>
      </c>
      <c r="BG10" s="7"/>
      <c r="BH10" s="7"/>
      <c r="BI10" s="7" t="s">
        <v>25</v>
      </c>
      <c r="BJ10" s="7" t="s">
        <v>28</v>
      </c>
      <c r="BK10" s="7" t="s">
        <v>32</v>
      </c>
      <c r="BL10" s="7" t="s">
        <v>33</v>
      </c>
      <c r="BM10" s="7" t="s">
        <v>137</v>
      </c>
      <c r="BN10" s="7" t="s">
        <v>36</v>
      </c>
      <c r="BO10" s="7"/>
      <c r="BP10" s="7" t="s">
        <v>17</v>
      </c>
      <c r="BR10" s="7" t="s">
        <v>112</v>
      </c>
      <c r="BS10" s="7"/>
      <c r="BT10" s="7" t="s">
        <v>34</v>
      </c>
      <c r="BV10" s="7"/>
      <c r="BW10" s="7"/>
      <c r="BX10" s="7" t="s">
        <v>28</v>
      </c>
      <c r="BY10" s="114" t="s">
        <v>31</v>
      </c>
      <c r="BZ10" s="7" t="s">
        <v>36</v>
      </c>
      <c r="CA10" s="7" t="s">
        <v>17</v>
      </c>
      <c r="CC10" s="7" t="s">
        <v>35</v>
      </c>
      <c r="CD10" s="104" t="s">
        <v>100</v>
      </c>
      <c r="CE10" s="114" t="s">
        <v>20</v>
      </c>
      <c r="CF10" s="7"/>
      <c r="CG10" s="7" t="s">
        <v>34</v>
      </c>
    </row>
    <row r="11" spans="1:106">
      <c r="A11" s="3" t="s">
        <v>18</v>
      </c>
      <c r="C11" s="13">
        <f>+'Gas Input Table Summary'!$D$8</f>
        <v>0.03</v>
      </c>
      <c r="E11" s="3" t="s">
        <v>19</v>
      </c>
      <c r="F11" s="137">
        <f>+'Total Program Inputs'!M13</f>
        <v>177</v>
      </c>
      <c r="G11" s="256"/>
      <c r="H11" s="256"/>
      <c r="J11" s="5"/>
      <c r="M11" s="7" t="s">
        <v>44</v>
      </c>
      <c r="N11" s="7" t="s">
        <v>107</v>
      </c>
      <c r="O11" s="7" t="s">
        <v>38</v>
      </c>
      <c r="P11" s="102" t="s">
        <v>107</v>
      </c>
      <c r="Q11" s="102" t="s">
        <v>38</v>
      </c>
      <c r="R11" s="103" t="s">
        <v>38</v>
      </c>
      <c r="S11" s="7" t="s">
        <v>44</v>
      </c>
      <c r="T11" s="7" t="s">
        <v>95</v>
      </c>
      <c r="U11" s="103" t="s">
        <v>38</v>
      </c>
      <c r="V11" s="7" t="s">
        <v>38</v>
      </c>
      <c r="W11" s="7" t="s">
        <v>120</v>
      </c>
      <c r="X11" s="7" t="s">
        <v>93</v>
      </c>
      <c r="Y11" s="7" t="s">
        <v>15</v>
      </c>
      <c r="Z11" s="7" t="s">
        <v>15</v>
      </c>
      <c r="AA11" s="7" t="s">
        <v>15</v>
      </c>
      <c r="AB11" s="7" t="s">
        <v>15</v>
      </c>
      <c r="AF11" s="7" t="s">
        <v>38</v>
      </c>
      <c r="AG11" s="103" t="s">
        <v>38</v>
      </c>
      <c r="AH11" s="103" t="s">
        <v>38</v>
      </c>
      <c r="AJ11" s="7" t="s">
        <v>15</v>
      </c>
      <c r="AK11" s="7" t="s">
        <v>15</v>
      </c>
      <c r="AL11" s="7" t="s">
        <v>15</v>
      </c>
      <c r="AN11" s="7" t="s">
        <v>15</v>
      </c>
      <c r="AR11" s="7" t="s">
        <v>38</v>
      </c>
      <c r="AS11" s="7" t="s">
        <v>38</v>
      </c>
      <c r="AT11" s="7" t="s">
        <v>134</v>
      </c>
      <c r="AU11" s="7" t="s">
        <v>38</v>
      </c>
      <c r="AV11" s="105" t="s">
        <v>133</v>
      </c>
      <c r="AW11" s="105" t="s">
        <v>38</v>
      </c>
      <c r="AX11" s="7"/>
      <c r="AY11" s="102"/>
      <c r="AZ11" s="104" t="s">
        <v>38</v>
      </c>
      <c r="BB11" s="7" t="s">
        <v>15</v>
      </c>
      <c r="BC11" s="48" t="s">
        <v>101</v>
      </c>
      <c r="BD11" s="104" t="s">
        <v>15</v>
      </c>
      <c r="BE11" s="7" t="s">
        <v>15</v>
      </c>
      <c r="BH11" s="7"/>
      <c r="BI11" s="7" t="s">
        <v>46</v>
      </c>
      <c r="BJ11" s="7" t="s">
        <v>44</v>
      </c>
      <c r="BK11" s="7" t="s">
        <v>45</v>
      </c>
      <c r="BL11" s="7" t="s">
        <v>38</v>
      </c>
      <c r="BM11" s="7" t="s">
        <v>0</v>
      </c>
      <c r="BN11" s="7" t="s">
        <v>38</v>
      </c>
      <c r="BO11" s="7"/>
      <c r="BP11" s="7" t="s">
        <v>14</v>
      </c>
      <c r="BR11" s="7" t="s">
        <v>15</v>
      </c>
      <c r="BS11" s="7"/>
      <c r="BT11" s="7" t="s">
        <v>15</v>
      </c>
      <c r="BW11" s="7"/>
      <c r="BX11" s="114" t="s">
        <v>38</v>
      </c>
      <c r="BY11" s="114" t="s">
        <v>38</v>
      </c>
      <c r="BZ11" s="7" t="s">
        <v>38</v>
      </c>
      <c r="CA11" s="7" t="s">
        <v>14</v>
      </c>
      <c r="CC11" s="7" t="s">
        <v>15</v>
      </c>
      <c r="CD11" s="48" t="s">
        <v>101</v>
      </c>
      <c r="CE11" s="7" t="s">
        <v>15</v>
      </c>
      <c r="CF11" s="7"/>
      <c r="CG11" s="7" t="s">
        <v>15</v>
      </c>
    </row>
    <row r="12" spans="1:106">
      <c r="A12" s="3"/>
      <c r="C12" s="13"/>
      <c r="E12" s="3" t="s">
        <v>27</v>
      </c>
      <c r="F12" s="129">
        <f>+'Total Program Inputs'!I13</f>
        <v>525</v>
      </c>
      <c r="G12" s="22"/>
      <c r="H12" s="22"/>
      <c r="L12" s="106" t="s">
        <v>43</v>
      </c>
      <c r="M12" s="106" t="s">
        <v>48</v>
      </c>
      <c r="N12" s="106" t="s">
        <v>49</v>
      </c>
      <c r="O12" s="106" t="s">
        <v>50</v>
      </c>
      <c r="P12" s="106" t="s">
        <v>51</v>
      </c>
      <c r="Q12" s="106" t="s">
        <v>52</v>
      </c>
      <c r="R12" s="106" t="s">
        <v>53</v>
      </c>
      <c r="S12" s="106" t="s">
        <v>54</v>
      </c>
      <c r="T12" s="106" t="s">
        <v>55</v>
      </c>
      <c r="U12" s="106" t="s">
        <v>56</v>
      </c>
      <c r="V12" s="106" t="s">
        <v>57</v>
      </c>
      <c r="W12" s="106" t="s">
        <v>58</v>
      </c>
      <c r="X12" s="106" t="s">
        <v>59</v>
      </c>
      <c r="Y12" s="106" t="s">
        <v>60</v>
      </c>
      <c r="Z12" s="106" t="s">
        <v>61</v>
      </c>
      <c r="AA12" s="106" t="s">
        <v>138</v>
      </c>
      <c r="AB12" s="106" t="s">
        <v>146</v>
      </c>
      <c r="AE12" s="106" t="s">
        <v>43</v>
      </c>
      <c r="AF12" s="106" t="s">
        <v>48</v>
      </c>
      <c r="AG12" s="106" t="s">
        <v>49</v>
      </c>
      <c r="AH12" s="106" t="s">
        <v>50</v>
      </c>
      <c r="AJ12" s="106" t="s">
        <v>51</v>
      </c>
      <c r="AK12" s="106" t="s">
        <v>52</v>
      </c>
      <c r="AL12" s="106" t="s">
        <v>53</v>
      </c>
      <c r="AN12" s="106" t="s">
        <v>54</v>
      </c>
      <c r="AQ12" s="106" t="s">
        <v>43</v>
      </c>
      <c r="AR12" s="106" t="s">
        <v>48</v>
      </c>
      <c r="AS12" s="106" t="s">
        <v>49</v>
      </c>
      <c r="AT12" s="106" t="s">
        <v>50</v>
      </c>
      <c r="AU12" s="106" t="s">
        <v>51</v>
      </c>
      <c r="AV12" s="106" t="s">
        <v>52</v>
      </c>
      <c r="AW12" s="106" t="s">
        <v>53</v>
      </c>
      <c r="AX12" s="106"/>
      <c r="AY12" s="106"/>
      <c r="AZ12" s="106" t="s">
        <v>54</v>
      </c>
      <c r="BB12" s="106" t="s">
        <v>55</v>
      </c>
      <c r="BC12" s="106" t="s">
        <v>56</v>
      </c>
      <c r="BD12" s="106" t="s">
        <v>57</v>
      </c>
      <c r="BE12" s="106" t="s">
        <v>58</v>
      </c>
      <c r="BH12" s="106" t="s">
        <v>43</v>
      </c>
      <c r="BI12" s="106" t="s">
        <v>48</v>
      </c>
      <c r="BJ12" s="106" t="s">
        <v>49</v>
      </c>
      <c r="BK12" s="106" t="s">
        <v>50</v>
      </c>
      <c r="BL12" s="106" t="s">
        <v>51</v>
      </c>
      <c r="BM12" s="106" t="s">
        <v>52</v>
      </c>
      <c r="BN12" s="106" t="s">
        <v>53</v>
      </c>
      <c r="BO12" s="106"/>
      <c r="BP12" s="106" t="s">
        <v>54</v>
      </c>
      <c r="BR12" s="106" t="s">
        <v>55</v>
      </c>
      <c r="BS12" s="7"/>
      <c r="BT12" s="106" t="s">
        <v>56</v>
      </c>
      <c r="BW12" s="106" t="s">
        <v>43</v>
      </c>
      <c r="BX12" s="106" t="s">
        <v>48</v>
      </c>
      <c r="BY12" s="106" t="s">
        <v>49</v>
      </c>
      <c r="BZ12" s="106" t="s">
        <v>50</v>
      </c>
      <c r="CA12" s="117" t="s">
        <v>51</v>
      </c>
      <c r="CC12" s="117" t="s">
        <v>52</v>
      </c>
      <c r="CD12" s="117" t="s">
        <v>53</v>
      </c>
      <c r="CE12" s="117" t="s">
        <v>54</v>
      </c>
      <c r="CF12" s="7"/>
      <c r="CG12" s="117" t="s">
        <v>55</v>
      </c>
    </row>
    <row r="13" spans="1:106">
      <c r="A13" s="3" t="s">
        <v>40</v>
      </c>
      <c r="C13" s="140">
        <f>+'Gas Input Table Summary'!$D$9</f>
        <v>0.13497000000000001</v>
      </c>
      <c r="E13" s="3" t="s">
        <v>41</v>
      </c>
      <c r="F13" s="12">
        <f>SUM(F11:F12)</f>
        <v>702</v>
      </c>
      <c r="G13" s="12"/>
      <c r="H13" s="12"/>
      <c r="J13" s="7"/>
      <c r="L13" s="7"/>
      <c r="M13" s="7"/>
      <c r="N13" s="7"/>
      <c r="Q13" s="7"/>
      <c r="R13" s="24"/>
      <c r="S13" s="7"/>
      <c r="T13" s="7"/>
      <c r="V13" s="7"/>
      <c r="W13" s="7"/>
      <c r="X13" s="7"/>
      <c r="Z13" s="7"/>
      <c r="AA13" s="7"/>
      <c r="AB13" s="7"/>
      <c r="AE13" s="7"/>
      <c r="AF13" s="7"/>
      <c r="AH13" s="7"/>
      <c r="AL13" s="7"/>
      <c r="AN13" s="7"/>
      <c r="AQ13" s="7"/>
      <c r="AR13" s="7"/>
      <c r="AS13" s="7"/>
      <c r="AU13" s="7"/>
      <c r="AW13" s="4"/>
      <c r="AY13" s="4"/>
      <c r="BB13" s="7"/>
      <c r="BC13" s="7"/>
      <c r="BD13" s="7"/>
      <c r="BE13" s="7"/>
      <c r="BH13" s="7"/>
      <c r="BI13" s="7"/>
      <c r="BJ13" s="7"/>
      <c r="BK13" s="7"/>
      <c r="BL13" s="7"/>
      <c r="BN13" s="7"/>
      <c r="BO13" s="7"/>
      <c r="BP13" s="7"/>
      <c r="BR13" s="7"/>
      <c r="BS13" s="7"/>
      <c r="BT13" s="7"/>
      <c r="BW13" s="7"/>
      <c r="BX13" s="7"/>
      <c r="BY13" s="7"/>
      <c r="BZ13" s="7"/>
      <c r="CA13" s="7"/>
      <c r="CC13" s="7"/>
      <c r="CD13" s="7"/>
      <c r="CE13" s="7"/>
      <c r="CF13" s="7"/>
      <c r="CG13" s="7"/>
    </row>
    <row r="14" spans="1:106">
      <c r="A14" s="3" t="s">
        <v>47</v>
      </c>
      <c r="C14" s="13">
        <f>+'Gas Input Table Summary'!$D$10</f>
        <v>0.03</v>
      </c>
      <c r="F14" s="16"/>
      <c r="G14" s="16"/>
      <c r="H14" s="16"/>
      <c r="J14" s="2">
        <f>$C$47-$C$45</f>
        <v>0</v>
      </c>
      <c r="L14" s="7">
        <f>$C$47</f>
        <v>2025</v>
      </c>
      <c r="M14" s="16">
        <f>ROUND(IF($C$47+$F$23&gt;L14,F25*F30,0),0)</f>
        <v>80</v>
      </c>
      <c r="N14" s="107">
        <f t="shared" ref="N14:N34" si="0">ROUND($C$17*(1+$C$18)^J14,3)</f>
        <v>3.4159999999999999</v>
      </c>
      <c r="O14" s="12">
        <f t="shared" ref="O14:O34" si="1">ROUND(M14*N14,0)</f>
        <v>273</v>
      </c>
      <c r="P14" s="107">
        <f t="shared" ref="P14:P34" si="2">ROUND($C$25*(1+$C$26)^J14,3)</f>
        <v>0</v>
      </c>
      <c r="Q14" s="12">
        <f>ROUND(M14*P14,0)</f>
        <v>0</v>
      </c>
      <c r="R14" s="108">
        <f t="shared" ref="R14:R34" si="3">O14+Q14</f>
        <v>273</v>
      </c>
      <c r="S14" s="42">
        <f t="shared" ref="S14:S34" si="4">ROUND(M14*$C$23,1)</f>
        <v>0.8</v>
      </c>
      <c r="T14" s="12">
        <f t="shared" ref="T14:T34" si="5">ROUND($C$20*(1+$C$21)^J14,0)</f>
        <v>175</v>
      </c>
      <c r="U14" s="109">
        <f>ROUND(S14*T14,0)</f>
        <v>140</v>
      </c>
      <c r="V14" s="12">
        <f>ROUND(+U14+R14,0)</f>
        <v>413</v>
      </c>
      <c r="W14" s="110">
        <f t="shared" ref="W14:W34" si="6">ROUND($H$36*(1+$C$11)^J14,3)</f>
        <v>2.532</v>
      </c>
      <c r="X14" s="111">
        <f t="shared" ref="X14:X34" si="7">ROUND((1-$H$38)*(W14*M14),0)</f>
        <v>160</v>
      </c>
      <c r="Y14" s="111">
        <f>ROUND($F$11,0)</f>
        <v>177</v>
      </c>
      <c r="Z14" s="111">
        <f>ROUND($F$12,0)</f>
        <v>525</v>
      </c>
      <c r="AA14" s="111">
        <f t="shared" ref="AA14:AA34" si="8">SUM(X14:Z14)</f>
        <v>862</v>
      </c>
      <c r="AB14" s="12">
        <f t="shared" ref="AB14:AB34" si="9">V14-AA14</f>
        <v>-449</v>
      </c>
      <c r="AE14" s="7">
        <f>$C$47</f>
        <v>2025</v>
      </c>
      <c r="AF14" s="12">
        <f t="shared" ref="AF14:AF34" si="10">+R14</f>
        <v>273</v>
      </c>
      <c r="AG14" s="12">
        <f t="shared" ref="AG14:AG34" si="11">+U14</f>
        <v>140</v>
      </c>
      <c r="AH14" s="111">
        <f>+AG14+AF14</f>
        <v>413</v>
      </c>
      <c r="AJ14" s="12">
        <f>ROUND(Y14,0)</f>
        <v>177</v>
      </c>
      <c r="AK14" s="12">
        <f>ROUND(Z14,0)</f>
        <v>525</v>
      </c>
      <c r="AL14" s="12">
        <f t="shared" ref="AL14:AL34" si="12">SUM(AJ14:AK14)</f>
        <v>702</v>
      </c>
      <c r="AN14" s="12">
        <f>+AH14-AL14</f>
        <v>-289</v>
      </c>
      <c r="AQ14" s="7">
        <f>$C$47</f>
        <v>2025</v>
      </c>
      <c r="AR14" s="12">
        <f t="shared" ref="AR14:AR34" si="13">AF14</f>
        <v>273</v>
      </c>
      <c r="AS14" s="12">
        <f t="shared" ref="AS14:AS34" si="14">+AG14</f>
        <v>140</v>
      </c>
      <c r="AT14" s="107">
        <f t="shared" ref="AT14:AT34" si="15">ROUND(($C$28/(1-$C$31))*(1+$C$29)^J14,3)</f>
        <v>0.03</v>
      </c>
      <c r="AU14" s="12">
        <f>ROUND(IF($C$47+$F$23&gt;$AQ14,$F$30*$F$27,0)*AT14,0)</f>
        <v>0</v>
      </c>
      <c r="AV14" s="107">
        <f t="shared" ref="AV14:AV34" si="16">ROUND($C$33*(1+$C$34)^J14,3)</f>
        <v>2.0699999999999998</v>
      </c>
      <c r="AW14" s="12">
        <f t="shared" ref="AW14:AW34" si="17">ROUND(AV14*M14,0)</f>
        <v>166</v>
      </c>
      <c r="AX14" s="107"/>
      <c r="AY14" s="12"/>
      <c r="AZ14" s="12">
        <f>ROUND(AR14+AS14+AU14+AW14+AY14,0)</f>
        <v>579</v>
      </c>
      <c r="BA14" s="17"/>
      <c r="BB14" s="111">
        <f>ROUND($F$13,0)</f>
        <v>702</v>
      </c>
      <c r="BC14" s="111">
        <f>ROUND((F15*F30)-Z14,0)</f>
        <v>525</v>
      </c>
      <c r="BD14" s="109">
        <f>BB14+BC14</f>
        <v>1227</v>
      </c>
      <c r="BE14" s="111">
        <f t="shared" ref="BE14:BE34" si="18">AZ14-BD14</f>
        <v>-648</v>
      </c>
      <c r="BH14" s="7">
        <f>$C$47</f>
        <v>2025</v>
      </c>
      <c r="BI14" s="12">
        <f>+F12</f>
        <v>525</v>
      </c>
      <c r="BJ14" s="16">
        <f t="shared" ref="BJ14:BJ34" si="19">+M14</f>
        <v>80</v>
      </c>
      <c r="BK14" s="112">
        <f t="shared" ref="BK14:BK34" si="20">ROUND($C$10*(1+$C$11)^J14,3)</f>
        <v>8.3550000000000004</v>
      </c>
      <c r="BL14" s="12">
        <f>ROUND(BJ14*BK14,0)</f>
        <v>668</v>
      </c>
      <c r="BM14" s="112">
        <f t="shared" ref="BM14:BM34" si="21">ROUND($C$13*(1+$C$14)^J14,3)</f>
        <v>0.13500000000000001</v>
      </c>
      <c r="BN14" s="12">
        <f>ROUND(IF($C$47+$F$23&gt;$BH14,$F$30*$F$27,0)*BM14,0)</f>
        <v>0</v>
      </c>
      <c r="BO14" s="12"/>
      <c r="BP14" s="12">
        <f t="shared" ref="BP14:BP34" si="22">BI14+BL14+BN14+BO14</f>
        <v>1193</v>
      </c>
      <c r="BR14" s="12">
        <f>ROUND(F15*F30,0)</f>
        <v>1050</v>
      </c>
      <c r="BS14" s="12"/>
      <c r="BT14" s="12">
        <f>BP14-BR14</f>
        <v>143</v>
      </c>
      <c r="BW14" s="7">
        <f>$C$47</f>
        <v>2025</v>
      </c>
      <c r="BX14" s="12">
        <f t="shared" ref="BX14:BX36" si="23">$R14</f>
        <v>273</v>
      </c>
      <c r="BY14" s="12">
        <f>U14</f>
        <v>140</v>
      </c>
      <c r="BZ14" s="115">
        <f>AU14</f>
        <v>0</v>
      </c>
      <c r="CA14" s="12">
        <f>SUM(BX14:BZ14)</f>
        <v>413</v>
      </c>
      <c r="CC14" s="12">
        <f>BB14</f>
        <v>702</v>
      </c>
      <c r="CD14" s="12">
        <f>BC14</f>
        <v>525</v>
      </c>
      <c r="CE14" s="12">
        <f>SUM(CC14:CD14)</f>
        <v>1227</v>
      </c>
      <c r="CF14" s="12"/>
      <c r="CG14" s="12">
        <f>CA14-CE14</f>
        <v>-814</v>
      </c>
    </row>
    <row r="15" spans="1:106">
      <c r="A15" s="3" t="s">
        <v>62</v>
      </c>
      <c r="C15" s="131" t="str">
        <f>+'Gas Input Table Summary'!$D$11</f>
        <v>kWh</v>
      </c>
      <c r="E15" s="3" t="s">
        <v>63</v>
      </c>
      <c r="F15" s="258">
        <f>ROUND('Database Inputs'!K12,0)</f>
        <v>30</v>
      </c>
      <c r="G15" s="134"/>
      <c r="H15" s="134"/>
      <c r="J15" s="2">
        <f t="shared" ref="J15:J36" si="24">J14+1</f>
        <v>1</v>
      </c>
      <c r="L15" s="7">
        <f t="shared" ref="L15:L36" si="25">L14+1</f>
        <v>2026</v>
      </c>
      <c r="M15" s="16">
        <f>ROUND(IF($C$47+$F$23&gt;L15,$F$25*$F$30,0)+IF($C$48+$G$23&gt;L15,$G$25*$G$30,0),0)</f>
        <v>80</v>
      </c>
      <c r="N15" s="53">
        <f t="shared" si="0"/>
        <v>3.5179999999999998</v>
      </c>
      <c r="O15" s="32">
        <f t="shared" si="1"/>
        <v>281</v>
      </c>
      <c r="P15" s="53">
        <f t="shared" si="2"/>
        <v>0</v>
      </c>
      <c r="Q15" s="46">
        <f t="shared" ref="Q15:Q34" si="26">ROUND(M15*P15,0)</f>
        <v>0</v>
      </c>
      <c r="R15" s="43">
        <f t="shared" si="3"/>
        <v>281</v>
      </c>
      <c r="S15" s="42">
        <f t="shared" si="4"/>
        <v>0.8</v>
      </c>
      <c r="T15" s="46">
        <f t="shared" si="5"/>
        <v>177</v>
      </c>
      <c r="U15" s="44">
        <f>ROUND(S15*T15,0)</f>
        <v>142</v>
      </c>
      <c r="V15" s="16">
        <f t="shared" ref="V15:V34" si="27">ROUND(+U15+R15,0)</f>
        <v>423</v>
      </c>
      <c r="W15" s="45">
        <f>ROUND($H$36*(1+$C$11)^J15,3)</f>
        <v>2.6080000000000001</v>
      </c>
      <c r="X15" s="46">
        <f>ROUND((1-$H$38)*(W15*M15),0)</f>
        <v>165</v>
      </c>
      <c r="Y15" s="46">
        <f>ROUND($G$11,0)</f>
        <v>0</v>
      </c>
      <c r="Z15" s="46">
        <f>ROUND($G$12,0)</f>
        <v>0</v>
      </c>
      <c r="AA15" s="46">
        <f>SUM(X15:Z15)</f>
        <v>165</v>
      </c>
      <c r="AB15" s="46">
        <f t="shared" si="9"/>
        <v>258</v>
      </c>
      <c r="AE15" s="7">
        <f t="shared" ref="AE15:AE36" si="28">AE14+1</f>
        <v>2026</v>
      </c>
      <c r="AF15" s="46">
        <f t="shared" si="10"/>
        <v>281</v>
      </c>
      <c r="AG15" s="16">
        <f t="shared" si="11"/>
        <v>142</v>
      </c>
      <c r="AH15" s="46">
        <f>+AG15+AF15</f>
        <v>423</v>
      </c>
      <c r="AJ15" s="32">
        <f t="shared" ref="AJ15:AK34" si="29">ROUND(Y15,0)</f>
        <v>0</v>
      </c>
      <c r="AK15" s="32">
        <f t="shared" si="29"/>
        <v>0</v>
      </c>
      <c r="AL15" s="32">
        <f t="shared" si="12"/>
        <v>0</v>
      </c>
      <c r="AN15" s="77">
        <f t="shared" ref="AN15:AN34" si="30">+AH15-AL15</f>
        <v>423</v>
      </c>
      <c r="AQ15" s="7">
        <f t="shared" ref="AQ15:AQ36" si="31">AQ14+1</f>
        <v>2026</v>
      </c>
      <c r="AR15" s="46">
        <f t="shared" si="13"/>
        <v>281</v>
      </c>
      <c r="AS15" s="46">
        <f t="shared" si="14"/>
        <v>142</v>
      </c>
      <c r="AT15" s="91">
        <f t="shared" si="15"/>
        <v>0.03</v>
      </c>
      <c r="AU15" s="16">
        <f>ROUND((IF($C$47+$F$23&gt;$AQ15,$F$27*$F$30,0)+IF($C$48+$G$23&gt;AQ15,$G$27*$G$30,0))*AT15,0)</f>
        <v>0</v>
      </c>
      <c r="AV15" s="53">
        <f t="shared" si="16"/>
        <v>2.105</v>
      </c>
      <c r="AW15" s="46">
        <f t="shared" si="17"/>
        <v>168</v>
      </c>
      <c r="AX15" s="91"/>
      <c r="AY15" s="92"/>
      <c r="AZ15" s="46">
        <f t="shared" ref="AZ15:AZ34" si="32">ROUND(AR15+AS15+AU15+AW15+AY15,0)</f>
        <v>591</v>
      </c>
      <c r="BA15" s="17"/>
      <c r="BB15" s="46">
        <f>ROUND($G$13,0)</f>
        <v>0</v>
      </c>
      <c r="BC15" s="46">
        <f>ROUND(($G$15*$G$30)-$Z$15,0)</f>
        <v>0</v>
      </c>
      <c r="BD15" s="47">
        <f t="shared" ref="BD15:BD34" si="33">BB15+BC15</f>
        <v>0</v>
      </c>
      <c r="BE15" s="46">
        <f>AZ15-BD15</f>
        <v>591</v>
      </c>
      <c r="BH15" s="7">
        <f t="shared" ref="BH15:BH36" si="34">BH14+1</f>
        <v>2026</v>
      </c>
      <c r="BI15" s="46">
        <f>+G12</f>
        <v>0</v>
      </c>
      <c r="BJ15" s="16">
        <f t="shared" si="19"/>
        <v>80</v>
      </c>
      <c r="BK15" s="87">
        <f t="shared" si="20"/>
        <v>8.6059999999999999</v>
      </c>
      <c r="BL15" s="46">
        <f>ROUND(BJ15*BK15,0)</f>
        <v>688</v>
      </c>
      <c r="BM15" s="87">
        <f t="shared" si="21"/>
        <v>0.13900000000000001</v>
      </c>
      <c r="BN15" s="16">
        <f>ROUND((IF($C$47+$F$23&gt;BH15,$F$27*$F$30,0)+IF($C$48+$G$23&gt;BH15,$G$27*$G$30,0))*BM15,0)</f>
        <v>0</v>
      </c>
      <c r="BO15" s="16"/>
      <c r="BP15" s="46">
        <f t="shared" si="22"/>
        <v>688</v>
      </c>
      <c r="BR15" s="46">
        <f>ROUND($G$15*$G$30,0)</f>
        <v>0</v>
      </c>
      <c r="BS15" s="46"/>
      <c r="BT15" s="46">
        <f t="shared" ref="BT15:BT34" si="35">BP15-BR15</f>
        <v>688</v>
      </c>
      <c r="BW15" s="7">
        <f t="shared" ref="BW15:BW36" si="36">BW14+1</f>
        <v>2026</v>
      </c>
      <c r="BX15" s="46">
        <f t="shared" si="23"/>
        <v>281</v>
      </c>
      <c r="BY15" s="16">
        <f t="shared" ref="BY15:BY34" si="37">U15</f>
        <v>142</v>
      </c>
      <c r="BZ15" s="116">
        <f t="shared" ref="BZ15:BZ34" si="38">AU15</f>
        <v>0</v>
      </c>
      <c r="CA15" s="46">
        <f t="shared" ref="CA15:CA34" si="39">SUM(BX15:BZ15)</f>
        <v>423</v>
      </c>
      <c r="CC15" s="46">
        <f t="shared" ref="CC15:CD34" si="40">BB15</f>
        <v>0</v>
      </c>
      <c r="CD15" s="46">
        <f t="shared" si="40"/>
        <v>0</v>
      </c>
      <c r="CE15" s="46">
        <f>SUM(CC15:CD15)</f>
        <v>0</v>
      </c>
      <c r="CF15" s="46"/>
      <c r="CG15" s="46">
        <f>CA15-CE15</f>
        <v>423</v>
      </c>
    </row>
    <row r="16" spans="1:106">
      <c r="F16" s="16"/>
      <c r="G16" s="16"/>
      <c r="H16" s="16"/>
      <c r="J16" s="2">
        <f t="shared" si="24"/>
        <v>2</v>
      </c>
      <c r="L16" s="7">
        <f t="shared" si="25"/>
        <v>2027</v>
      </c>
      <c r="M16" s="16">
        <f>ROUND(IF($C$47+$F$23&gt;L16,$F$25*$F$30,0)+IF($C$48+$G$23&gt;L16,$G$25*$G$30,0)+IF($C$49+$H$23&gt;L16,$H$25*$H$30,0),0)</f>
        <v>80</v>
      </c>
      <c r="N16" s="53">
        <f t="shared" si="0"/>
        <v>3.6240000000000001</v>
      </c>
      <c r="O16" s="32">
        <f t="shared" si="1"/>
        <v>290</v>
      </c>
      <c r="P16" s="53">
        <f t="shared" si="2"/>
        <v>0</v>
      </c>
      <c r="Q16" s="46">
        <f t="shared" si="26"/>
        <v>0</v>
      </c>
      <c r="R16" s="43">
        <f t="shared" si="3"/>
        <v>290</v>
      </c>
      <c r="S16" s="42">
        <f t="shared" si="4"/>
        <v>0.8</v>
      </c>
      <c r="T16" s="46">
        <f>ROUND($C$20*(1+$C$21)^J16,0)</f>
        <v>179</v>
      </c>
      <c r="U16" s="44">
        <f>ROUND(S16*T16,0)</f>
        <v>143</v>
      </c>
      <c r="V16" s="16">
        <f>ROUND(+U16+R16,0)</f>
        <v>433</v>
      </c>
      <c r="W16" s="45">
        <f>ROUND($H$36*(1+$C$11)^J16,3)</f>
        <v>2.6859999999999999</v>
      </c>
      <c r="X16" s="46">
        <f>ROUND((1-$H$38)*(W16*M16),0)</f>
        <v>170</v>
      </c>
      <c r="Y16" s="46">
        <f>ROUND($H$11,0)</f>
        <v>0</v>
      </c>
      <c r="Z16" s="46">
        <f>ROUND($H$12,0)</f>
        <v>0</v>
      </c>
      <c r="AA16" s="46">
        <f>SUM(X16:Z16)</f>
        <v>170</v>
      </c>
      <c r="AB16" s="46">
        <f>V16-AA16</f>
        <v>263</v>
      </c>
      <c r="AE16" s="7">
        <f t="shared" si="28"/>
        <v>2027</v>
      </c>
      <c r="AF16" s="46">
        <f t="shared" si="10"/>
        <v>290</v>
      </c>
      <c r="AG16" s="16">
        <f t="shared" si="11"/>
        <v>143</v>
      </c>
      <c r="AH16" s="46">
        <f t="shared" ref="AH16:AH34" si="41">+AG16+AF16</f>
        <v>433</v>
      </c>
      <c r="AJ16" s="32">
        <f t="shared" si="29"/>
        <v>0</v>
      </c>
      <c r="AK16" s="32">
        <f t="shared" si="29"/>
        <v>0</v>
      </c>
      <c r="AL16" s="32">
        <f>SUM(AJ16:AK16)</f>
        <v>0</v>
      </c>
      <c r="AN16" s="77">
        <f>+AH16-AL16</f>
        <v>433</v>
      </c>
      <c r="AQ16" s="7">
        <f t="shared" si="31"/>
        <v>2027</v>
      </c>
      <c r="AR16" s="46">
        <f t="shared" si="13"/>
        <v>290</v>
      </c>
      <c r="AS16" s="46">
        <f t="shared" si="14"/>
        <v>143</v>
      </c>
      <c r="AT16" s="91">
        <f>ROUND(($C$28/(1-$C$31))*(1+$C$29)^J16,3)</f>
        <v>3.1E-2</v>
      </c>
      <c r="AU16" s="16">
        <f>ROUND((IF($C$47+$F$23&gt;$AQ16,$F$27*$F$30,0)+IF($C$48+$G$23&gt;AQ16,$G$27*$G$30,0)+IF($C$49+$H$23&gt;AQ16,$H$27*$H$30,0))*AT16,0)</f>
        <v>0</v>
      </c>
      <c r="AV16" s="53">
        <f>ROUND($C$33*(1+$C$34)^J16,3)</f>
        <v>2.141</v>
      </c>
      <c r="AW16" s="46">
        <f>ROUND(AV16*M16,0)</f>
        <v>171</v>
      </c>
      <c r="AX16" s="91"/>
      <c r="AY16" s="92"/>
      <c r="AZ16" s="46">
        <f>ROUND(AR16+AS16+AU16+AW16+AY16,0)</f>
        <v>604</v>
      </c>
      <c r="BA16" s="17"/>
      <c r="BB16" s="46">
        <f>ROUND($H$13,0)</f>
        <v>0</v>
      </c>
      <c r="BC16" s="46">
        <f>ROUND(($H$15*$H$30)-$Z$16,0)</f>
        <v>0</v>
      </c>
      <c r="BD16" s="47">
        <f>BB16+BC16</f>
        <v>0</v>
      </c>
      <c r="BE16" s="46">
        <f t="shared" si="18"/>
        <v>604</v>
      </c>
      <c r="BH16" s="7">
        <f t="shared" si="34"/>
        <v>2027</v>
      </c>
      <c r="BI16" s="46">
        <f>ROUND(H12,0)</f>
        <v>0</v>
      </c>
      <c r="BJ16" s="16">
        <f t="shared" si="19"/>
        <v>80</v>
      </c>
      <c r="BK16" s="87">
        <f>ROUND($C$10*(1+$C$11)^J16,3)</f>
        <v>8.8640000000000008</v>
      </c>
      <c r="BL16" s="46">
        <f>ROUND(BJ16*BK16,0)</f>
        <v>709</v>
      </c>
      <c r="BM16" s="87">
        <f>ROUND($C$13*(1+$C$14)^J16,3)</f>
        <v>0.14299999999999999</v>
      </c>
      <c r="BN16" s="16">
        <f>ROUND((IF($C$47+$F$23&gt;BH16,$F$27*$F$30,0)+IF($C$49+$H$23&gt;BH16,$H$27*$H$30,0)+IF($C$48+$G$23&gt;BH16,$G$27*$G$30,0))*BM16,0)</f>
        <v>0</v>
      </c>
      <c r="BO16" s="16"/>
      <c r="BP16" s="46">
        <f>BI16+BL16+BN16+BO16</f>
        <v>709</v>
      </c>
      <c r="BR16" s="46">
        <f>ROUND($H$15*$H$30,0)</f>
        <v>0</v>
      </c>
      <c r="BS16" s="46"/>
      <c r="BT16" s="46">
        <f>BP16-BR16</f>
        <v>709</v>
      </c>
      <c r="BW16" s="7">
        <f t="shared" si="36"/>
        <v>2027</v>
      </c>
      <c r="BX16" s="46">
        <f t="shared" si="23"/>
        <v>290</v>
      </c>
      <c r="BY16" s="16">
        <f t="shared" si="37"/>
        <v>143</v>
      </c>
      <c r="BZ16" s="116">
        <f t="shared" si="38"/>
        <v>0</v>
      </c>
      <c r="CA16" s="46">
        <f t="shared" si="39"/>
        <v>433</v>
      </c>
      <c r="CC16" s="46">
        <f t="shared" si="40"/>
        <v>0</v>
      </c>
      <c r="CD16" s="46">
        <f t="shared" si="40"/>
        <v>0</v>
      </c>
      <c r="CE16" s="46">
        <f t="shared" ref="CE16:CE34" si="42">SUM(CC16:CD16)</f>
        <v>0</v>
      </c>
      <c r="CF16" s="46"/>
      <c r="CG16" s="46">
        <f>CA16-CE16</f>
        <v>433</v>
      </c>
    </row>
    <row r="17" spans="1:106">
      <c r="A17" s="3" t="s">
        <v>105</v>
      </c>
      <c r="C17" s="11">
        <f>+'Gas Input Table Summary'!$D$12</f>
        <v>3.4159999999999999</v>
      </c>
      <c r="D17" s="19"/>
      <c r="E17" s="3" t="s">
        <v>64</v>
      </c>
      <c r="F17" s="14">
        <f>+'Gas Input Table Summary'!$D$35</f>
        <v>0</v>
      </c>
      <c r="G17" s="14"/>
      <c r="H17" s="14"/>
      <c r="J17" s="2">
        <f t="shared" si="24"/>
        <v>3</v>
      </c>
      <c r="L17" s="7">
        <f t="shared" si="25"/>
        <v>2028</v>
      </c>
      <c r="M17" s="16">
        <f t="shared" ref="M17:M34" si="43">ROUND(IF($C$47+$F$23&gt;L17,$F$25*$F$30,0)+IF($C$48+$G$23&gt;L17,$G$25*$G$30,0)+IF($C$49+$H$23&gt;L17,$H$25*$H$30,0),0)</f>
        <v>80</v>
      </c>
      <c r="N17" s="53">
        <f>ROUND($C$17*(1+$C$18)^J17,3)</f>
        <v>3.7330000000000001</v>
      </c>
      <c r="O17" s="32">
        <f t="shared" si="1"/>
        <v>299</v>
      </c>
      <c r="P17" s="53">
        <f t="shared" si="2"/>
        <v>0</v>
      </c>
      <c r="Q17" s="46">
        <f t="shared" si="26"/>
        <v>0</v>
      </c>
      <c r="R17" s="43">
        <f t="shared" si="3"/>
        <v>299</v>
      </c>
      <c r="S17" s="42">
        <f t="shared" si="4"/>
        <v>0.8</v>
      </c>
      <c r="T17" s="46">
        <f t="shared" si="5"/>
        <v>181</v>
      </c>
      <c r="U17" s="44">
        <f t="shared" ref="U17:U34" si="44">ROUND(S17*T17,0)</f>
        <v>145</v>
      </c>
      <c r="V17" s="16">
        <f t="shared" si="27"/>
        <v>444</v>
      </c>
      <c r="W17" s="45">
        <f t="shared" si="6"/>
        <v>2.7669999999999999</v>
      </c>
      <c r="X17" s="46">
        <f t="shared" si="7"/>
        <v>175</v>
      </c>
      <c r="Y17" s="46">
        <v>0</v>
      </c>
      <c r="Z17" s="46">
        <v>0</v>
      </c>
      <c r="AA17" s="46">
        <f t="shared" si="8"/>
        <v>175</v>
      </c>
      <c r="AB17" s="46">
        <f t="shared" si="9"/>
        <v>269</v>
      </c>
      <c r="AE17" s="7">
        <f t="shared" si="28"/>
        <v>2028</v>
      </c>
      <c r="AF17" s="46">
        <f t="shared" si="10"/>
        <v>299</v>
      </c>
      <c r="AG17" s="16">
        <f t="shared" si="11"/>
        <v>145</v>
      </c>
      <c r="AH17" s="46">
        <f t="shared" si="41"/>
        <v>444</v>
      </c>
      <c r="AJ17" s="32">
        <f t="shared" si="29"/>
        <v>0</v>
      </c>
      <c r="AK17" s="32">
        <f t="shared" si="29"/>
        <v>0</v>
      </c>
      <c r="AL17" s="32">
        <f t="shared" si="12"/>
        <v>0</v>
      </c>
      <c r="AN17" s="77">
        <f t="shared" si="30"/>
        <v>444</v>
      </c>
      <c r="AQ17" s="7">
        <f t="shared" si="31"/>
        <v>2028</v>
      </c>
      <c r="AR17" s="46">
        <f t="shared" si="13"/>
        <v>299</v>
      </c>
      <c r="AS17" s="46">
        <f t="shared" si="14"/>
        <v>145</v>
      </c>
      <c r="AT17" s="91">
        <f t="shared" si="15"/>
        <v>3.2000000000000001E-2</v>
      </c>
      <c r="AU17" s="16">
        <f t="shared" ref="AU17:AU34" si="45">ROUND((IF($C$47+$F$23&gt;$AQ17,$F$27*$F$30,0)+IF($C$48+$G$23&gt;AQ17,$G$27*$G$30,0)+IF($C$49+$H$23&gt;AQ17,$H$27*$H$30,0))*AT17,0)</f>
        <v>0</v>
      </c>
      <c r="AV17" s="53">
        <f t="shared" si="16"/>
        <v>2.177</v>
      </c>
      <c r="AW17" s="46">
        <f t="shared" si="17"/>
        <v>174</v>
      </c>
      <c r="AX17" s="91"/>
      <c r="AY17" s="92"/>
      <c r="AZ17" s="46">
        <f t="shared" si="32"/>
        <v>618</v>
      </c>
      <c r="BA17" s="17"/>
      <c r="BB17" s="46">
        <v>0</v>
      </c>
      <c r="BC17" s="46">
        <v>0</v>
      </c>
      <c r="BD17" s="47">
        <f t="shared" si="33"/>
        <v>0</v>
      </c>
      <c r="BE17" s="46">
        <f t="shared" si="18"/>
        <v>618</v>
      </c>
      <c r="BH17" s="7">
        <f t="shared" si="34"/>
        <v>2028</v>
      </c>
      <c r="BI17" s="46">
        <v>0</v>
      </c>
      <c r="BJ17" s="16">
        <f t="shared" si="19"/>
        <v>80</v>
      </c>
      <c r="BK17" s="87">
        <f t="shared" si="20"/>
        <v>9.1300000000000008</v>
      </c>
      <c r="BL17" s="46">
        <f t="shared" ref="BL17:BL34" si="46">ROUND(BJ17*BK17,0)</f>
        <v>730</v>
      </c>
      <c r="BM17" s="87">
        <f t="shared" si="21"/>
        <v>0.14699999999999999</v>
      </c>
      <c r="BN17" s="16">
        <f t="shared" ref="BN17:BN34" si="47">ROUND((IF($C$47+$F$23&gt;BH17,$F$27*$F$30,0)+IF($C$49+$H$23&gt;BH17,$H$27*$H$30,0)+IF($C$48+$G$23&gt;BH17,$G$27*$G$30,0))*BM17,0)</f>
        <v>0</v>
      </c>
      <c r="BO17" s="16"/>
      <c r="BP17" s="46">
        <f t="shared" si="22"/>
        <v>730</v>
      </c>
      <c r="BR17" s="46">
        <f t="shared" ref="BR17:BR34" si="48">+BC17</f>
        <v>0</v>
      </c>
      <c r="BS17" s="46"/>
      <c r="BT17" s="46">
        <f t="shared" si="35"/>
        <v>730</v>
      </c>
      <c r="BW17" s="7">
        <f t="shared" si="36"/>
        <v>2028</v>
      </c>
      <c r="BX17" s="46">
        <f t="shared" si="23"/>
        <v>299</v>
      </c>
      <c r="BY17" s="16">
        <f t="shared" si="37"/>
        <v>145</v>
      </c>
      <c r="BZ17" s="116">
        <f t="shared" si="38"/>
        <v>0</v>
      </c>
      <c r="CA17" s="46">
        <f t="shared" si="39"/>
        <v>444</v>
      </c>
      <c r="CC17" s="46">
        <f t="shared" si="40"/>
        <v>0</v>
      </c>
      <c r="CD17" s="46">
        <f t="shared" si="40"/>
        <v>0</v>
      </c>
      <c r="CE17" s="46">
        <f t="shared" si="42"/>
        <v>0</v>
      </c>
      <c r="CF17" s="46"/>
      <c r="CG17" s="46">
        <f t="shared" ref="CG17:CG34" si="49">CA17-CE17</f>
        <v>444</v>
      </c>
    </row>
    <row r="18" spans="1:106">
      <c r="A18" s="3" t="s">
        <v>18</v>
      </c>
      <c r="C18" s="15">
        <f>+'Gas Input Table Summary'!$D$13</f>
        <v>0.03</v>
      </c>
      <c r="E18" s="2" t="s">
        <v>65</v>
      </c>
      <c r="F18" s="15">
        <f>+'Gas Input Table Summary'!$D$38</f>
        <v>0</v>
      </c>
      <c r="G18" s="15"/>
      <c r="H18" s="15"/>
      <c r="J18" s="2">
        <f t="shared" si="24"/>
        <v>4</v>
      </c>
      <c r="L18" s="7">
        <f t="shared" si="25"/>
        <v>2029</v>
      </c>
      <c r="M18" s="16">
        <f t="shared" si="43"/>
        <v>80</v>
      </c>
      <c r="N18" s="53">
        <f t="shared" si="0"/>
        <v>3.8450000000000002</v>
      </c>
      <c r="O18" s="32">
        <f t="shared" si="1"/>
        <v>308</v>
      </c>
      <c r="P18" s="53">
        <f t="shared" si="2"/>
        <v>0</v>
      </c>
      <c r="Q18" s="46">
        <f t="shared" si="26"/>
        <v>0</v>
      </c>
      <c r="R18" s="43">
        <f t="shared" si="3"/>
        <v>308</v>
      </c>
      <c r="S18" s="42">
        <f t="shared" si="4"/>
        <v>0.8</v>
      </c>
      <c r="T18" s="46">
        <f t="shared" si="5"/>
        <v>182</v>
      </c>
      <c r="U18" s="44">
        <f t="shared" si="44"/>
        <v>146</v>
      </c>
      <c r="V18" s="16">
        <f t="shared" si="27"/>
        <v>454</v>
      </c>
      <c r="W18" s="45">
        <f t="shared" si="6"/>
        <v>2.85</v>
      </c>
      <c r="X18" s="46">
        <f t="shared" si="7"/>
        <v>180</v>
      </c>
      <c r="Y18" s="46">
        <v>0</v>
      </c>
      <c r="Z18" s="46">
        <v>0</v>
      </c>
      <c r="AA18" s="46">
        <f t="shared" si="8"/>
        <v>180</v>
      </c>
      <c r="AB18" s="46">
        <f t="shared" si="9"/>
        <v>274</v>
      </c>
      <c r="AE18" s="7">
        <f t="shared" si="28"/>
        <v>2029</v>
      </c>
      <c r="AF18" s="46">
        <f t="shared" si="10"/>
        <v>308</v>
      </c>
      <c r="AG18" s="16">
        <f t="shared" si="11"/>
        <v>146</v>
      </c>
      <c r="AH18" s="46">
        <f t="shared" si="41"/>
        <v>454</v>
      </c>
      <c r="AJ18" s="32">
        <f t="shared" si="29"/>
        <v>0</v>
      </c>
      <c r="AK18" s="32">
        <f t="shared" si="29"/>
        <v>0</v>
      </c>
      <c r="AL18" s="32">
        <f t="shared" si="12"/>
        <v>0</v>
      </c>
      <c r="AN18" s="77">
        <f t="shared" si="30"/>
        <v>454</v>
      </c>
      <c r="AQ18" s="7">
        <f t="shared" si="31"/>
        <v>2029</v>
      </c>
      <c r="AR18" s="46">
        <f t="shared" si="13"/>
        <v>308</v>
      </c>
      <c r="AS18" s="46">
        <f t="shared" si="14"/>
        <v>146</v>
      </c>
      <c r="AT18" s="91">
        <f t="shared" si="15"/>
        <v>3.3000000000000002E-2</v>
      </c>
      <c r="AU18" s="16">
        <f>ROUND((IF($C$47+$F$23&gt;$AQ18,$F$27*$F$30,0)+IF($C$48+$G$23&gt;AQ18,$G$27*$G$30,0)+IF($C$49+$H$23&gt;AQ18,$H$27*$H$30,0))*AT18,0)</f>
        <v>0</v>
      </c>
      <c r="AV18" s="53">
        <f t="shared" si="16"/>
        <v>2.214</v>
      </c>
      <c r="AW18" s="46">
        <f t="shared" si="17"/>
        <v>177</v>
      </c>
      <c r="AX18" s="91"/>
      <c r="AY18" s="92"/>
      <c r="AZ18" s="46">
        <f t="shared" si="32"/>
        <v>631</v>
      </c>
      <c r="BA18" s="17"/>
      <c r="BB18" s="46">
        <v>0</v>
      </c>
      <c r="BC18" s="46">
        <v>0</v>
      </c>
      <c r="BD18" s="47">
        <f t="shared" si="33"/>
        <v>0</v>
      </c>
      <c r="BE18" s="46">
        <f t="shared" si="18"/>
        <v>631</v>
      </c>
      <c r="BH18" s="7">
        <f t="shared" si="34"/>
        <v>2029</v>
      </c>
      <c r="BI18" s="46">
        <v>0</v>
      </c>
      <c r="BJ18" s="16">
        <f t="shared" si="19"/>
        <v>80</v>
      </c>
      <c r="BK18" s="87">
        <f t="shared" si="20"/>
        <v>9.4039999999999999</v>
      </c>
      <c r="BL18" s="46">
        <f t="shared" si="46"/>
        <v>752</v>
      </c>
      <c r="BM18" s="87">
        <f t="shared" si="21"/>
        <v>0.152</v>
      </c>
      <c r="BN18" s="16">
        <f t="shared" si="47"/>
        <v>0</v>
      </c>
      <c r="BO18" s="16"/>
      <c r="BP18" s="46">
        <f t="shared" si="22"/>
        <v>752</v>
      </c>
      <c r="BR18" s="46">
        <f t="shared" si="48"/>
        <v>0</v>
      </c>
      <c r="BS18" s="46"/>
      <c r="BT18" s="46">
        <f t="shared" si="35"/>
        <v>752</v>
      </c>
      <c r="BW18" s="7">
        <f t="shared" si="36"/>
        <v>2029</v>
      </c>
      <c r="BX18" s="46">
        <f t="shared" si="23"/>
        <v>308</v>
      </c>
      <c r="BY18" s="16">
        <f t="shared" si="37"/>
        <v>146</v>
      </c>
      <c r="BZ18" s="116">
        <f t="shared" si="38"/>
        <v>0</v>
      </c>
      <c r="CA18" s="46">
        <f t="shared" si="39"/>
        <v>454</v>
      </c>
      <c r="CC18" s="46">
        <f t="shared" si="40"/>
        <v>0</v>
      </c>
      <c r="CD18" s="46">
        <f t="shared" si="40"/>
        <v>0</v>
      </c>
      <c r="CE18" s="46">
        <f t="shared" si="42"/>
        <v>0</v>
      </c>
      <c r="CF18" s="46"/>
      <c r="CG18" s="46">
        <f t="shared" si="49"/>
        <v>454</v>
      </c>
      <c r="DB18" s="5"/>
    </row>
    <row r="19" spans="1:106">
      <c r="C19" s="3"/>
      <c r="J19" s="2">
        <f t="shared" si="24"/>
        <v>5</v>
      </c>
      <c r="L19" s="7">
        <f t="shared" si="25"/>
        <v>2030</v>
      </c>
      <c r="M19" s="16">
        <f t="shared" si="43"/>
        <v>80</v>
      </c>
      <c r="N19" s="53">
        <f>ROUND($C$17*(1+$C$18)^J19,3)</f>
        <v>3.96</v>
      </c>
      <c r="O19" s="32">
        <f>ROUND(M19*N19,0)</f>
        <v>317</v>
      </c>
      <c r="P19" s="53">
        <f t="shared" si="2"/>
        <v>0</v>
      </c>
      <c r="Q19" s="46">
        <f t="shared" si="26"/>
        <v>0</v>
      </c>
      <c r="R19" s="43">
        <f>O19+Q19</f>
        <v>317</v>
      </c>
      <c r="S19" s="42">
        <f>ROUND(M19*$C$23,1)</f>
        <v>0.8</v>
      </c>
      <c r="T19" s="46">
        <f t="shared" si="5"/>
        <v>184</v>
      </c>
      <c r="U19" s="44">
        <f t="shared" si="44"/>
        <v>147</v>
      </c>
      <c r="V19" s="16">
        <f t="shared" si="27"/>
        <v>464</v>
      </c>
      <c r="W19" s="45">
        <f t="shared" si="6"/>
        <v>2.9350000000000001</v>
      </c>
      <c r="X19" s="46">
        <f t="shared" si="7"/>
        <v>185</v>
      </c>
      <c r="Y19" s="46">
        <v>0</v>
      </c>
      <c r="Z19" s="46">
        <v>0</v>
      </c>
      <c r="AA19" s="46">
        <f t="shared" si="8"/>
        <v>185</v>
      </c>
      <c r="AB19" s="46">
        <f t="shared" si="9"/>
        <v>279</v>
      </c>
      <c r="AE19" s="7">
        <f t="shared" si="28"/>
        <v>2030</v>
      </c>
      <c r="AF19" s="46">
        <f t="shared" si="10"/>
        <v>317</v>
      </c>
      <c r="AG19" s="16">
        <f t="shared" si="11"/>
        <v>147</v>
      </c>
      <c r="AH19" s="46">
        <f t="shared" si="41"/>
        <v>464</v>
      </c>
      <c r="AJ19" s="32">
        <f t="shared" si="29"/>
        <v>0</v>
      </c>
      <c r="AK19" s="32">
        <f t="shared" si="29"/>
        <v>0</v>
      </c>
      <c r="AL19" s="32">
        <f t="shared" si="12"/>
        <v>0</v>
      </c>
      <c r="AN19" s="77">
        <f t="shared" si="30"/>
        <v>464</v>
      </c>
      <c r="AQ19" s="7">
        <f t="shared" si="31"/>
        <v>2030</v>
      </c>
      <c r="AR19" s="46">
        <f t="shared" si="13"/>
        <v>317</v>
      </c>
      <c r="AS19" s="46">
        <f t="shared" si="14"/>
        <v>147</v>
      </c>
      <c r="AT19" s="91">
        <f t="shared" si="15"/>
        <v>3.4000000000000002E-2</v>
      </c>
      <c r="AU19" s="16">
        <f t="shared" si="45"/>
        <v>0</v>
      </c>
      <c r="AV19" s="53">
        <f>ROUND($C$33*(1+$C$34)^J19,3)</f>
        <v>2.2509999999999999</v>
      </c>
      <c r="AW19" s="46">
        <f t="shared" si="17"/>
        <v>180</v>
      </c>
      <c r="AX19" s="91"/>
      <c r="AY19" s="92"/>
      <c r="AZ19" s="46">
        <f t="shared" si="32"/>
        <v>644</v>
      </c>
      <c r="BA19" s="17"/>
      <c r="BB19" s="46">
        <v>0</v>
      </c>
      <c r="BC19" s="46">
        <v>0</v>
      </c>
      <c r="BD19" s="47">
        <f t="shared" si="33"/>
        <v>0</v>
      </c>
      <c r="BE19" s="46">
        <f t="shared" si="18"/>
        <v>644</v>
      </c>
      <c r="BH19" s="7">
        <f t="shared" si="34"/>
        <v>2030</v>
      </c>
      <c r="BI19" s="46">
        <v>0</v>
      </c>
      <c r="BJ19" s="16">
        <f t="shared" si="19"/>
        <v>80</v>
      </c>
      <c r="BK19" s="87">
        <f t="shared" si="20"/>
        <v>9.6859999999999999</v>
      </c>
      <c r="BL19" s="46">
        <f t="shared" si="46"/>
        <v>775</v>
      </c>
      <c r="BM19" s="87">
        <f t="shared" si="21"/>
        <v>0.156</v>
      </c>
      <c r="BN19" s="16">
        <f t="shared" si="47"/>
        <v>0</v>
      </c>
      <c r="BO19" s="16"/>
      <c r="BP19" s="46">
        <f t="shared" si="22"/>
        <v>775</v>
      </c>
      <c r="BR19" s="46">
        <f t="shared" si="48"/>
        <v>0</v>
      </c>
      <c r="BS19" s="46"/>
      <c r="BT19" s="46">
        <f t="shared" si="35"/>
        <v>775</v>
      </c>
      <c r="BW19" s="7">
        <f t="shared" si="36"/>
        <v>2030</v>
      </c>
      <c r="BX19" s="46">
        <f t="shared" si="23"/>
        <v>317</v>
      </c>
      <c r="BY19" s="16">
        <f t="shared" si="37"/>
        <v>147</v>
      </c>
      <c r="BZ19" s="116">
        <f t="shared" si="38"/>
        <v>0</v>
      </c>
      <c r="CA19" s="46">
        <f t="shared" si="39"/>
        <v>464</v>
      </c>
      <c r="CC19" s="46">
        <f t="shared" si="40"/>
        <v>0</v>
      </c>
      <c r="CD19" s="46">
        <f t="shared" si="40"/>
        <v>0</v>
      </c>
      <c r="CE19" s="46">
        <f t="shared" si="42"/>
        <v>0</v>
      </c>
      <c r="CF19" s="46"/>
      <c r="CG19" s="46">
        <f t="shared" si="49"/>
        <v>464</v>
      </c>
    </row>
    <row r="20" spans="1:106">
      <c r="A20" s="3" t="s">
        <v>66</v>
      </c>
      <c r="C20" s="20">
        <f>+'Gas Input Table Summary'!$D$14</f>
        <v>175.3</v>
      </c>
      <c r="E20" s="3" t="s">
        <v>67</v>
      </c>
      <c r="F20" s="14">
        <f>+'Gas Input Table Summary'!$D$41</f>
        <v>0</v>
      </c>
      <c r="G20" s="14"/>
      <c r="H20" s="14"/>
      <c r="J20" s="2">
        <f t="shared" si="24"/>
        <v>6</v>
      </c>
      <c r="L20" s="7">
        <f t="shared" si="25"/>
        <v>2031</v>
      </c>
      <c r="M20" s="16">
        <f t="shared" si="43"/>
        <v>80</v>
      </c>
      <c r="N20" s="53">
        <f t="shared" si="0"/>
        <v>4.0789999999999997</v>
      </c>
      <c r="O20" s="32">
        <f t="shared" si="1"/>
        <v>326</v>
      </c>
      <c r="P20" s="53">
        <f t="shared" si="2"/>
        <v>0</v>
      </c>
      <c r="Q20" s="46">
        <f t="shared" si="26"/>
        <v>0</v>
      </c>
      <c r="R20" s="43">
        <f t="shared" si="3"/>
        <v>326</v>
      </c>
      <c r="S20" s="42">
        <f t="shared" si="4"/>
        <v>0.8</v>
      </c>
      <c r="T20" s="46">
        <f t="shared" si="5"/>
        <v>186</v>
      </c>
      <c r="U20" s="44">
        <f t="shared" si="44"/>
        <v>149</v>
      </c>
      <c r="V20" s="16">
        <f t="shared" si="27"/>
        <v>475</v>
      </c>
      <c r="W20" s="45">
        <f t="shared" si="6"/>
        <v>3.0230000000000001</v>
      </c>
      <c r="X20" s="46">
        <f t="shared" si="7"/>
        <v>191</v>
      </c>
      <c r="Y20" s="46">
        <v>0</v>
      </c>
      <c r="Z20" s="46">
        <v>0</v>
      </c>
      <c r="AA20" s="46">
        <f t="shared" si="8"/>
        <v>191</v>
      </c>
      <c r="AB20" s="46">
        <f t="shared" si="9"/>
        <v>284</v>
      </c>
      <c r="AE20" s="7">
        <f t="shared" si="28"/>
        <v>2031</v>
      </c>
      <c r="AF20" s="46">
        <f t="shared" si="10"/>
        <v>326</v>
      </c>
      <c r="AG20" s="16">
        <f t="shared" si="11"/>
        <v>149</v>
      </c>
      <c r="AH20" s="46">
        <f t="shared" si="41"/>
        <v>475</v>
      </c>
      <c r="AJ20" s="32">
        <f t="shared" si="29"/>
        <v>0</v>
      </c>
      <c r="AK20" s="32">
        <f t="shared" si="29"/>
        <v>0</v>
      </c>
      <c r="AL20" s="32">
        <f t="shared" si="12"/>
        <v>0</v>
      </c>
      <c r="AN20" s="77">
        <f t="shared" si="30"/>
        <v>475</v>
      </c>
      <c r="AQ20" s="7">
        <f t="shared" si="31"/>
        <v>2031</v>
      </c>
      <c r="AR20" s="46">
        <f t="shared" si="13"/>
        <v>326</v>
      </c>
      <c r="AS20" s="46">
        <f t="shared" si="14"/>
        <v>149</v>
      </c>
      <c r="AT20" s="91">
        <f t="shared" si="15"/>
        <v>3.5000000000000003E-2</v>
      </c>
      <c r="AU20" s="16">
        <f t="shared" si="45"/>
        <v>0</v>
      </c>
      <c r="AV20" s="53">
        <f t="shared" si="16"/>
        <v>2.2890000000000001</v>
      </c>
      <c r="AW20" s="46">
        <f t="shared" si="17"/>
        <v>183</v>
      </c>
      <c r="AX20" s="91"/>
      <c r="AY20" s="92"/>
      <c r="AZ20" s="46">
        <f t="shared" si="32"/>
        <v>658</v>
      </c>
      <c r="BA20" s="17"/>
      <c r="BB20" s="46">
        <v>0</v>
      </c>
      <c r="BC20" s="46">
        <v>0</v>
      </c>
      <c r="BD20" s="47">
        <f t="shared" si="33"/>
        <v>0</v>
      </c>
      <c r="BE20" s="46">
        <f t="shared" si="18"/>
        <v>658</v>
      </c>
      <c r="BH20" s="7">
        <f t="shared" si="34"/>
        <v>2031</v>
      </c>
      <c r="BI20" s="46">
        <v>0</v>
      </c>
      <c r="BJ20" s="16">
        <f t="shared" si="19"/>
        <v>80</v>
      </c>
      <c r="BK20" s="87">
        <f t="shared" si="20"/>
        <v>9.9760000000000009</v>
      </c>
      <c r="BL20" s="46">
        <f t="shared" si="46"/>
        <v>798</v>
      </c>
      <c r="BM20" s="87">
        <f t="shared" si="21"/>
        <v>0.161</v>
      </c>
      <c r="BN20" s="16">
        <f t="shared" si="47"/>
        <v>0</v>
      </c>
      <c r="BO20" s="16"/>
      <c r="BP20" s="46">
        <f t="shared" si="22"/>
        <v>798</v>
      </c>
      <c r="BR20" s="46">
        <f t="shared" si="48"/>
        <v>0</v>
      </c>
      <c r="BS20" s="46"/>
      <c r="BT20" s="46">
        <f t="shared" si="35"/>
        <v>798</v>
      </c>
      <c r="BW20" s="7">
        <f t="shared" si="36"/>
        <v>2031</v>
      </c>
      <c r="BX20" s="46">
        <f t="shared" si="23"/>
        <v>326</v>
      </c>
      <c r="BY20" s="16">
        <f t="shared" si="37"/>
        <v>149</v>
      </c>
      <c r="BZ20" s="116">
        <f t="shared" si="38"/>
        <v>0</v>
      </c>
      <c r="CA20" s="46">
        <f>SUM(BX20:BZ20)</f>
        <v>475</v>
      </c>
      <c r="CC20" s="46">
        <f t="shared" si="40"/>
        <v>0</v>
      </c>
      <c r="CD20" s="46">
        <f t="shared" si="40"/>
        <v>0</v>
      </c>
      <c r="CE20" s="46">
        <f t="shared" si="42"/>
        <v>0</v>
      </c>
      <c r="CF20" s="46"/>
      <c r="CG20" s="46">
        <f t="shared" si="49"/>
        <v>475</v>
      </c>
      <c r="DB20" s="7"/>
    </row>
    <row r="21" spans="1:106">
      <c r="A21" s="3" t="s">
        <v>18</v>
      </c>
      <c r="C21" s="15">
        <f>+'Gas Input Table Summary'!$D$15</f>
        <v>0.01</v>
      </c>
      <c r="E21" s="2" t="s">
        <v>65</v>
      </c>
      <c r="F21" s="15">
        <f>+'Gas Input Table Summary'!$D$44</f>
        <v>0</v>
      </c>
      <c r="G21" s="15"/>
      <c r="H21" s="15"/>
      <c r="J21" s="2">
        <f t="shared" si="24"/>
        <v>7</v>
      </c>
      <c r="L21" s="7">
        <f t="shared" si="25"/>
        <v>2032</v>
      </c>
      <c r="M21" s="16">
        <f t="shared" si="43"/>
        <v>80</v>
      </c>
      <c r="N21" s="53">
        <f t="shared" si="0"/>
        <v>4.2009999999999996</v>
      </c>
      <c r="O21" s="32">
        <f t="shared" si="1"/>
        <v>336</v>
      </c>
      <c r="P21" s="53">
        <f t="shared" si="2"/>
        <v>0</v>
      </c>
      <c r="Q21" s="46">
        <f t="shared" si="26"/>
        <v>0</v>
      </c>
      <c r="R21" s="43">
        <f t="shared" si="3"/>
        <v>336</v>
      </c>
      <c r="S21" s="42">
        <f t="shared" si="4"/>
        <v>0.8</v>
      </c>
      <c r="T21" s="46">
        <f t="shared" si="5"/>
        <v>188</v>
      </c>
      <c r="U21" s="44">
        <f t="shared" si="44"/>
        <v>150</v>
      </c>
      <c r="V21" s="16">
        <f t="shared" si="27"/>
        <v>486</v>
      </c>
      <c r="W21" s="45">
        <f t="shared" si="6"/>
        <v>3.1139999999999999</v>
      </c>
      <c r="X21" s="46">
        <f t="shared" si="7"/>
        <v>197</v>
      </c>
      <c r="Y21" s="46">
        <v>0</v>
      </c>
      <c r="Z21" s="46">
        <v>0</v>
      </c>
      <c r="AA21" s="46">
        <f t="shared" si="8"/>
        <v>197</v>
      </c>
      <c r="AB21" s="46">
        <f t="shared" si="9"/>
        <v>289</v>
      </c>
      <c r="AE21" s="7">
        <f t="shared" si="28"/>
        <v>2032</v>
      </c>
      <c r="AF21" s="46">
        <f t="shared" si="10"/>
        <v>336</v>
      </c>
      <c r="AG21" s="16">
        <f t="shared" si="11"/>
        <v>150</v>
      </c>
      <c r="AH21" s="46">
        <f t="shared" si="41"/>
        <v>486</v>
      </c>
      <c r="AJ21" s="32">
        <f t="shared" si="29"/>
        <v>0</v>
      </c>
      <c r="AK21" s="32">
        <f t="shared" si="29"/>
        <v>0</v>
      </c>
      <c r="AL21" s="32">
        <f t="shared" si="12"/>
        <v>0</v>
      </c>
      <c r="AN21" s="77">
        <f t="shared" si="30"/>
        <v>486</v>
      </c>
      <c r="AQ21" s="7">
        <f t="shared" si="31"/>
        <v>2032</v>
      </c>
      <c r="AR21" s="46">
        <f t="shared" si="13"/>
        <v>336</v>
      </c>
      <c r="AS21" s="46">
        <f t="shared" si="14"/>
        <v>150</v>
      </c>
      <c r="AT21" s="91">
        <f t="shared" si="15"/>
        <v>3.5999999999999997E-2</v>
      </c>
      <c r="AU21" s="16">
        <f t="shared" si="45"/>
        <v>0</v>
      </c>
      <c r="AV21" s="53">
        <f t="shared" si="16"/>
        <v>2.3279999999999998</v>
      </c>
      <c r="AW21" s="46">
        <f t="shared" si="17"/>
        <v>186</v>
      </c>
      <c r="AX21" s="91"/>
      <c r="AY21" s="92"/>
      <c r="AZ21" s="46">
        <f t="shared" si="32"/>
        <v>672</v>
      </c>
      <c r="BA21" s="17"/>
      <c r="BB21" s="46">
        <v>0</v>
      </c>
      <c r="BC21" s="46">
        <v>0</v>
      </c>
      <c r="BD21" s="47">
        <f t="shared" si="33"/>
        <v>0</v>
      </c>
      <c r="BE21" s="46">
        <f t="shared" si="18"/>
        <v>672</v>
      </c>
      <c r="BH21" s="7">
        <f t="shared" si="34"/>
        <v>2032</v>
      </c>
      <c r="BI21" s="46">
        <v>0</v>
      </c>
      <c r="BJ21" s="16">
        <f t="shared" si="19"/>
        <v>80</v>
      </c>
      <c r="BK21" s="87">
        <f t="shared" si="20"/>
        <v>10.276</v>
      </c>
      <c r="BL21" s="46">
        <f t="shared" si="46"/>
        <v>822</v>
      </c>
      <c r="BM21" s="87">
        <f t="shared" si="21"/>
        <v>0.16600000000000001</v>
      </c>
      <c r="BN21" s="16">
        <f t="shared" si="47"/>
        <v>0</v>
      </c>
      <c r="BO21" s="16"/>
      <c r="BP21" s="46">
        <f t="shared" si="22"/>
        <v>822</v>
      </c>
      <c r="BR21" s="46">
        <f t="shared" si="48"/>
        <v>0</v>
      </c>
      <c r="BS21" s="46"/>
      <c r="BT21" s="46">
        <f t="shared" si="35"/>
        <v>822</v>
      </c>
      <c r="BW21" s="7">
        <f t="shared" si="36"/>
        <v>2032</v>
      </c>
      <c r="BX21" s="46">
        <f t="shared" si="23"/>
        <v>336</v>
      </c>
      <c r="BY21" s="16">
        <f t="shared" si="37"/>
        <v>150</v>
      </c>
      <c r="BZ21" s="116">
        <f t="shared" si="38"/>
        <v>0</v>
      </c>
      <c r="CA21" s="46">
        <f t="shared" si="39"/>
        <v>486</v>
      </c>
      <c r="CC21" s="46">
        <f t="shared" si="40"/>
        <v>0</v>
      </c>
      <c r="CD21" s="46">
        <f t="shared" si="40"/>
        <v>0</v>
      </c>
      <c r="CE21" s="46">
        <f t="shared" si="42"/>
        <v>0</v>
      </c>
      <c r="CF21" s="46"/>
      <c r="CG21" s="46">
        <f t="shared" si="49"/>
        <v>486</v>
      </c>
    </row>
    <row r="22" spans="1:106">
      <c r="F22" s="16"/>
      <c r="G22" s="16"/>
      <c r="H22" s="16"/>
      <c r="J22" s="2">
        <f t="shared" si="24"/>
        <v>8</v>
      </c>
      <c r="L22" s="7">
        <f t="shared" si="25"/>
        <v>2033</v>
      </c>
      <c r="M22" s="16">
        <f t="shared" si="43"/>
        <v>80</v>
      </c>
      <c r="N22" s="53">
        <f t="shared" si="0"/>
        <v>4.327</v>
      </c>
      <c r="O22" s="32">
        <f t="shared" si="1"/>
        <v>346</v>
      </c>
      <c r="P22" s="53">
        <f t="shared" si="2"/>
        <v>0</v>
      </c>
      <c r="Q22" s="46">
        <f t="shared" si="26"/>
        <v>0</v>
      </c>
      <c r="R22" s="43">
        <f t="shared" si="3"/>
        <v>346</v>
      </c>
      <c r="S22" s="42">
        <f t="shared" si="4"/>
        <v>0.8</v>
      </c>
      <c r="T22" s="46">
        <f t="shared" si="5"/>
        <v>190</v>
      </c>
      <c r="U22" s="44">
        <f t="shared" si="44"/>
        <v>152</v>
      </c>
      <c r="V22" s="16">
        <f t="shared" si="27"/>
        <v>498</v>
      </c>
      <c r="W22" s="45">
        <f t="shared" si="6"/>
        <v>3.2069999999999999</v>
      </c>
      <c r="X22" s="46">
        <f t="shared" si="7"/>
        <v>203</v>
      </c>
      <c r="Y22" s="46">
        <v>0</v>
      </c>
      <c r="Z22" s="46">
        <v>0</v>
      </c>
      <c r="AA22" s="46">
        <f t="shared" si="8"/>
        <v>203</v>
      </c>
      <c r="AB22" s="46">
        <f t="shared" si="9"/>
        <v>295</v>
      </c>
      <c r="AE22" s="7">
        <f t="shared" si="28"/>
        <v>2033</v>
      </c>
      <c r="AF22" s="46">
        <f t="shared" si="10"/>
        <v>346</v>
      </c>
      <c r="AG22" s="16">
        <f t="shared" si="11"/>
        <v>152</v>
      </c>
      <c r="AH22" s="46">
        <f t="shared" si="41"/>
        <v>498</v>
      </c>
      <c r="AJ22" s="32">
        <f t="shared" si="29"/>
        <v>0</v>
      </c>
      <c r="AK22" s="32">
        <f t="shared" si="29"/>
        <v>0</v>
      </c>
      <c r="AL22" s="32">
        <f t="shared" si="12"/>
        <v>0</v>
      </c>
      <c r="AN22" s="77">
        <f t="shared" si="30"/>
        <v>498</v>
      </c>
      <c r="AQ22" s="7">
        <f t="shared" si="31"/>
        <v>2033</v>
      </c>
      <c r="AR22" s="46">
        <f t="shared" si="13"/>
        <v>346</v>
      </c>
      <c r="AS22" s="46">
        <f t="shared" si="14"/>
        <v>152</v>
      </c>
      <c r="AT22" s="91">
        <f t="shared" si="15"/>
        <v>3.6999999999999998E-2</v>
      </c>
      <c r="AU22" s="16">
        <f t="shared" si="45"/>
        <v>0</v>
      </c>
      <c r="AV22" s="53">
        <f t="shared" si="16"/>
        <v>2.367</v>
      </c>
      <c r="AW22" s="46">
        <f t="shared" si="17"/>
        <v>189</v>
      </c>
      <c r="AX22" s="91"/>
      <c r="AY22" s="92"/>
      <c r="AZ22" s="46">
        <f t="shared" si="32"/>
        <v>687</v>
      </c>
      <c r="BA22" s="17"/>
      <c r="BB22" s="46">
        <v>0</v>
      </c>
      <c r="BC22" s="46">
        <v>0</v>
      </c>
      <c r="BD22" s="47">
        <f t="shared" si="33"/>
        <v>0</v>
      </c>
      <c r="BE22" s="46">
        <f t="shared" si="18"/>
        <v>687</v>
      </c>
      <c r="BH22" s="7">
        <f t="shared" si="34"/>
        <v>2033</v>
      </c>
      <c r="BI22" s="46">
        <v>0</v>
      </c>
      <c r="BJ22" s="16">
        <f t="shared" si="19"/>
        <v>80</v>
      </c>
      <c r="BK22" s="87">
        <f t="shared" si="20"/>
        <v>10.584</v>
      </c>
      <c r="BL22" s="46">
        <f t="shared" si="46"/>
        <v>847</v>
      </c>
      <c r="BM22" s="87">
        <f t="shared" si="21"/>
        <v>0.17100000000000001</v>
      </c>
      <c r="BN22" s="16">
        <f t="shared" si="47"/>
        <v>0</v>
      </c>
      <c r="BO22" s="16"/>
      <c r="BP22" s="46">
        <f t="shared" si="22"/>
        <v>847</v>
      </c>
      <c r="BR22" s="46">
        <f t="shared" si="48"/>
        <v>0</v>
      </c>
      <c r="BS22" s="46"/>
      <c r="BT22" s="46">
        <f t="shared" si="35"/>
        <v>847</v>
      </c>
      <c r="BW22" s="7">
        <f t="shared" si="36"/>
        <v>2033</v>
      </c>
      <c r="BX22" s="46">
        <f t="shared" si="23"/>
        <v>346</v>
      </c>
      <c r="BY22" s="16">
        <f t="shared" si="37"/>
        <v>152</v>
      </c>
      <c r="BZ22" s="116">
        <f t="shared" si="38"/>
        <v>0</v>
      </c>
      <c r="CA22" s="46">
        <f t="shared" si="39"/>
        <v>498</v>
      </c>
      <c r="CC22" s="46">
        <f t="shared" si="40"/>
        <v>0</v>
      </c>
      <c r="CD22" s="46">
        <f t="shared" si="40"/>
        <v>0</v>
      </c>
      <c r="CE22" s="46">
        <f t="shared" si="42"/>
        <v>0</v>
      </c>
      <c r="CF22" s="46"/>
      <c r="CG22" s="46">
        <f t="shared" si="49"/>
        <v>498</v>
      </c>
    </row>
    <row r="23" spans="1:106">
      <c r="A23" s="3" t="s">
        <v>68</v>
      </c>
      <c r="C23" s="21">
        <f>+'Gas Input Table Summary'!$D$16</f>
        <v>0.01</v>
      </c>
      <c r="E23" s="3" t="s">
        <v>69</v>
      </c>
      <c r="F23" s="138">
        <f>ROUND('Database Inputs'!D12,0)</f>
        <v>10</v>
      </c>
      <c r="G23" s="132"/>
      <c r="H23" s="132"/>
      <c r="J23" s="2">
        <f t="shared" si="24"/>
        <v>9</v>
      </c>
      <c r="L23" s="7">
        <f t="shared" si="25"/>
        <v>2034</v>
      </c>
      <c r="M23" s="16">
        <f t="shared" si="43"/>
        <v>80</v>
      </c>
      <c r="N23" s="53">
        <f t="shared" si="0"/>
        <v>4.4569999999999999</v>
      </c>
      <c r="O23" s="32">
        <f t="shared" si="1"/>
        <v>357</v>
      </c>
      <c r="P23" s="53">
        <f t="shared" si="2"/>
        <v>0</v>
      </c>
      <c r="Q23" s="46">
        <f t="shared" si="26"/>
        <v>0</v>
      </c>
      <c r="R23" s="43">
        <f t="shared" si="3"/>
        <v>357</v>
      </c>
      <c r="S23" s="42">
        <f t="shared" si="4"/>
        <v>0.8</v>
      </c>
      <c r="T23" s="46">
        <f t="shared" si="5"/>
        <v>192</v>
      </c>
      <c r="U23" s="44">
        <f t="shared" si="44"/>
        <v>154</v>
      </c>
      <c r="V23" s="16">
        <f t="shared" si="27"/>
        <v>511</v>
      </c>
      <c r="W23" s="45">
        <f t="shared" si="6"/>
        <v>3.3039999999999998</v>
      </c>
      <c r="X23" s="46">
        <f t="shared" si="7"/>
        <v>209</v>
      </c>
      <c r="Y23" s="46">
        <v>0</v>
      </c>
      <c r="Z23" s="46">
        <v>0</v>
      </c>
      <c r="AA23" s="46">
        <f t="shared" si="8"/>
        <v>209</v>
      </c>
      <c r="AB23" s="46">
        <f t="shared" si="9"/>
        <v>302</v>
      </c>
      <c r="AE23" s="7">
        <f t="shared" si="28"/>
        <v>2034</v>
      </c>
      <c r="AF23" s="46">
        <f t="shared" si="10"/>
        <v>357</v>
      </c>
      <c r="AG23" s="16">
        <f t="shared" si="11"/>
        <v>154</v>
      </c>
      <c r="AH23" s="46">
        <f t="shared" si="41"/>
        <v>511</v>
      </c>
      <c r="AJ23" s="32">
        <f t="shared" si="29"/>
        <v>0</v>
      </c>
      <c r="AK23" s="32">
        <f t="shared" si="29"/>
        <v>0</v>
      </c>
      <c r="AL23" s="32">
        <f t="shared" si="12"/>
        <v>0</v>
      </c>
      <c r="AN23" s="77">
        <f t="shared" si="30"/>
        <v>511</v>
      </c>
      <c r="AQ23" s="7">
        <f t="shared" si="31"/>
        <v>2034</v>
      </c>
      <c r="AR23" s="46">
        <f t="shared" si="13"/>
        <v>357</v>
      </c>
      <c r="AS23" s="46">
        <f t="shared" si="14"/>
        <v>154</v>
      </c>
      <c r="AT23" s="91">
        <f t="shared" si="15"/>
        <v>3.9E-2</v>
      </c>
      <c r="AU23" s="16">
        <f t="shared" si="45"/>
        <v>0</v>
      </c>
      <c r="AV23" s="53">
        <f t="shared" si="16"/>
        <v>2.407</v>
      </c>
      <c r="AW23" s="46">
        <f t="shared" si="17"/>
        <v>193</v>
      </c>
      <c r="AX23" s="91"/>
      <c r="AY23" s="92"/>
      <c r="AZ23" s="46">
        <f t="shared" si="32"/>
        <v>704</v>
      </c>
      <c r="BA23" s="17"/>
      <c r="BB23" s="46">
        <v>0</v>
      </c>
      <c r="BC23" s="46">
        <v>0</v>
      </c>
      <c r="BD23" s="47">
        <f t="shared" si="33"/>
        <v>0</v>
      </c>
      <c r="BE23" s="46">
        <f t="shared" si="18"/>
        <v>704</v>
      </c>
      <c r="BH23" s="7">
        <f t="shared" si="34"/>
        <v>2034</v>
      </c>
      <c r="BI23" s="46">
        <v>0</v>
      </c>
      <c r="BJ23" s="16">
        <f t="shared" si="19"/>
        <v>80</v>
      </c>
      <c r="BK23" s="87">
        <f t="shared" si="20"/>
        <v>10.901</v>
      </c>
      <c r="BL23" s="46">
        <f t="shared" si="46"/>
        <v>872</v>
      </c>
      <c r="BM23" s="87">
        <f t="shared" si="21"/>
        <v>0.17599999999999999</v>
      </c>
      <c r="BN23" s="16">
        <f t="shared" si="47"/>
        <v>0</v>
      </c>
      <c r="BO23" s="16"/>
      <c r="BP23" s="46">
        <f t="shared" si="22"/>
        <v>872</v>
      </c>
      <c r="BR23" s="46">
        <f t="shared" si="48"/>
        <v>0</v>
      </c>
      <c r="BS23" s="46"/>
      <c r="BT23" s="46">
        <f t="shared" si="35"/>
        <v>872</v>
      </c>
      <c r="BW23" s="7">
        <f t="shared" si="36"/>
        <v>2034</v>
      </c>
      <c r="BX23" s="46">
        <f t="shared" si="23"/>
        <v>357</v>
      </c>
      <c r="BY23" s="16">
        <f t="shared" si="37"/>
        <v>154</v>
      </c>
      <c r="BZ23" s="116">
        <f t="shared" si="38"/>
        <v>0</v>
      </c>
      <c r="CA23" s="46">
        <f t="shared" si="39"/>
        <v>511</v>
      </c>
      <c r="CC23" s="46">
        <f t="shared" si="40"/>
        <v>0</v>
      </c>
      <c r="CD23" s="46">
        <f t="shared" si="40"/>
        <v>0</v>
      </c>
      <c r="CE23" s="46">
        <f t="shared" si="42"/>
        <v>0</v>
      </c>
      <c r="CF23" s="46"/>
      <c r="CG23" s="46">
        <f t="shared" si="49"/>
        <v>511</v>
      </c>
    </row>
    <row r="24" spans="1:106">
      <c r="F24" s="250"/>
      <c r="G24" s="16"/>
      <c r="H24" s="16"/>
      <c r="J24" s="2">
        <f t="shared" si="24"/>
        <v>10</v>
      </c>
      <c r="L24" s="7">
        <f t="shared" si="25"/>
        <v>2035</v>
      </c>
      <c r="M24" s="16">
        <f>ROUND(IF($C$47+$F$23&gt;L24,$F$25*$F$30,0)+IF($C$48+$G$23&gt;L24,$G$25*$G$30,0)+IF($C$49+$H$23&gt;L24,$H$25*$H$30,0),0)</f>
        <v>0</v>
      </c>
      <c r="N24" s="53">
        <f t="shared" si="0"/>
        <v>4.5910000000000002</v>
      </c>
      <c r="O24" s="32">
        <f t="shared" si="1"/>
        <v>0</v>
      </c>
      <c r="P24" s="53">
        <f t="shared" si="2"/>
        <v>0</v>
      </c>
      <c r="Q24" s="46">
        <f t="shared" si="26"/>
        <v>0</v>
      </c>
      <c r="R24" s="43">
        <f t="shared" si="3"/>
        <v>0</v>
      </c>
      <c r="S24" s="42">
        <f t="shared" si="4"/>
        <v>0</v>
      </c>
      <c r="T24" s="46">
        <f t="shared" si="5"/>
        <v>194</v>
      </c>
      <c r="U24" s="44">
        <f t="shared" si="44"/>
        <v>0</v>
      </c>
      <c r="V24" s="16">
        <f t="shared" si="27"/>
        <v>0</v>
      </c>
      <c r="W24" s="45">
        <f t="shared" si="6"/>
        <v>3.403</v>
      </c>
      <c r="X24" s="46">
        <f t="shared" si="7"/>
        <v>0</v>
      </c>
      <c r="Y24" s="46">
        <v>0</v>
      </c>
      <c r="Z24" s="46">
        <v>0</v>
      </c>
      <c r="AA24" s="46">
        <f t="shared" si="8"/>
        <v>0</v>
      </c>
      <c r="AB24" s="46">
        <f t="shared" si="9"/>
        <v>0</v>
      </c>
      <c r="AE24" s="7">
        <f t="shared" si="28"/>
        <v>2035</v>
      </c>
      <c r="AF24" s="46">
        <f t="shared" si="10"/>
        <v>0</v>
      </c>
      <c r="AG24" s="16">
        <f t="shared" si="11"/>
        <v>0</v>
      </c>
      <c r="AH24" s="46">
        <f t="shared" si="41"/>
        <v>0</v>
      </c>
      <c r="AJ24" s="32">
        <f t="shared" si="29"/>
        <v>0</v>
      </c>
      <c r="AK24" s="32">
        <f t="shared" si="29"/>
        <v>0</v>
      </c>
      <c r="AL24" s="32">
        <f t="shared" si="12"/>
        <v>0</v>
      </c>
      <c r="AN24" s="77">
        <f t="shared" si="30"/>
        <v>0</v>
      </c>
      <c r="AQ24" s="7">
        <f t="shared" si="31"/>
        <v>2035</v>
      </c>
      <c r="AR24" s="46">
        <f t="shared" si="13"/>
        <v>0</v>
      </c>
      <c r="AS24" s="46">
        <f t="shared" si="14"/>
        <v>0</v>
      </c>
      <c r="AT24" s="91">
        <f t="shared" si="15"/>
        <v>0.04</v>
      </c>
      <c r="AU24" s="16">
        <f t="shared" si="45"/>
        <v>0</v>
      </c>
      <c r="AV24" s="53">
        <f t="shared" si="16"/>
        <v>2.448</v>
      </c>
      <c r="AW24" s="46">
        <f t="shared" si="17"/>
        <v>0</v>
      </c>
      <c r="AX24" s="91"/>
      <c r="AY24" s="92"/>
      <c r="AZ24" s="46">
        <f t="shared" si="32"/>
        <v>0</v>
      </c>
      <c r="BA24" s="17"/>
      <c r="BB24" s="46">
        <v>0</v>
      </c>
      <c r="BC24" s="46">
        <v>0</v>
      </c>
      <c r="BD24" s="47">
        <f t="shared" si="33"/>
        <v>0</v>
      </c>
      <c r="BE24" s="46">
        <f t="shared" si="18"/>
        <v>0</v>
      </c>
      <c r="BH24" s="7">
        <f t="shared" si="34"/>
        <v>2035</v>
      </c>
      <c r="BI24" s="46">
        <v>0</v>
      </c>
      <c r="BJ24" s="16">
        <f t="shared" si="19"/>
        <v>0</v>
      </c>
      <c r="BK24" s="87">
        <f t="shared" si="20"/>
        <v>11.228</v>
      </c>
      <c r="BL24" s="46">
        <f t="shared" si="46"/>
        <v>0</v>
      </c>
      <c r="BM24" s="87">
        <f t="shared" si="21"/>
        <v>0.18099999999999999</v>
      </c>
      <c r="BN24" s="16">
        <f t="shared" si="47"/>
        <v>0</v>
      </c>
      <c r="BO24" s="16"/>
      <c r="BP24" s="46">
        <f t="shared" si="22"/>
        <v>0</v>
      </c>
      <c r="BR24" s="46">
        <f t="shared" si="48"/>
        <v>0</v>
      </c>
      <c r="BS24" s="46"/>
      <c r="BT24" s="46">
        <f t="shared" si="35"/>
        <v>0</v>
      </c>
      <c r="BW24" s="7">
        <f t="shared" si="36"/>
        <v>2035</v>
      </c>
      <c r="BX24" s="46">
        <f t="shared" si="23"/>
        <v>0</v>
      </c>
      <c r="BY24" s="16">
        <f t="shared" si="37"/>
        <v>0</v>
      </c>
      <c r="BZ24" s="116">
        <f t="shared" si="38"/>
        <v>0</v>
      </c>
      <c r="CA24" s="46">
        <f t="shared" si="39"/>
        <v>0</v>
      </c>
      <c r="CC24" s="46">
        <f t="shared" si="40"/>
        <v>0</v>
      </c>
      <c r="CD24" s="46">
        <f t="shared" si="40"/>
        <v>0</v>
      </c>
      <c r="CE24" s="46">
        <f t="shared" si="42"/>
        <v>0</v>
      </c>
      <c r="CF24" s="46"/>
      <c r="CG24" s="46">
        <f t="shared" si="49"/>
        <v>0</v>
      </c>
    </row>
    <row r="25" spans="1:106">
      <c r="A25" s="130" t="s">
        <v>106</v>
      </c>
      <c r="C25" s="11">
        <f>+'Gas Input Table Summary'!$D$17</f>
        <v>0</v>
      </c>
      <c r="E25" s="119" t="s">
        <v>102</v>
      </c>
      <c r="F25" s="139">
        <f>+ROUND(F32/F30,3)</f>
        <v>2.286</v>
      </c>
      <c r="G25" s="133"/>
      <c r="H25" s="133"/>
      <c r="J25" s="2">
        <f t="shared" si="24"/>
        <v>11</v>
      </c>
      <c r="L25" s="7">
        <f t="shared" si="25"/>
        <v>2036</v>
      </c>
      <c r="M25" s="16">
        <f>ROUND(IF($C$47+$F$23&gt;L25,$F$25*$F$30,0)+IF($C$48+$G$23&gt;L25,$G$25*$G$30,0)+IF($C$49+$H$23&gt;L25,$H$25*$H$30,0),0)</f>
        <v>0</v>
      </c>
      <c r="N25" s="53">
        <f>ROUND($C$17*(1+$C$18)^J25,3)</f>
        <v>4.7290000000000001</v>
      </c>
      <c r="O25" s="32">
        <f>ROUND(M25*N25,0)</f>
        <v>0</v>
      </c>
      <c r="P25" s="53">
        <f t="shared" si="2"/>
        <v>0</v>
      </c>
      <c r="Q25" s="46">
        <f t="shared" si="26"/>
        <v>0</v>
      </c>
      <c r="R25" s="43">
        <f t="shared" si="3"/>
        <v>0</v>
      </c>
      <c r="S25" s="42">
        <f>ROUND(M25*$C$23,1)</f>
        <v>0</v>
      </c>
      <c r="T25" s="46">
        <f>ROUND($C$20*(1+$C$21)^J25,0)</f>
        <v>196</v>
      </c>
      <c r="U25" s="44">
        <f t="shared" si="44"/>
        <v>0</v>
      </c>
      <c r="V25" s="16">
        <f t="shared" si="27"/>
        <v>0</v>
      </c>
      <c r="W25" s="45">
        <f t="shared" si="6"/>
        <v>3.5049999999999999</v>
      </c>
      <c r="X25" s="46">
        <f t="shared" si="7"/>
        <v>0</v>
      </c>
      <c r="Y25" s="46">
        <v>0</v>
      </c>
      <c r="Z25" s="46">
        <v>0</v>
      </c>
      <c r="AA25" s="46">
        <f t="shared" si="8"/>
        <v>0</v>
      </c>
      <c r="AB25" s="46">
        <f t="shared" si="9"/>
        <v>0</v>
      </c>
      <c r="AE25" s="7">
        <f t="shared" si="28"/>
        <v>2036</v>
      </c>
      <c r="AF25" s="46">
        <f t="shared" si="10"/>
        <v>0</v>
      </c>
      <c r="AG25" s="16">
        <f t="shared" si="11"/>
        <v>0</v>
      </c>
      <c r="AH25" s="46">
        <f t="shared" si="41"/>
        <v>0</v>
      </c>
      <c r="AJ25" s="32">
        <f t="shared" si="29"/>
        <v>0</v>
      </c>
      <c r="AK25" s="32">
        <f t="shared" si="29"/>
        <v>0</v>
      </c>
      <c r="AL25" s="32">
        <f t="shared" si="12"/>
        <v>0</v>
      </c>
      <c r="AN25" s="77">
        <f t="shared" si="30"/>
        <v>0</v>
      </c>
      <c r="AQ25" s="7">
        <f t="shared" si="31"/>
        <v>2036</v>
      </c>
      <c r="AR25" s="46">
        <f t="shared" si="13"/>
        <v>0</v>
      </c>
      <c r="AS25" s="46">
        <f t="shared" si="14"/>
        <v>0</v>
      </c>
      <c r="AT25" s="91">
        <f t="shared" si="15"/>
        <v>4.1000000000000002E-2</v>
      </c>
      <c r="AU25" s="16">
        <f t="shared" si="45"/>
        <v>0</v>
      </c>
      <c r="AV25" s="53">
        <f t="shared" si="16"/>
        <v>2.4889999999999999</v>
      </c>
      <c r="AW25" s="46">
        <f t="shared" si="17"/>
        <v>0</v>
      </c>
      <c r="AX25" s="91"/>
      <c r="AY25" s="92"/>
      <c r="AZ25" s="46">
        <f t="shared" si="32"/>
        <v>0</v>
      </c>
      <c r="BA25" s="17"/>
      <c r="BB25" s="46">
        <v>0</v>
      </c>
      <c r="BC25" s="46">
        <v>0</v>
      </c>
      <c r="BD25" s="47">
        <f t="shared" si="33"/>
        <v>0</v>
      </c>
      <c r="BE25" s="46">
        <f t="shared" si="18"/>
        <v>0</v>
      </c>
      <c r="BH25" s="7">
        <f t="shared" si="34"/>
        <v>2036</v>
      </c>
      <c r="BI25" s="46">
        <v>0</v>
      </c>
      <c r="BJ25" s="16">
        <f t="shared" si="19"/>
        <v>0</v>
      </c>
      <c r="BK25" s="87">
        <f t="shared" si="20"/>
        <v>11.565</v>
      </c>
      <c r="BL25" s="46">
        <f t="shared" si="46"/>
        <v>0</v>
      </c>
      <c r="BM25" s="87">
        <f t="shared" si="21"/>
        <v>0.187</v>
      </c>
      <c r="BN25" s="16">
        <f t="shared" si="47"/>
        <v>0</v>
      </c>
      <c r="BO25" s="16"/>
      <c r="BP25" s="46">
        <f t="shared" si="22"/>
        <v>0</v>
      </c>
      <c r="BR25" s="46">
        <f t="shared" si="48"/>
        <v>0</v>
      </c>
      <c r="BS25" s="46"/>
      <c r="BT25" s="46">
        <f t="shared" si="35"/>
        <v>0</v>
      </c>
      <c r="BW25" s="7">
        <f t="shared" si="36"/>
        <v>2036</v>
      </c>
      <c r="BX25" s="46">
        <f t="shared" si="23"/>
        <v>0</v>
      </c>
      <c r="BY25" s="16">
        <f t="shared" si="37"/>
        <v>0</v>
      </c>
      <c r="BZ25" s="116">
        <f t="shared" si="38"/>
        <v>0</v>
      </c>
      <c r="CA25" s="46">
        <f t="shared" si="39"/>
        <v>0</v>
      </c>
      <c r="CC25" s="46">
        <f t="shared" si="40"/>
        <v>0</v>
      </c>
      <c r="CD25" s="46">
        <f t="shared" si="40"/>
        <v>0</v>
      </c>
      <c r="CE25" s="46">
        <f t="shared" si="42"/>
        <v>0</v>
      </c>
      <c r="CF25" s="46"/>
      <c r="CG25" s="46">
        <f t="shared" si="49"/>
        <v>0</v>
      </c>
    </row>
    <row r="26" spans="1:106">
      <c r="A26" s="3" t="s">
        <v>18</v>
      </c>
      <c r="C26" s="15">
        <f>+'Gas Input Table Summary'!$D$18</f>
        <v>0</v>
      </c>
      <c r="F26" s="250"/>
      <c r="G26" s="16"/>
      <c r="H26" s="16"/>
      <c r="J26" s="2">
        <f t="shared" si="24"/>
        <v>12</v>
      </c>
      <c r="L26" s="7">
        <f t="shared" si="25"/>
        <v>2037</v>
      </c>
      <c r="M26" s="16">
        <f t="shared" si="43"/>
        <v>0</v>
      </c>
      <c r="N26" s="53">
        <f t="shared" si="0"/>
        <v>4.87</v>
      </c>
      <c r="O26" s="32">
        <f t="shared" si="1"/>
        <v>0</v>
      </c>
      <c r="P26" s="53">
        <f t="shared" si="2"/>
        <v>0</v>
      </c>
      <c r="Q26" s="46">
        <f t="shared" si="26"/>
        <v>0</v>
      </c>
      <c r="R26" s="43">
        <f t="shared" si="3"/>
        <v>0</v>
      </c>
      <c r="S26" s="42">
        <f t="shared" si="4"/>
        <v>0</v>
      </c>
      <c r="T26" s="46">
        <f t="shared" si="5"/>
        <v>198</v>
      </c>
      <c r="U26" s="44">
        <f t="shared" si="44"/>
        <v>0</v>
      </c>
      <c r="V26" s="16">
        <f t="shared" si="27"/>
        <v>0</v>
      </c>
      <c r="W26" s="45">
        <f t="shared" si="6"/>
        <v>3.61</v>
      </c>
      <c r="X26" s="46">
        <f t="shared" si="7"/>
        <v>0</v>
      </c>
      <c r="Y26" s="46">
        <v>0</v>
      </c>
      <c r="Z26" s="46">
        <v>0</v>
      </c>
      <c r="AA26" s="46">
        <f t="shared" si="8"/>
        <v>0</v>
      </c>
      <c r="AB26" s="46">
        <f t="shared" si="9"/>
        <v>0</v>
      </c>
      <c r="AE26" s="7">
        <f t="shared" si="28"/>
        <v>2037</v>
      </c>
      <c r="AF26" s="46">
        <f t="shared" si="10"/>
        <v>0</v>
      </c>
      <c r="AG26" s="16">
        <f t="shared" si="11"/>
        <v>0</v>
      </c>
      <c r="AH26" s="46">
        <f t="shared" si="41"/>
        <v>0</v>
      </c>
      <c r="AJ26" s="32">
        <f t="shared" si="29"/>
        <v>0</v>
      </c>
      <c r="AK26" s="32">
        <f t="shared" si="29"/>
        <v>0</v>
      </c>
      <c r="AL26" s="32">
        <f t="shared" si="12"/>
        <v>0</v>
      </c>
      <c r="AN26" s="77">
        <f t="shared" si="30"/>
        <v>0</v>
      </c>
      <c r="AQ26" s="7">
        <f t="shared" si="31"/>
        <v>2037</v>
      </c>
      <c r="AR26" s="46">
        <f t="shared" si="13"/>
        <v>0</v>
      </c>
      <c r="AS26" s="46">
        <f t="shared" si="14"/>
        <v>0</v>
      </c>
      <c r="AT26" s="91">
        <f t="shared" si="15"/>
        <v>4.2000000000000003E-2</v>
      </c>
      <c r="AU26" s="16">
        <f t="shared" si="45"/>
        <v>0</v>
      </c>
      <c r="AV26" s="53">
        <f t="shared" si="16"/>
        <v>2.5310000000000001</v>
      </c>
      <c r="AW26" s="46">
        <f t="shared" si="17"/>
        <v>0</v>
      </c>
      <c r="AX26" s="91"/>
      <c r="AY26" s="92"/>
      <c r="AZ26" s="46">
        <f t="shared" si="32"/>
        <v>0</v>
      </c>
      <c r="BA26" s="17"/>
      <c r="BB26" s="46">
        <v>0</v>
      </c>
      <c r="BC26" s="46">
        <v>0</v>
      </c>
      <c r="BD26" s="47">
        <f t="shared" si="33"/>
        <v>0</v>
      </c>
      <c r="BE26" s="46">
        <f t="shared" si="18"/>
        <v>0</v>
      </c>
      <c r="BH26" s="7">
        <f t="shared" si="34"/>
        <v>2037</v>
      </c>
      <c r="BI26" s="46">
        <v>0</v>
      </c>
      <c r="BJ26" s="16">
        <f t="shared" si="19"/>
        <v>0</v>
      </c>
      <c r="BK26" s="87">
        <f t="shared" si="20"/>
        <v>11.912000000000001</v>
      </c>
      <c r="BL26" s="46">
        <f t="shared" si="46"/>
        <v>0</v>
      </c>
      <c r="BM26" s="87">
        <f t="shared" si="21"/>
        <v>0.192</v>
      </c>
      <c r="BN26" s="16">
        <f t="shared" si="47"/>
        <v>0</v>
      </c>
      <c r="BO26" s="16"/>
      <c r="BP26" s="46">
        <f t="shared" si="22"/>
        <v>0</v>
      </c>
      <c r="BR26" s="46">
        <f t="shared" si="48"/>
        <v>0</v>
      </c>
      <c r="BS26" s="46"/>
      <c r="BT26" s="46">
        <f t="shared" si="35"/>
        <v>0</v>
      </c>
      <c r="BW26" s="7">
        <f t="shared" si="36"/>
        <v>2037</v>
      </c>
      <c r="BX26" s="46">
        <f t="shared" si="23"/>
        <v>0</v>
      </c>
      <c r="BY26" s="16">
        <f t="shared" si="37"/>
        <v>0</v>
      </c>
      <c r="BZ26" s="116">
        <f t="shared" si="38"/>
        <v>0</v>
      </c>
      <c r="CA26" s="46">
        <f t="shared" si="39"/>
        <v>0</v>
      </c>
      <c r="CC26" s="46">
        <f t="shared" si="40"/>
        <v>0</v>
      </c>
      <c r="CD26" s="46">
        <f t="shared" si="40"/>
        <v>0</v>
      </c>
      <c r="CE26" s="46">
        <f t="shared" si="42"/>
        <v>0</v>
      </c>
      <c r="CF26" s="46"/>
      <c r="CG26" s="46">
        <f t="shared" si="49"/>
        <v>0</v>
      </c>
    </row>
    <row r="27" spans="1:106">
      <c r="A27" s="3"/>
      <c r="C27" s="15"/>
      <c r="E27" s="3" t="s">
        <v>70</v>
      </c>
      <c r="F27" s="250">
        <f>+'Database Inputs'!H12</f>
        <v>0</v>
      </c>
      <c r="G27" s="142"/>
      <c r="H27" s="142"/>
      <c r="J27" s="2">
        <f t="shared" si="24"/>
        <v>13</v>
      </c>
      <c r="L27" s="7">
        <f t="shared" si="25"/>
        <v>2038</v>
      </c>
      <c r="M27" s="16">
        <f t="shared" si="43"/>
        <v>0</v>
      </c>
      <c r="N27" s="53">
        <f>ROUND($C$17*(1+$C$18)^J27,3)</f>
        <v>5.0170000000000003</v>
      </c>
      <c r="O27" s="32">
        <f t="shared" si="1"/>
        <v>0</v>
      </c>
      <c r="P27" s="53">
        <f t="shared" si="2"/>
        <v>0</v>
      </c>
      <c r="Q27" s="46">
        <f t="shared" si="26"/>
        <v>0</v>
      </c>
      <c r="R27" s="43">
        <f t="shared" si="3"/>
        <v>0</v>
      </c>
      <c r="S27" s="42">
        <f t="shared" si="4"/>
        <v>0</v>
      </c>
      <c r="T27" s="46">
        <f t="shared" si="5"/>
        <v>200</v>
      </c>
      <c r="U27" s="44">
        <f t="shared" si="44"/>
        <v>0</v>
      </c>
      <c r="V27" s="16">
        <f t="shared" si="27"/>
        <v>0</v>
      </c>
      <c r="W27" s="45">
        <f t="shared" si="6"/>
        <v>3.718</v>
      </c>
      <c r="X27" s="46">
        <f t="shared" si="7"/>
        <v>0</v>
      </c>
      <c r="Y27" s="46">
        <v>0</v>
      </c>
      <c r="Z27" s="46">
        <v>0</v>
      </c>
      <c r="AA27" s="46">
        <f t="shared" si="8"/>
        <v>0</v>
      </c>
      <c r="AB27" s="46">
        <f t="shared" si="9"/>
        <v>0</v>
      </c>
      <c r="AE27" s="7">
        <f t="shared" si="28"/>
        <v>2038</v>
      </c>
      <c r="AF27" s="46">
        <f t="shared" si="10"/>
        <v>0</v>
      </c>
      <c r="AG27" s="16">
        <f t="shared" si="11"/>
        <v>0</v>
      </c>
      <c r="AH27" s="46">
        <f t="shared" si="41"/>
        <v>0</v>
      </c>
      <c r="AJ27" s="32">
        <f t="shared" si="29"/>
        <v>0</v>
      </c>
      <c r="AK27" s="32">
        <f t="shared" si="29"/>
        <v>0</v>
      </c>
      <c r="AL27" s="32">
        <f t="shared" si="12"/>
        <v>0</v>
      </c>
      <c r="AN27" s="77">
        <f t="shared" si="30"/>
        <v>0</v>
      </c>
      <c r="AQ27" s="7">
        <f t="shared" si="31"/>
        <v>2038</v>
      </c>
      <c r="AR27" s="46">
        <f t="shared" si="13"/>
        <v>0</v>
      </c>
      <c r="AS27" s="46">
        <f t="shared" si="14"/>
        <v>0</v>
      </c>
      <c r="AT27" s="91">
        <f t="shared" si="15"/>
        <v>4.2999999999999997E-2</v>
      </c>
      <c r="AU27" s="16">
        <f t="shared" si="45"/>
        <v>0</v>
      </c>
      <c r="AV27" s="53">
        <f t="shared" si="16"/>
        <v>2.5739999999999998</v>
      </c>
      <c r="AW27" s="46">
        <f t="shared" si="17"/>
        <v>0</v>
      </c>
      <c r="AX27" s="91"/>
      <c r="AY27" s="92"/>
      <c r="AZ27" s="46">
        <f t="shared" si="32"/>
        <v>0</v>
      </c>
      <c r="BA27" s="17"/>
      <c r="BB27" s="46">
        <v>0</v>
      </c>
      <c r="BC27" s="46">
        <v>0</v>
      </c>
      <c r="BD27" s="47">
        <f t="shared" si="33"/>
        <v>0</v>
      </c>
      <c r="BE27" s="46">
        <f t="shared" si="18"/>
        <v>0</v>
      </c>
      <c r="BH27" s="7">
        <f t="shared" si="34"/>
        <v>2038</v>
      </c>
      <c r="BI27" s="46">
        <v>0</v>
      </c>
      <c r="BJ27" s="16">
        <f t="shared" si="19"/>
        <v>0</v>
      </c>
      <c r="BK27" s="87">
        <f t="shared" si="20"/>
        <v>12.27</v>
      </c>
      <c r="BL27" s="46">
        <f t="shared" si="46"/>
        <v>0</v>
      </c>
      <c r="BM27" s="87">
        <f t="shared" si="21"/>
        <v>0.19800000000000001</v>
      </c>
      <c r="BN27" s="16">
        <f t="shared" si="47"/>
        <v>0</v>
      </c>
      <c r="BO27" s="16"/>
      <c r="BP27" s="46">
        <f t="shared" si="22"/>
        <v>0</v>
      </c>
      <c r="BR27" s="46">
        <f t="shared" si="48"/>
        <v>0</v>
      </c>
      <c r="BS27" s="46"/>
      <c r="BT27" s="46">
        <f t="shared" si="35"/>
        <v>0</v>
      </c>
      <c r="BW27" s="7">
        <f t="shared" si="36"/>
        <v>2038</v>
      </c>
      <c r="BX27" s="46">
        <f t="shared" si="23"/>
        <v>0</v>
      </c>
      <c r="BY27" s="16">
        <f t="shared" si="37"/>
        <v>0</v>
      </c>
      <c r="BZ27" s="116">
        <f t="shared" si="38"/>
        <v>0</v>
      </c>
      <c r="CA27" s="46">
        <f t="shared" si="39"/>
        <v>0</v>
      </c>
      <c r="CC27" s="46">
        <f t="shared" si="40"/>
        <v>0</v>
      </c>
      <c r="CD27" s="46">
        <f t="shared" si="40"/>
        <v>0</v>
      </c>
      <c r="CE27" s="46">
        <f t="shared" si="42"/>
        <v>0</v>
      </c>
      <c r="CF27" s="46"/>
      <c r="CG27" s="46">
        <f t="shared" si="49"/>
        <v>0</v>
      </c>
    </row>
    <row r="28" spans="1:106">
      <c r="A28" s="3" t="s">
        <v>71</v>
      </c>
      <c r="C28" s="140">
        <f>+'Gas Input Table Summary'!$D$19</f>
        <v>2.7300000000000001E-2</v>
      </c>
      <c r="E28" s="3" t="s">
        <v>72</v>
      </c>
      <c r="F28" s="250">
        <v>0</v>
      </c>
      <c r="G28" s="142"/>
      <c r="H28" s="142"/>
      <c r="J28" s="2">
        <f t="shared" si="24"/>
        <v>14</v>
      </c>
      <c r="L28" s="7">
        <f t="shared" si="25"/>
        <v>2039</v>
      </c>
      <c r="M28" s="16">
        <f t="shared" si="43"/>
        <v>0</v>
      </c>
      <c r="N28" s="53">
        <f t="shared" si="0"/>
        <v>5.1669999999999998</v>
      </c>
      <c r="O28" s="32">
        <f t="shared" si="1"/>
        <v>0</v>
      </c>
      <c r="P28" s="53">
        <f t="shared" si="2"/>
        <v>0</v>
      </c>
      <c r="Q28" s="46">
        <f t="shared" si="26"/>
        <v>0</v>
      </c>
      <c r="R28" s="43">
        <f t="shared" si="3"/>
        <v>0</v>
      </c>
      <c r="S28" s="42">
        <f t="shared" si="4"/>
        <v>0</v>
      </c>
      <c r="T28" s="46">
        <f t="shared" si="5"/>
        <v>202</v>
      </c>
      <c r="U28" s="44">
        <f t="shared" si="44"/>
        <v>0</v>
      </c>
      <c r="V28" s="16">
        <f t="shared" si="27"/>
        <v>0</v>
      </c>
      <c r="W28" s="45">
        <f t="shared" si="6"/>
        <v>3.83</v>
      </c>
      <c r="X28" s="46">
        <f t="shared" si="7"/>
        <v>0</v>
      </c>
      <c r="Y28" s="46">
        <v>0</v>
      </c>
      <c r="Z28" s="46">
        <v>0</v>
      </c>
      <c r="AA28" s="46">
        <f t="shared" si="8"/>
        <v>0</v>
      </c>
      <c r="AB28" s="46">
        <f t="shared" si="9"/>
        <v>0</v>
      </c>
      <c r="AE28" s="7">
        <f t="shared" si="28"/>
        <v>2039</v>
      </c>
      <c r="AF28" s="46">
        <f t="shared" si="10"/>
        <v>0</v>
      </c>
      <c r="AG28" s="16">
        <f t="shared" si="11"/>
        <v>0</v>
      </c>
      <c r="AH28" s="46">
        <f t="shared" si="41"/>
        <v>0</v>
      </c>
      <c r="AJ28" s="32">
        <f t="shared" si="29"/>
        <v>0</v>
      </c>
      <c r="AK28" s="32">
        <f t="shared" si="29"/>
        <v>0</v>
      </c>
      <c r="AL28" s="32">
        <f t="shared" si="12"/>
        <v>0</v>
      </c>
      <c r="AN28" s="77">
        <f t="shared" si="30"/>
        <v>0</v>
      </c>
      <c r="AQ28" s="7">
        <f t="shared" si="31"/>
        <v>2039</v>
      </c>
      <c r="AR28" s="46">
        <f t="shared" si="13"/>
        <v>0</v>
      </c>
      <c r="AS28" s="46">
        <f t="shared" si="14"/>
        <v>0</v>
      </c>
      <c r="AT28" s="91">
        <f t="shared" si="15"/>
        <v>4.4999999999999998E-2</v>
      </c>
      <c r="AU28" s="16">
        <f t="shared" si="45"/>
        <v>0</v>
      </c>
      <c r="AV28" s="53">
        <f t="shared" si="16"/>
        <v>2.617</v>
      </c>
      <c r="AW28" s="46">
        <f t="shared" si="17"/>
        <v>0</v>
      </c>
      <c r="AX28" s="91"/>
      <c r="AY28" s="92"/>
      <c r="AZ28" s="46">
        <f t="shared" si="32"/>
        <v>0</v>
      </c>
      <c r="BA28" s="17"/>
      <c r="BB28" s="46">
        <v>0</v>
      </c>
      <c r="BC28" s="46">
        <v>0</v>
      </c>
      <c r="BD28" s="47">
        <f t="shared" si="33"/>
        <v>0</v>
      </c>
      <c r="BE28" s="46">
        <f t="shared" si="18"/>
        <v>0</v>
      </c>
      <c r="BH28" s="7">
        <f t="shared" si="34"/>
        <v>2039</v>
      </c>
      <c r="BI28" s="46">
        <v>0</v>
      </c>
      <c r="BJ28" s="16">
        <f t="shared" si="19"/>
        <v>0</v>
      </c>
      <c r="BK28" s="87">
        <f t="shared" si="20"/>
        <v>12.638</v>
      </c>
      <c r="BL28" s="46">
        <f t="shared" si="46"/>
        <v>0</v>
      </c>
      <c r="BM28" s="87">
        <f t="shared" si="21"/>
        <v>0.20399999999999999</v>
      </c>
      <c r="BN28" s="16">
        <f t="shared" si="47"/>
        <v>0</v>
      </c>
      <c r="BO28" s="16"/>
      <c r="BP28" s="46">
        <f t="shared" si="22"/>
        <v>0</v>
      </c>
      <c r="BR28" s="46">
        <f t="shared" si="48"/>
        <v>0</v>
      </c>
      <c r="BS28" s="46"/>
      <c r="BT28" s="46">
        <f t="shared" si="35"/>
        <v>0</v>
      </c>
      <c r="BW28" s="7">
        <f t="shared" si="36"/>
        <v>2039</v>
      </c>
      <c r="BX28" s="46">
        <f t="shared" si="23"/>
        <v>0</v>
      </c>
      <c r="BY28" s="16">
        <f t="shared" si="37"/>
        <v>0</v>
      </c>
      <c r="BZ28" s="116">
        <f t="shared" si="38"/>
        <v>0</v>
      </c>
      <c r="CA28" s="46">
        <f t="shared" si="39"/>
        <v>0</v>
      </c>
      <c r="CC28" s="46">
        <f t="shared" si="40"/>
        <v>0</v>
      </c>
      <c r="CD28" s="46">
        <f t="shared" si="40"/>
        <v>0</v>
      </c>
      <c r="CE28" s="46">
        <f t="shared" si="42"/>
        <v>0</v>
      </c>
      <c r="CF28" s="46"/>
      <c r="CG28" s="46">
        <f t="shared" si="49"/>
        <v>0</v>
      </c>
    </row>
    <row r="29" spans="1:106">
      <c r="A29" s="3" t="s">
        <v>47</v>
      </c>
      <c r="C29" s="15">
        <f>+'Gas Input Table Summary'!$D$20</f>
        <v>0.03</v>
      </c>
      <c r="E29" s="3"/>
      <c r="F29" s="250"/>
      <c r="G29" s="16"/>
      <c r="H29" s="16"/>
      <c r="J29" s="2">
        <f t="shared" si="24"/>
        <v>15</v>
      </c>
      <c r="L29" s="7">
        <f t="shared" si="25"/>
        <v>2040</v>
      </c>
      <c r="M29" s="16">
        <f t="shared" si="43"/>
        <v>0</v>
      </c>
      <c r="N29" s="53">
        <f t="shared" si="0"/>
        <v>5.3220000000000001</v>
      </c>
      <c r="O29" s="32">
        <f t="shared" si="1"/>
        <v>0</v>
      </c>
      <c r="P29" s="53">
        <f t="shared" si="2"/>
        <v>0</v>
      </c>
      <c r="Q29" s="46">
        <f t="shared" si="26"/>
        <v>0</v>
      </c>
      <c r="R29" s="43">
        <f t="shared" si="3"/>
        <v>0</v>
      </c>
      <c r="S29" s="42">
        <f t="shared" si="4"/>
        <v>0</v>
      </c>
      <c r="T29" s="46">
        <f t="shared" si="5"/>
        <v>204</v>
      </c>
      <c r="U29" s="44">
        <f t="shared" si="44"/>
        <v>0</v>
      </c>
      <c r="V29" s="16">
        <f t="shared" si="27"/>
        <v>0</v>
      </c>
      <c r="W29" s="45">
        <f t="shared" si="6"/>
        <v>3.9449999999999998</v>
      </c>
      <c r="X29" s="46">
        <f t="shared" si="7"/>
        <v>0</v>
      </c>
      <c r="Y29" s="49">
        <v>0</v>
      </c>
      <c r="Z29" s="49">
        <v>0</v>
      </c>
      <c r="AA29" s="49">
        <f t="shared" si="8"/>
        <v>0</v>
      </c>
      <c r="AB29" s="49">
        <f t="shared" si="9"/>
        <v>0</v>
      </c>
      <c r="AE29" s="7">
        <f t="shared" si="28"/>
        <v>2040</v>
      </c>
      <c r="AF29" s="46">
        <f t="shared" si="10"/>
        <v>0</v>
      </c>
      <c r="AG29" s="16">
        <f t="shared" si="11"/>
        <v>0</v>
      </c>
      <c r="AH29" s="46">
        <f t="shared" si="41"/>
        <v>0</v>
      </c>
      <c r="AJ29" s="32">
        <f t="shared" si="29"/>
        <v>0</v>
      </c>
      <c r="AK29" s="32">
        <f t="shared" si="29"/>
        <v>0</v>
      </c>
      <c r="AL29" s="32">
        <f t="shared" si="12"/>
        <v>0</v>
      </c>
      <c r="AN29" s="77">
        <f t="shared" si="30"/>
        <v>0</v>
      </c>
      <c r="AQ29" s="7">
        <f t="shared" si="31"/>
        <v>2040</v>
      </c>
      <c r="AR29" s="49">
        <f t="shared" si="13"/>
        <v>0</v>
      </c>
      <c r="AS29" s="46">
        <f t="shared" si="14"/>
        <v>0</v>
      </c>
      <c r="AT29" s="91">
        <f t="shared" si="15"/>
        <v>4.5999999999999999E-2</v>
      </c>
      <c r="AU29" s="16">
        <f t="shared" si="45"/>
        <v>0</v>
      </c>
      <c r="AV29" s="53">
        <f t="shared" si="16"/>
        <v>2.6619999999999999</v>
      </c>
      <c r="AW29" s="46">
        <f t="shared" si="17"/>
        <v>0</v>
      </c>
      <c r="AX29" s="91"/>
      <c r="AY29" s="92"/>
      <c r="AZ29" s="49">
        <f t="shared" si="32"/>
        <v>0</v>
      </c>
      <c r="BA29" s="17"/>
      <c r="BB29" s="49">
        <v>0</v>
      </c>
      <c r="BC29" s="46">
        <v>0</v>
      </c>
      <c r="BD29" s="47">
        <f t="shared" si="33"/>
        <v>0</v>
      </c>
      <c r="BE29" s="49">
        <f t="shared" si="18"/>
        <v>0</v>
      </c>
      <c r="BH29" s="7">
        <f t="shared" si="34"/>
        <v>2040</v>
      </c>
      <c r="BI29" s="46">
        <v>0</v>
      </c>
      <c r="BJ29" s="16">
        <f t="shared" si="19"/>
        <v>0</v>
      </c>
      <c r="BK29" s="87">
        <f t="shared" si="20"/>
        <v>13.016999999999999</v>
      </c>
      <c r="BL29" s="46">
        <f t="shared" si="46"/>
        <v>0</v>
      </c>
      <c r="BM29" s="87">
        <f t="shared" si="21"/>
        <v>0.21</v>
      </c>
      <c r="BN29" s="16">
        <f t="shared" si="47"/>
        <v>0</v>
      </c>
      <c r="BO29" s="16"/>
      <c r="BP29" s="46">
        <f t="shared" si="22"/>
        <v>0</v>
      </c>
      <c r="BR29" s="46">
        <f t="shared" si="48"/>
        <v>0</v>
      </c>
      <c r="BS29" s="46"/>
      <c r="BT29" s="46">
        <f t="shared" si="35"/>
        <v>0</v>
      </c>
      <c r="BW29" s="7">
        <f t="shared" si="36"/>
        <v>2040</v>
      </c>
      <c r="BX29" s="46">
        <f t="shared" si="23"/>
        <v>0</v>
      </c>
      <c r="BY29" s="16">
        <f t="shared" si="37"/>
        <v>0</v>
      </c>
      <c r="BZ29" s="116">
        <f t="shared" si="38"/>
        <v>0</v>
      </c>
      <c r="CA29" s="46">
        <f t="shared" si="39"/>
        <v>0</v>
      </c>
      <c r="CC29" s="46">
        <f t="shared" si="40"/>
        <v>0</v>
      </c>
      <c r="CD29" s="46">
        <f t="shared" si="40"/>
        <v>0</v>
      </c>
      <c r="CE29" s="46">
        <f t="shared" si="42"/>
        <v>0</v>
      </c>
      <c r="CF29" s="46"/>
      <c r="CG29" s="46">
        <f t="shared" si="49"/>
        <v>0</v>
      </c>
    </row>
    <row r="30" spans="1:106">
      <c r="E30" s="3" t="s">
        <v>73</v>
      </c>
      <c r="F30" s="138">
        <f>ROUND('Database Inputs'!C12,0)</f>
        <v>35</v>
      </c>
      <c r="G30" s="132"/>
      <c r="H30" s="132"/>
      <c r="J30" s="2">
        <f t="shared" si="24"/>
        <v>16</v>
      </c>
      <c r="L30" s="7">
        <f t="shared" si="25"/>
        <v>2041</v>
      </c>
      <c r="M30" s="16">
        <f t="shared" si="43"/>
        <v>0</v>
      </c>
      <c r="N30" s="53">
        <f t="shared" si="0"/>
        <v>5.4820000000000002</v>
      </c>
      <c r="O30" s="32">
        <f t="shared" si="1"/>
        <v>0</v>
      </c>
      <c r="P30" s="53">
        <f t="shared" si="2"/>
        <v>0</v>
      </c>
      <c r="Q30" s="46">
        <f t="shared" si="26"/>
        <v>0</v>
      </c>
      <c r="R30" s="43">
        <f t="shared" si="3"/>
        <v>0</v>
      </c>
      <c r="S30" s="42">
        <f t="shared" si="4"/>
        <v>0</v>
      </c>
      <c r="T30" s="46">
        <f t="shared" si="5"/>
        <v>206</v>
      </c>
      <c r="U30" s="44">
        <f t="shared" si="44"/>
        <v>0</v>
      </c>
      <c r="V30" s="16">
        <f t="shared" si="27"/>
        <v>0</v>
      </c>
      <c r="W30" s="45">
        <f t="shared" si="6"/>
        <v>4.0629999999999997</v>
      </c>
      <c r="X30" s="46">
        <f t="shared" si="7"/>
        <v>0</v>
      </c>
      <c r="Y30" s="49">
        <v>0</v>
      </c>
      <c r="Z30" s="49">
        <v>0</v>
      </c>
      <c r="AA30" s="49">
        <f t="shared" si="8"/>
        <v>0</v>
      </c>
      <c r="AB30" s="49">
        <f t="shared" si="9"/>
        <v>0</v>
      </c>
      <c r="AE30" s="7">
        <f t="shared" si="28"/>
        <v>2041</v>
      </c>
      <c r="AF30" s="46">
        <f t="shared" si="10"/>
        <v>0</v>
      </c>
      <c r="AG30" s="16">
        <f t="shared" si="11"/>
        <v>0</v>
      </c>
      <c r="AH30" s="46">
        <f t="shared" si="41"/>
        <v>0</v>
      </c>
      <c r="AJ30" s="32">
        <f t="shared" si="29"/>
        <v>0</v>
      </c>
      <c r="AK30" s="32">
        <f t="shared" si="29"/>
        <v>0</v>
      </c>
      <c r="AL30" s="32">
        <f t="shared" si="12"/>
        <v>0</v>
      </c>
      <c r="AN30" s="77">
        <f t="shared" si="30"/>
        <v>0</v>
      </c>
      <c r="AQ30" s="7">
        <f t="shared" si="31"/>
        <v>2041</v>
      </c>
      <c r="AR30" s="49">
        <f t="shared" si="13"/>
        <v>0</v>
      </c>
      <c r="AS30" s="46">
        <f t="shared" si="14"/>
        <v>0</v>
      </c>
      <c r="AT30" s="91">
        <f t="shared" si="15"/>
        <v>4.7E-2</v>
      </c>
      <c r="AU30" s="16">
        <f t="shared" si="45"/>
        <v>0</v>
      </c>
      <c r="AV30" s="53">
        <f t="shared" si="16"/>
        <v>2.7069999999999999</v>
      </c>
      <c r="AW30" s="46">
        <f t="shared" si="17"/>
        <v>0</v>
      </c>
      <c r="AX30" s="91"/>
      <c r="AY30" s="92"/>
      <c r="AZ30" s="49">
        <f t="shared" si="32"/>
        <v>0</v>
      </c>
      <c r="BA30" s="17"/>
      <c r="BB30" s="49">
        <v>0</v>
      </c>
      <c r="BC30" s="46">
        <v>0</v>
      </c>
      <c r="BD30" s="47">
        <f t="shared" si="33"/>
        <v>0</v>
      </c>
      <c r="BE30" s="49">
        <f t="shared" si="18"/>
        <v>0</v>
      </c>
      <c r="BH30" s="7">
        <f t="shared" si="34"/>
        <v>2041</v>
      </c>
      <c r="BI30" s="46">
        <v>0</v>
      </c>
      <c r="BJ30" s="16">
        <f t="shared" si="19"/>
        <v>0</v>
      </c>
      <c r="BK30" s="87">
        <f t="shared" si="20"/>
        <v>13.407</v>
      </c>
      <c r="BL30" s="46">
        <f t="shared" si="46"/>
        <v>0</v>
      </c>
      <c r="BM30" s="87">
        <f t="shared" si="21"/>
        <v>0.217</v>
      </c>
      <c r="BN30" s="16">
        <f t="shared" si="47"/>
        <v>0</v>
      </c>
      <c r="BO30" s="16"/>
      <c r="BP30" s="46">
        <f t="shared" si="22"/>
        <v>0</v>
      </c>
      <c r="BR30" s="46">
        <f t="shared" si="48"/>
        <v>0</v>
      </c>
      <c r="BS30" s="46"/>
      <c r="BT30" s="46">
        <f t="shared" si="35"/>
        <v>0</v>
      </c>
      <c r="BW30" s="7">
        <f t="shared" si="36"/>
        <v>2041</v>
      </c>
      <c r="BX30" s="46">
        <f t="shared" si="23"/>
        <v>0</v>
      </c>
      <c r="BY30" s="16">
        <f t="shared" si="37"/>
        <v>0</v>
      </c>
      <c r="BZ30" s="116">
        <f t="shared" si="38"/>
        <v>0</v>
      </c>
      <c r="CA30" s="46">
        <f t="shared" si="39"/>
        <v>0</v>
      </c>
      <c r="CC30" s="46">
        <f t="shared" si="40"/>
        <v>0</v>
      </c>
      <c r="CD30" s="46">
        <f t="shared" si="40"/>
        <v>0</v>
      </c>
      <c r="CE30" s="46">
        <f t="shared" si="42"/>
        <v>0</v>
      </c>
      <c r="CF30" s="46"/>
      <c r="CG30" s="46">
        <f t="shared" si="49"/>
        <v>0</v>
      </c>
    </row>
    <row r="31" spans="1:106">
      <c r="A31" s="2" t="s">
        <v>74</v>
      </c>
      <c r="C31" s="13">
        <f>+'Gas Input Table Summary'!$D$21</f>
        <v>7.7189999999999995E-2</v>
      </c>
      <c r="F31" s="250"/>
      <c r="G31" s="16"/>
      <c r="H31" s="16"/>
      <c r="J31" s="2">
        <f t="shared" si="24"/>
        <v>17</v>
      </c>
      <c r="L31" s="7">
        <f t="shared" si="25"/>
        <v>2042</v>
      </c>
      <c r="M31" s="16">
        <f t="shared" si="43"/>
        <v>0</v>
      </c>
      <c r="N31" s="53">
        <f t="shared" si="0"/>
        <v>5.6459999999999999</v>
      </c>
      <c r="O31" s="32">
        <f t="shared" si="1"/>
        <v>0</v>
      </c>
      <c r="P31" s="53">
        <f t="shared" si="2"/>
        <v>0</v>
      </c>
      <c r="Q31" s="46">
        <f t="shared" si="26"/>
        <v>0</v>
      </c>
      <c r="R31" s="43">
        <f t="shared" si="3"/>
        <v>0</v>
      </c>
      <c r="S31" s="42">
        <f t="shared" si="4"/>
        <v>0</v>
      </c>
      <c r="T31" s="46">
        <f t="shared" si="5"/>
        <v>208</v>
      </c>
      <c r="U31" s="44">
        <f t="shared" si="44"/>
        <v>0</v>
      </c>
      <c r="V31" s="16">
        <f t="shared" si="27"/>
        <v>0</v>
      </c>
      <c r="W31" s="45">
        <f t="shared" si="6"/>
        <v>4.1849999999999996</v>
      </c>
      <c r="X31" s="46">
        <f t="shared" si="7"/>
        <v>0</v>
      </c>
      <c r="Y31" s="49">
        <v>0</v>
      </c>
      <c r="Z31" s="49">
        <v>0</v>
      </c>
      <c r="AA31" s="49">
        <f t="shared" si="8"/>
        <v>0</v>
      </c>
      <c r="AB31" s="49">
        <f t="shared" si="9"/>
        <v>0</v>
      </c>
      <c r="AE31" s="7">
        <f t="shared" si="28"/>
        <v>2042</v>
      </c>
      <c r="AF31" s="46">
        <f t="shared" si="10"/>
        <v>0</v>
      </c>
      <c r="AG31" s="16">
        <f t="shared" si="11"/>
        <v>0</v>
      </c>
      <c r="AH31" s="46">
        <f t="shared" si="41"/>
        <v>0</v>
      </c>
      <c r="AJ31" s="32">
        <f t="shared" si="29"/>
        <v>0</v>
      </c>
      <c r="AK31" s="32">
        <f t="shared" si="29"/>
        <v>0</v>
      </c>
      <c r="AL31" s="32">
        <f t="shared" si="12"/>
        <v>0</v>
      </c>
      <c r="AN31" s="77">
        <f t="shared" si="30"/>
        <v>0</v>
      </c>
      <c r="AQ31" s="7">
        <f t="shared" si="31"/>
        <v>2042</v>
      </c>
      <c r="AR31" s="49">
        <f t="shared" si="13"/>
        <v>0</v>
      </c>
      <c r="AS31" s="46">
        <f t="shared" si="14"/>
        <v>0</v>
      </c>
      <c r="AT31" s="91">
        <f t="shared" si="15"/>
        <v>4.9000000000000002E-2</v>
      </c>
      <c r="AU31" s="16">
        <f t="shared" si="45"/>
        <v>0</v>
      </c>
      <c r="AV31" s="53">
        <f t="shared" si="16"/>
        <v>2.7519999999999998</v>
      </c>
      <c r="AW31" s="46">
        <f t="shared" si="17"/>
        <v>0</v>
      </c>
      <c r="AX31" s="91"/>
      <c r="AY31" s="92"/>
      <c r="AZ31" s="49">
        <f t="shared" si="32"/>
        <v>0</v>
      </c>
      <c r="BA31" s="17"/>
      <c r="BB31" s="49">
        <v>0</v>
      </c>
      <c r="BC31" s="46">
        <v>0</v>
      </c>
      <c r="BD31" s="47">
        <f t="shared" si="33"/>
        <v>0</v>
      </c>
      <c r="BE31" s="49">
        <f t="shared" si="18"/>
        <v>0</v>
      </c>
      <c r="BH31" s="7">
        <f t="shared" si="34"/>
        <v>2042</v>
      </c>
      <c r="BI31" s="46">
        <v>0</v>
      </c>
      <c r="BJ31" s="16">
        <f t="shared" si="19"/>
        <v>0</v>
      </c>
      <c r="BK31" s="87">
        <f t="shared" si="20"/>
        <v>13.81</v>
      </c>
      <c r="BL31" s="46">
        <f t="shared" si="46"/>
        <v>0</v>
      </c>
      <c r="BM31" s="87">
        <f t="shared" si="21"/>
        <v>0.223</v>
      </c>
      <c r="BN31" s="16">
        <f t="shared" si="47"/>
        <v>0</v>
      </c>
      <c r="BO31" s="16"/>
      <c r="BP31" s="46">
        <f t="shared" si="22"/>
        <v>0</v>
      </c>
      <c r="BR31" s="46">
        <f t="shared" si="48"/>
        <v>0</v>
      </c>
      <c r="BS31" s="46"/>
      <c r="BT31" s="46">
        <f t="shared" si="35"/>
        <v>0</v>
      </c>
      <c r="BW31" s="7">
        <f t="shared" si="36"/>
        <v>2042</v>
      </c>
      <c r="BX31" s="46">
        <f t="shared" si="23"/>
        <v>0</v>
      </c>
      <c r="BY31" s="16">
        <f t="shared" si="37"/>
        <v>0</v>
      </c>
      <c r="BZ31" s="116">
        <f t="shared" si="38"/>
        <v>0</v>
      </c>
      <c r="CA31" s="46">
        <f t="shared" si="39"/>
        <v>0</v>
      </c>
      <c r="CC31" s="46">
        <f t="shared" si="40"/>
        <v>0</v>
      </c>
      <c r="CD31" s="46">
        <f t="shared" si="40"/>
        <v>0</v>
      </c>
      <c r="CE31" s="46">
        <f t="shared" si="42"/>
        <v>0</v>
      </c>
      <c r="CF31" s="46"/>
      <c r="CG31" s="46">
        <f t="shared" si="49"/>
        <v>0</v>
      </c>
    </row>
    <row r="32" spans="1:106">
      <c r="E32" s="48" t="s">
        <v>103</v>
      </c>
      <c r="F32" s="138">
        <f>+'Total Program Inputs'!G13</f>
        <v>80</v>
      </c>
      <c r="G32" s="22"/>
      <c r="H32" s="22"/>
      <c r="J32" s="2">
        <f t="shared" si="24"/>
        <v>18</v>
      </c>
      <c r="L32" s="7">
        <f t="shared" si="25"/>
        <v>2043</v>
      </c>
      <c r="M32" s="16">
        <f t="shared" si="43"/>
        <v>0</v>
      </c>
      <c r="N32" s="53">
        <f t="shared" si="0"/>
        <v>5.8159999999999998</v>
      </c>
      <c r="O32" s="32">
        <f t="shared" si="1"/>
        <v>0</v>
      </c>
      <c r="P32" s="53">
        <f t="shared" si="2"/>
        <v>0</v>
      </c>
      <c r="Q32" s="46">
        <f t="shared" si="26"/>
        <v>0</v>
      </c>
      <c r="R32" s="43">
        <f t="shared" si="3"/>
        <v>0</v>
      </c>
      <c r="S32" s="42">
        <f t="shared" si="4"/>
        <v>0</v>
      </c>
      <c r="T32" s="46">
        <f t="shared" si="5"/>
        <v>210</v>
      </c>
      <c r="U32" s="44">
        <f t="shared" si="44"/>
        <v>0</v>
      </c>
      <c r="V32" s="16">
        <f t="shared" si="27"/>
        <v>0</v>
      </c>
      <c r="W32" s="45">
        <f t="shared" si="6"/>
        <v>4.3109999999999999</v>
      </c>
      <c r="X32" s="46">
        <f t="shared" si="7"/>
        <v>0</v>
      </c>
      <c r="Y32" s="49">
        <v>0</v>
      </c>
      <c r="Z32" s="49">
        <v>0</v>
      </c>
      <c r="AA32" s="49">
        <f t="shared" si="8"/>
        <v>0</v>
      </c>
      <c r="AB32" s="49">
        <f t="shared" si="9"/>
        <v>0</v>
      </c>
      <c r="AE32" s="7">
        <f t="shared" si="28"/>
        <v>2043</v>
      </c>
      <c r="AF32" s="46">
        <f t="shared" si="10"/>
        <v>0</v>
      </c>
      <c r="AG32" s="16">
        <f t="shared" si="11"/>
        <v>0</v>
      </c>
      <c r="AH32" s="46">
        <f t="shared" si="41"/>
        <v>0</v>
      </c>
      <c r="AJ32" s="32">
        <f t="shared" si="29"/>
        <v>0</v>
      </c>
      <c r="AK32" s="32">
        <f t="shared" si="29"/>
        <v>0</v>
      </c>
      <c r="AL32" s="32">
        <f t="shared" si="12"/>
        <v>0</v>
      </c>
      <c r="AN32" s="77">
        <f t="shared" si="30"/>
        <v>0</v>
      </c>
      <c r="AQ32" s="7">
        <f t="shared" si="31"/>
        <v>2043</v>
      </c>
      <c r="AR32" s="49">
        <f t="shared" si="13"/>
        <v>0</v>
      </c>
      <c r="AS32" s="46">
        <f t="shared" si="14"/>
        <v>0</v>
      </c>
      <c r="AT32" s="91">
        <f t="shared" si="15"/>
        <v>0.05</v>
      </c>
      <c r="AU32" s="16">
        <f t="shared" si="45"/>
        <v>0</v>
      </c>
      <c r="AV32" s="53">
        <f t="shared" si="16"/>
        <v>2.7989999999999999</v>
      </c>
      <c r="AW32" s="46">
        <f t="shared" si="17"/>
        <v>0</v>
      </c>
      <c r="AX32" s="91"/>
      <c r="AY32" s="92"/>
      <c r="AZ32" s="49">
        <f t="shared" si="32"/>
        <v>0</v>
      </c>
      <c r="BA32" s="17"/>
      <c r="BB32" s="49">
        <v>0</v>
      </c>
      <c r="BC32" s="46">
        <v>0</v>
      </c>
      <c r="BD32" s="47">
        <f t="shared" si="33"/>
        <v>0</v>
      </c>
      <c r="BE32" s="49">
        <f t="shared" si="18"/>
        <v>0</v>
      </c>
      <c r="BH32" s="7">
        <f t="shared" si="34"/>
        <v>2043</v>
      </c>
      <c r="BI32" s="46">
        <v>0</v>
      </c>
      <c r="BJ32" s="16">
        <f t="shared" si="19"/>
        <v>0</v>
      </c>
      <c r="BK32" s="87">
        <f t="shared" si="20"/>
        <v>14.224</v>
      </c>
      <c r="BL32" s="46">
        <f t="shared" si="46"/>
        <v>0</v>
      </c>
      <c r="BM32" s="87">
        <f t="shared" si="21"/>
        <v>0.23</v>
      </c>
      <c r="BN32" s="16">
        <f t="shared" si="47"/>
        <v>0</v>
      </c>
      <c r="BO32" s="16"/>
      <c r="BP32" s="46">
        <f t="shared" si="22"/>
        <v>0</v>
      </c>
      <c r="BR32" s="46">
        <f t="shared" si="48"/>
        <v>0</v>
      </c>
      <c r="BS32" s="46"/>
      <c r="BT32" s="46">
        <f t="shared" si="35"/>
        <v>0</v>
      </c>
      <c r="BW32" s="7">
        <f t="shared" si="36"/>
        <v>2043</v>
      </c>
      <c r="BX32" s="46">
        <f t="shared" si="23"/>
        <v>0</v>
      </c>
      <c r="BY32" s="16">
        <f t="shared" si="37"/>
        <v>0</v>
      </c>
      <c r="BZ32" s="116">
        <f t="shared" si="38"/>
        <v>0</v>
      </c>
      <c r="CA32" s="46">
        <f t="shared" si="39"/>
        <v>0</v>
      </c>
      <c r="CC32" s="46">
        <f t="shared" si="40"/>
        <v>0</v>
      </c>
      <c r="CD32" s="46">
        <f t="shared" si="40"/>
        <v>0</v>
      </c>
      <c r="CE32" s="46">
        <f t="shared" si="42"/>
        <v>0</v>
      </c>
      <c r="CF32" s="46"/>
      <c r="CG32" s="46">
        <f t="shared" si="49"/>
        <v>0</v>
      </c>
    </row>
    <row r="33" spans="1:87">
      <c r="A33" s="2" t="s">
        <v>75</v>
      </c>
      <c r="C33" s="11">
        <f>+'Gas Input Table Summary'!$D$22</f>
        <v>2.0699999999999998</v>
      </c>
      <c r="F33" s="250"/>
      <c r="G33" s="16"/>
      <c r="H33" s="16"/>
      <c r="J33" s="2">
        <f t="shared" si="24"/>
        <v>19</v>
      </c>
      <c r="L33" s="7">
        <f t="shared" si="25"/>
        <v>2044</v>
      </c>
      <c r="M33" s="16">
        <f t="shared" si="43"/>
        <v>0</v>
      </c>
      <c r="N33" s="53">
        <f t="shared" si="0"/>
        <v>5.99</v>
      </c>
      <c r="O33" s="32">
        <f t="shared" si="1"/>
        <v>0</v>
      </c>
      <c r="P33" s="53">
        <f t="shared" si="2"/>
        <v>0</v>
      </c>
      <c r="Q33" s="46">
        <f t="shared" si="26"/>
        <v>0</v>
      </c>
      <c r="R33" s="43">
        <f t="shared" si="3"/>
        <v>0</v>
      </c>
      <c r="S33" s="42">
        <f t="shared" si="4"/>
        <v>0</v>
      </c>
      <c r="T33" s="46">
        <f t="shared" si="5"/>
        <v>212</v>
      </c>
      <c r="U33" s="44">
        <f t="shared" si="44"/>
        <v>0</v>
      </c>
      <c r="V33" s="16">
        <f t="shared" si="27"/>
        <v>0</v>
      </c>
      <c r="W33" s="45">
        <f t="shared" si="6"/>
        <v>4.4400000000000004</v>
      </c>
      <c r="X33" s="46">
        <f t="shared" si="7"/>
        <v>0</v>
      </c>
      <c r="Y33" s="49">
        <v>0</v>
      </c>
      <c r="Z33" s="49">
        <v>0</v>
      </c>
      <c r="AA33" s="49">
        <f t="shared" si="8"/>
        <v>0</v>
      </c>
      <c r="AB33" s="49">
        <f t="shared" si="9"/>
        <v>0</v>
      </c>
      <c r="AE33" s="7">
        <f t="shared" si="28"/>
        <v>2044</v>
      </c>
      <c r="AF33" s="46">
        <f t="shared" si="10"/>
        <v>0</v>
      </c>
      <c r="AG33" s="16">
        <f t="shared" si="11"/>
        <v>0</v>
      </c>
      <c r="AH33" s="46">
        <f t="shared" si="41"/>
        <v>0</v>
      </c>
      <c r="AJ33" s="32">
        <f t="shared" si="29"/>
        <v>0</v>
      </c>
      <c r="AK33" s="32">
        <f t="shared" si="29"/>
        <v>0</v>
      </c>
      <c r="AL33" s="32">
        <f t="shared" si="12"/>
        <v>0</v>
      </c>
      <c r="AN33" s="77">
        <f t="shared" si="30"/>
        <v>0</v>
      </c>
      <c r="AQ33" s="7">
        <f t="shared" si="31"/>
        <v>2044</v>
      </c>
      <c r="AR33" s="49">
        <f t="shared" si="13"/>
        <v>0</v>
      </c>
      <c r="AS33" s="46">
        <f t="shared" si="14"/>
        <v>0</v>
      </c>
      <c r="AT33" s="91">
        <f t="shared" si="15"/>
        <v>5.1999999999999998E-2</v>
      </c>
      <c r="AU33" s="16">
        <f t="shared" si="45"/>
        <v>0</v>
      </c>
      <c r="AV33" s="53">
        <f t="shared" si="16"/>
        <v>2.8460000000000001</v>
      </c>
      <c r="AW33" s="46">
        <f t="shared" si="17"/>
        <v>0</v>
      </c>
      <c r="AX33" s="91"/>
      <c r="AY33" s="92"/>
      <c r="AZ33" s="49">
        <f t="shared" si="32"/>
        <v>0</v>
      </c>
      <c r="BA33" s="17"/>
      <c r="BB33" s="49">
        <v>0</v>
      </c>
      <c r="BC33" s="46">
        <v>0</v>
      </c>
      <c r="BD33" s="47">
        <f t="shared" si="33"/>
        <v>0</v>
      </c>
      <c r="BE33" s="49">
        <f t="shared" si="18"/>
        <v>0</v>
      </c>
      <c r="BH33" s="7">
        <f t="shared" si="34"/>
        <v>2044</v>
      </c>
      <c r="BI33" s="46">
        <v>0</v>
      </c>
      <c r="BJ33" s="16">
        <f t="shared" si="19"/>
        <v>0</v>
      </c>
      <c r="BK33" s="87">
        <f t="shared" si="20"/>
        <v>14.651</v>
      </c>
      <c r="BL33" s="46">
        <f t="shared" si="46"/>
        <v>0</v>
      </c>
      <c r="BM33" s="87">
        <f t="shared" si="21"/>
        <v>0.23699999999999999</v>
      </c>
      <c r="BN33" s="16">
        <f t="shared" si="47"/>
        <v>0</v>
      </c>
      <c r="BO33" s="16"/>
      <c r="BP33" s="46">
        <f t="shared" si="22"/>
        <v>0</v>
      </c>
      <c r="BR33" s="46">
        <f t="shared" si="48"/>
        <v>0</v>
      </c>
      <c r="BS33" s="46"/>
      <c r="BT33" s="46">
        <f t="shared" si="35"/>
        <v>0</v>
      </c>
      <c r="BW33" s="7">
        <f t="shared" si="36"/>
        <v>2044</v>
      </c>
      <c r="BX33" s="46">
        <f t="shared" si="23"/>
        <v>0</v>
      </c>
      <c r="BY33" s="16">
        <f t="shared" si="37"/>
        <v>0</v>
      </c>
      <c r="BZ33" s="116">
        <f t="shared" si="38"/>
        <v>0</v>
      </c>
      <c r="CA33" s="46">
        <f t="shared" si="39"/>
        <v>0</v>
      </c>
      <c r="CC33" s="46">
        <f t="shared" si="40"/>
        <v>0</v>
      </c>
      <c r="CD33" s="46">
        <f t="shared" si="40"/>
        <v>0</v>
      </c>
      <c r="CE33" s="46">
        <f t="shared" si="42"/>
        <v>0</v>
      </c>
      <c r="CF33" s="46"/>
      <c r="CG33" s="46">
        <f t="shared" si="49"/>
        <v>0</v>
      </c>
    </row>
    <row r="34" spans="1:87">
      <c r="A34" s="3" t="s">
        <v>18</v>
      </c>
      <c r="C34" s="15">
        <f>+'Gas Input Table Summary'!$D$23</f>
        <v>1.6899999999999998E-2</v>
      </c>
      <c r="E34" s="2" t="s">
        <v>76</v>
      </c>
      <c r="F34" s="259">
        <f>'Database Inputs'!L12</f>
        <v>15</v>
      </c>
      <c r="G34" s="135"/>
      <c r="H34" s="135"/>
      <c r="J34" s="2">
        <f t="shared" si="24"/>
        <v>20</v>
      </c>
      <c r="L34" s="7">
        <f t="shared" si="25"/>
        <v>2045</v>
      </c>
      <c r="M34" s="16">
        <f t="shared" si="43"/>
        <v>0</v>
      </c>
      <c r="N34" s="95">
        <f t="shared" si="0"/>
        <v>6.17</v>
      </c>
      <c r="O34" s="32">
        <f t="shared" si="1"/>
        <v>0</v>
      </c>
      <c r="P34" s="95">
        <f t="shared" si="2"/>
        <v>0</v>
      </c>
      <c r="Q34" s="49">
        <f t="shared" si="26"/>
        <v>0</v>
      </c>
      <c r="R34" s="96">
        <f t="shared" si="3"/>
        <v>0</v>
      </c>
      <c r="S34" s="97">
        <f t="shared" si="4"/>
        <v>0</v>
      </c>
      <c r="T34" s="49">
        <f t="shared" si="5"/>
        <v>214</v>
      </c>
      <c r="U34" s="99">
        <f t="shared" si="44"/>
        <v>0</v>
      </c>
      <c r="V34" s="16">
        <f t="shared" si="27"/>
        <v>0</v>
      </c>
      <c r="W34" s="87">
        <f t="shared" si="6"/>
        <v>4.5730000000000004</v>
      </c>
      <c r="X34" s="49">
        <f t="shared" si="7"/>
        <v>0</v>
      </c>
      <c r="Y34" s="49">
        <v>0</v>
      </c>
      <c r="Z34" s="49">
        <v>0</v>
      </c>
      <c r="AA34" s="49">
        <f t="shared" si="8"/>
        <v>0</v>
      </c>
      <c r="AB34" s="49">
        <f t="shared" si="9"/>
        <v>0</v>
      </c>
      <c r="AE34" s="7">
        <f t="shared" si="28"/>
        <v>2045</v>
      </c>
      <c r="AF34" s="49">
        <f t="shared" si="10"/>
        <v>0</v>
      </c>
      <c r="AG34" s="16">
        <f t="shared" si="11"/>
        <v>0</v>
      </c>
      <c r="AH34" s="49">
        <f t="shared" si="41"/>
        <v>0</v>
      </c>
      <c r="AJ34" s="32">
        <f t="shared" si="29"/>
        <v>0</v>
      </c>
      <c r="AK34" s="32">
        <f t="shared" si="29"/>
        <v>0</v>
      </c>
      <c r="AL34" s="32">
        <f t="shared" si="12"/>
        <v>0</v>
      </c>
      <c r="AN34" s="179">
        <f t="shared" si="30"/>
        <v>0</v>
      </c>
      <c r="AQ34" s="7">
        <f t="shared" si="31"/>
        <v>2045</v>
      </c>
      <c r="AR34" s="49">
        <f t="shared" si="13"/>
        <v>0</v>
      </c>
      <c r="AS34" s="49">
        <f t="shared" si="14"/>
        <v>0</v>
      </c>
      <c r="AT34" s="98">
        <f t="shared" si="15"/>
        <v>5.2999999999999999E-2</v>
      </c>
      <c r="AU34" s="16">
        <f t="shared" si="45"/>
        <v>0</v>
      </c>
      <c r="AV34" s="95">
        <f t="shared" si="16"/>
        <v>2.8940000000000001</v>
      </c>
      <c r="AW34" s="49">
        <f t="shared" si="17"/>
        <v>0</v>
      </c>
      <c r="AX34" s="98"/>
      <c r="AY34" s="180"/>
      <c r="AZ34" s="49">
        <f t="shared" si="32"/>
        <v>0</v>
      </c>
      <c r="BA34" s="17"/>
      <c r="BB34" s="49">
        <v>0</v>
      </c>
      <c r="BC34" s="49">
        <v>0</v>
      </c>
      <c r="BD34" s="181">
        <f t="shared" si="33"/>
        <v>0</v>
      </c>
      <c r="BE34" s="49">
        <f t="shared" si="18"/>
        <v>0</v>
      </c>
      <c r="BH34" s="7">
        <f t="shared" si="34"/>
        <v>2045</v>
      </c>
      <c r="BI34" s="49">
        <v>0</v>
      </c>
      <c r="BJ34" s="16">
        <f t="shared" si="19"/>
        <v>0</v>
      </c>
      <c r="BK34" s="87">
        <f t="shared" si="20"/>
        <v>15.09</v>
      </c>
      <c r="BL34" s="49">
        <f t="shared" si="46"/>
        <v>0</v>
      </c>
      <c r="BM34" s="87">
        <f t="shared" si="21"/>
        <v>0.24399999999999999</v>
      </c>
      <c r="BN34" s="16">
        <f t="shared" si="47"/>
        <v>0</v>
      </c>
      <c r="BO34" s="16"/>
      <c r="BP34" s="49">
        <f t="shared" si="22"/>
        <v>0</v>
      </c>
      <c r="BR34" s="49">
        <f t="shared" si="48"/>
        <v>0</v>
      </c>
      <c r="BS34" s="49"/>
      <c r="BT34" s="49">
        <f t="shared" si="35"/>
        <v>0</v>
      </c>
      <c r="BW34" s="7">
        <f t="shared" si="36"/>
        <v>2045</v>
      </c>
      <c r="BX34" s="49">
        <f t="shared" si="23"/>
        <v>0</v>
      </c>
      <c r="BY34" s="16">
        <f t="shared" si="37"/>
        <v>0</v>
      </c>
      <c r="BZ34" s="116">
        <f t="shared" si="38"/>
        <v>0</v>
      </c>
      <c r="CA34" s="49">
        <f t="shared" si="39"/>
        <v>0</v>
      </c>
      <c r="CC34" s="49">
        <f t="shared" si="40"/>
        <v>0</v>
      </c>
      <c r="CD34" s="49">
        <f t="shared" si="40"/>
        <v>0</v>
      </c>
      <c r="CE34" s="49">
        <f t="shared" si="42"/>
        <v>0</v>
      </c>
      <c r="CF34" s="49"/>
      <c r="CG34" s="49">
        <f t="shared" si="49"/>
        <v>0</v>
      </c>
    </row>
    <row r="35" spans="1:87">
      <c r="A35" s="3"/>
      <c r="C35" s="15"/>
      <c r="E35" s="3"/>
      <c r="F35" s="22"/>
      <c r="G35" s="50"/>
      <c r="H35" s="50"/>
      <c r="J35" s="2">
        <f t="shared" si="24"/>
        <v>21</v>
      </c>
      <c r="L35" s="7">
        <f t="shared" si="25"/>
        <v>2046</v>
      </c>
      <c r="M35" s="16">
        <f t="shared" ref="M35:M36" si="50">ROUND(IF($C$47+$F$23&gt;L35,$F$25*$F$30,0)+IF($C$48+$G$23&gt;L35,$G$25*$G$30,0)+IF($C$49+$H$23&gt;L35,$H$25*$H$30,0),0)</f>
        <v>0</v>
      </c>
      <c r="N35" s="95">
        <f t="shared" ref="N35:N36" si="51">ROUND($C$17*(1+$C$18)^J35,3)</f>
        <v>6.3550000000000004</v>
      </c>
      <c r="O35" s="32">
        <f t="shared" ref="O35:O36" si="52">ROUND(M35*N35,0)</f>
        <v>0</v>
      </c>
      <c r="P35" s="95">
        <f t="shared" ref="P35:P36" si="53">ROUND($C$25*(1+$C$26)^J35,3)</f>
        <v>0</v>
      </c>
      <c r="Q35" s="49">
        <f t="shared" ref="Q35:Q36" si="54">ROUND(M35*P35,0)</f>
        <v>0</v>
      </c>
      <c r="R35" s="96">
        <f t="shared" ref="R35:R36" si="55">O35+Q35</f>
        <v>0</v>
      </c>
      <c r="S35" s="97">
        <f t="shared" ref="S35:S36" si="56">ROUND(M35*$C$23,1)</f>
        <v>0</v>
      </c>
      <c r="T35" s="49">
        <f t="shared" ref="T35:T36" si="57">ROUND($C$20*(1+$C$21)^J35,0)</f>
        <v>216</v>
      </c>
      <c r="U35" s="99">
        <f t="shared" ref="U35:U36" si="58">ROUND(S35*T35,0)</f>
        <v>0</v>
      </c>
      <c r="V35" s="16">
        <f t="shared" ref="V35:V36" si="59">ROUND(+U35+R35,0)</f>
        <v>0</v>
      </c>
      <c r="W35" s="87">
        <f t="shared" ref="W35:W36" si="60">ROUND($H$36*(1+$C$11)^J35,3)</f>
        <v>4.71</v>
      </c>
      <c r="X35" s="49">
        <f t="shared" ref="X35:X36" si="61">ROUND((1-$H$38)*(W35*M35),0)</f>
        <v>0</v>
      </c>
      <c r="Y35" s="49">
        <v>0</v>
      </c>
      <c r="Z35" s="49">
        <v>0</v>
      </c>
      <c r="AA35" s="49">
        <f t="shared" ref="AA35:AA36" si="62">SUM(X35:Z35)</f>
        <v>0</v>
      </c>
      <c r="AB35" s="49">
        <f t="shared" ref="AB35:AB36" si="63">V35-AA35</f>
        <v>0</v>
      </c>
      <c r="AE35" s="7">
        <f t="shared" si="28"/>
        <v>2046</v>
      </c>
      <c r="AF35" s="49">
        <f t="shared" ref="AF35:AF36" si="64">+R35</f>
        <v>0</v>
      </c>
      <c r="AG35" s="16">
        <f t="shared" ref="AG35:AG36" si="65">+U35</f>
        <v>0</v>
      </c>
      <c r="AH35" s="49">
        <f t="shared" ref="AH35:AH36" si="66">+AG35+AF35</f>
        <v>0</v>
      </c>
      <c r="AJ35" s="32">
        <f t="shared" ref="AJ35:AJ36" si="67">ROUND(Y35,0)</f>
        <v>0</v>
      </c>
      <c r="AK35" s="32">
        <f t="shared" ref="AK35:AK36" si="68">ROUND(Z35,0)</f>
        <v>0</v>
      </c>
      <c r="AL35" s="32">
        <f t="shared" ref="AL35:AL36" si="69">SUM(AJ35:AK35)</f>
        <v>0</v>
      </c>
      <c r="AN35" s="179">
        <f t="shared" ref="AN35:AN36" si="70">+AH35-AL35</f>
        <v>0</v>
      </c>
      <c r="AQ35" s="7">
        <f t="shared" si="31"/>
        <v>2046</v>
      </c>
      <c r="AR35" s="49">
        <f t="shared" ref="AR35:AR36" si="71">AF35</f>
        <v>0</v>
      </c>
      <c r="AS35" s="49">
        <f t="shared" ref="AS35:AS36" si="72">+AG35</f>
        <v>0</v>
      </c>
      <c r="AT35" s="98">
        <f t="shared" ref="AT35:AT36" si="73">ROUND(($C$28/(1-$C$31))*(1+$C$29)^J35,3)</f>
        <v>5.5E-2</v>
      </c>
      <c r="AU35" s="16">
        <f t="shared" ref="AU35:AU36" si="74">ROUND((IF($C$47+$F$23&gt;$AQ35,$F$27*$F$30,0)+IF($C$48+$G$23&gt;AQ35,$G$27*$G$30,0)+IF($C$49+$H$23&gt;AQ35,$H$27*$H$30,0))*AT35,0)</f>
        <v>0</v>
      </c>
      <c r="AV35" s="95">
        <f t="shared" ref="AV35:AV36" si="75">ROUND($C$33*(1+$C$34)^J35,3)</f>
        <v>2.9430000000000001</v>
      </c>
      <c r="AW35" s="49">
        <f t="shared" ref="AW35:AW36" si="76">ROUND(AV35*M35,0)</f>
        <v>0</v>
      </c>
      <c r="AX35" s="98"/>
      <c r="AY35" s="180"/>
      <c r="AZ35" s="49">
        <f t="shared" ref="AZ35:AZ36" si="77">ROUND(AR35+AS35+AU35+AW35+AY35,0)</f>
        <v>0</v>
      </c>
      <c r="BA35" s="17"/>
      <c r="BB35" s="49">
        <v>0</v>
      </c>
      <c r="BC35" s="49">
        <v>0</v>
      </c>
      <c r="BD35" s="181">
        <f t="shared" ref="BD35:BD36" si="78">BB35+BC35</f>
        <v>0</v>
      </c>
      <c r="BE35" s="49">
        <f t="shared" ref="BE35:BE36" si="79">AZ35-BD35</f>
        <v>0</v>
      </c>
      <c r="BH35" s="7">
        <f t="shared" si="34"/>
        <v>2046</v>
      </c>
      <c r="BI35" s="49">
        <v>0</v>
      </c>
      <c r="BJ35" s="16">
        <f t="shared" ref="BJ35:BJ36" si="80">+M35</f>
        <v>0</v>
      </c>
      <c r="BK35" s="87">
        <f t="shared" ref="BK35:BK36" si="81">ROUND($C$10*(1+$C$11)^J35,3)</f>
        <v>15.542999999999999</v>
      </c>
      <c r="BL35" s="49">
        <f t="shared" ref="BL35:BL36" si="82">ROUND(BJ35*BK35,0)</f>
        <v>0</v>
      </c>
      <c r="BM35" s="87">
        <f t="shared" ref="BM35:BM36" si="83">ROUND($C$13*(1+$C$14)^J35,3)</f>
        <v>0.251</v>
      </c>
      <c r="BN35" s="16">
        <f t="shared" ref="BN35:BN36" si="84">ROUND((IF($C$47+$F$23&gt;BH35,$F$27*$F$30,0)+IF($C$49+$H$23&gt;BH35,$H$27*$H$30,0)+IF($C$48+$G$23&gt;BH35,$G$27*$G$30,0))*BM35,0)</f>
        <v>0</v>
      </c>
      <c r="BO35" s="16"/>
      <c r="BP35" s="49">
        <f t="shared" ref="BP35:BP36" si="85">BI35+BL35+BN35+BO35</f>
        <v>0</v>
      </c>
      <c r="BR35" s="49">
        <f t="shared" ref="BR35:BR36" si="86">+BC35</f>
        <v>0</v>
      </c>
      <c r="BS35" s="49"/>
      <c r="BT35" s="49">
        <f t="shared" ref="BT35:BT36" si="87">BP35-BR35</f>
        <v>0</v>
      </c>
      <c r="BW35" s="7">
        <f t="shared" si="36"/>
        <v>2046</v>
      </c>
      <c r="BX35" s="49">
        <f t="shared" si="23"/>
        <v>0</v>
      </c>
      <c r="BY35" s="16">
        <f t="shared" ref="BY35:BY36" si="88">U35</f>
        <v>0</v>
      </c>
      <c r="BZ35" s="116">
        <f t="shared" ref="BZ35:BZ36" si="89">AU35</f>
        <v>0</v>
      </c>
      <c r="CA35" s="49">
        <f t="shared" ref="CA35:CA36" si="90">SUM(BX35:BZ35)</f>
        <v>0</v>
      </c>
      <c r="CC35" s="49">
        <f t="shared" ref="CC35:CC36" si="91">BB35</f>
        <v>0</v>
      </c>
      <c r="CD35" s="49">
        <f t="shared" ref="CD35:CD36" si="92">BC35</f>
        <v>0</v>
      </c>
      <c r="CE35" s="49">
        <f t="shared" ref="CE35:CE36" si="93">SUM(CC35:CD35)</f>
        <v>0</v>
      </c>
      <c r="CF35" s="49"/>
      <c r="CG35" s="49">
        <f t="shared" ref="CG35:CG36" si="94">CA35-CE35</f>
        <v>0</v>
      </c>
    </row>
    <row r="36" spans="1:87">
      <c r="A36" s="3" t="s">
        <v>77</v>
      </c>
      <c r="C36" s="11">
        <f>+'Gas Input Table Summary'!$D$24</f>
        <v>0</v>
      </c>
      <c r="E36" s="3" t="s">
        <v>91</v>
      </c>
      <c r="F36" s="27"/>
      <c r="H36" s="30">
        <f>+'Gas Input Table Summary'!D58</f>
        <v>2.532</v>
      </c>
      <c r="J36" s="2">
        <f t="shared" si="24"/>
        <v>22</v>
      </c>
      <c r="L36" s="7">
        <f t="shared" si="25"/>
        <v>2047</v>
      </c>
      <c r="M36" s="33">
        <f t="shared" si="50"/>
        <v>0</v>
      </c>
      <c r="N36" s="53">
        <f t="shared" si="51"/>
        <v>6.5449999999999999</v>
      </c>
      <c r="O36" s="32">
        <f t="shared" si="52"/>
        <v>0</v>
      </c>
      <c r="P36" s="95">
        <f t="shared" si="53"/>
        <v>0</v>
      </c>
      <c r="Q36" s="49">
        <f t="shared" si="54"/>
        <v>0</v>
      </c>
      <c r="R36" s="96">
        <f t="shared" si="55"/>
        <v>0</v>
      </c>
      <c r="S36" s="97">
        <f t="shared" si="56"/>
        <v>0</v>
      </c>
      <c r="T36" s="49">
        <f t="shared" si="57"/>
        <v>218</v>
      </c>
      <c r="U36" s="99">
        <f t="shared" si="58"/>
        <v>0</v>
      </c>
      <c r="V36" s="33">
        <f t="shared" si="59"/>
        <v>0</v>
      </c>
      <c r="W36" s="45">
        <f t="shared" si="60"/>
        <v>4.8520000000000003</v>
      </c>
      <c r="X36" s="49">
        <f t="shared" si="61"/>
        <v>0</v>
      </c>
      <c r="Y36" s="49">
        <v>0</v>
      </c>
      <c r="Z36" s="49">
        <v>0</v>
      </c>
      <c r="AA36" s="54">
        <f t="shared" si="62"/>
        <v>0</v>
      </c>
      <c r="AB36" s="54">
        <f t="shared" si="63"/>
        <v>0</v>
      </c>
      <c r="AE36" s="7">
        <f t="shared" si="28"/>
        <v>2047</v>
      </c>
      <c r="AF36" s="49">
        <f t="shared" si="64"/>
        <v>0</v>
      </c>
      <c r="AG36" s="16">
        <f t="shared" si="65"/>
        <v>0</v>
      </c>
      <c r="AH36" s="54">
        <f t="shared" si="66"/>
        <v>0</v>
      </c>
      <c r="AJ36" s="32">
        <f t="shared" si="67"/>
        <v>0</v>
      </c>
      <c r="AK36" s="32">
        <f t="shared" si="68"/>
        <v>0</v>
      </c>
      <c r="AL36" s="34">
        <f t="shared" si="69"/>
        <v>0</v>
      </c>
      <c r="AN36" s="78">
        <f t="shared" si="70"/>
        <v>0</v>
      </c>
      <c r="AQ36" s="7">
        <f t="shared" si="31"/>
        <v>2047</v>
      </c>
      <c r="AR36" s="49">
        <f t="shared" si="71"/>
        <v>0</v>
      </c>
      <c r="AS36" s="49">
        <f t="shared" si="72"/>
        <v>0</v>
      </c>
      <c r="AT36" s="98">
        <f t="shared" si="73"/>
        <v>5.7000000000000002E-2</v>
      </c>
      <c r="AU36" s="16">
        <f t="shared" si="74"/>
        <v>0</v>
      </c>
      <c r="AV36" s="95">
        <f t="shared" si="75"/>
        <v>2.9929999999999999</v>
      </c>
      <c r="AW36" s="49">
        <f t="shared" si="76"/>
        <v>0</v>
      </c>
      <c r="AX36" s="91"/>
      <c r="AY36" s="93"/>
      <c r="AZ36" s="54">
        <f t="shared" si="77"/>
        <v>0</v>
      </c>
      <c r="BA36" s="17"/>
      <c r="BB36" s="49">
        <v>0</v>
      </c>
      <c r="BC36" s="49">
        <v>0</v>
      </c>
      <c r="BD36" s="55">
        <f t="shared" si="78"/>
        <v>0</v>
      </c>
      <c r="BE36" s="54">
        <f t="shared" si="79"/>
        <v>0</v>
      </c>
      <c r="BH36" s="7">
        <f t="shared" si="34"/>
        <v>2047</v>
      </c>
      <c r="BI36" s="49">
        <v>0</v>
      </c>
      <c r="BJ36" s="33">
        <f t="shared" si="80"/>
        <v>0</v>
      </c>
      <c r="BK36" s="87">
        <f t="shared" si="81"/>
        <v>16.009</v>
      </c>
      <c r="BL36" s="49">
        <f t="shared" si="82"/>
        <v>0</v>
      </c>
      <c r="BM36" s="87">
        <f t="shared" si="83"/>
        <v>0.25900000000000001</v>
      </c>
      <c r="BN36" s="16">
        <f t="shared" si="84"/>
        <v>0</v>
      </c>
      <c r="BO36" s="33"/>
      <c r="BP36" s="54">
        <f t="shared" si="85"/>
        <v>0</v>
      </c>
      <c r="BR36" s="54">
        <f t="shared" si="86"/>
        <v>0</v>
      </c>
      <c r="BS36" s="54"/>
      <c r="BT36" s="54">
        <f t="shared" si="87"/>
        <v>0</v>
      </c>
      <c r="BW36" s="7">
        <f t="shared" si="36"/>
        <v>2047</v>
      </c>
      <c r="BX36" s="49">
        <f t="shared" si="23"/>
        <v>0</v>
      </c>
      <c r="BY36" s="16">
        <f t="shared" si="88"/>
        <v>0</v>
      </c>
      <c r="BZ36" s="116">
        <f t="shared" si="89"/>
        <v>0</v>
      </c>
      <c r="CA36" s="54">
        <f t="shared" si="90"/>
        <v>0</v>
      </c>
      <c r="CC36" s="54">
        <f t="shared" si="91"/>
        <v>0</v>
      </c>
      <c r="CD36" s="54">
        <f t="shared" si="92"/>
        <v>0</v>
      </c>
      <c r="CE36" s="54">
        <f t="shared" si="93"/>
        <v>0</v>
      </c>
      <c r="CF36" s="54"/>
      <c r="CG36" s="54">
        <f t="shared" si="94"/>
        <v>0</v>
      </c>
    </row>
    <row r="37" spans="1:87">
      <c r="A37" s="2" t="s">
        <v>47</v>
      </c>
      <c r="C37" s="15">
        <f>+'Gas Input Table Summary'!$D$25</f>
        <v>0</v>
      </c>
      <c r="F37" s="16"/>
      <c r="M37" s="5"/>
      <c r="N37" s="2"/>
      <c r="R37" s="24"/>
      <c r="T37" s="18"/>
      <c r="V37" s="5"/>
      <c r="AA37" s="5"/>
      <c r="AB37" s="5"/>
      <c r="AF37" s="5"/>
      <c r="AH37" s="5"/>
      <c r="AN37" s="5"/>
      <c r="AR37" s="5"/>
      <c r="AU37" s="47"/>
      <c r="AW37" s="47"/>
      <c r="AY37" s="47"/>
      <c r="AZ37" s="47"/>
      <c r="BC37" s="16"/>
      <c r="BG37" s="7"/>
      <c r="BJ37" s="23"/>
      <c r="BP37" s="5"/>
      <c r="BT37" s="5"/>
      <c r="BV37" s="7"/>
      <c r="BY37" s="23"/>
      <c r="CA37" s="5"/>
      <c r="CG37" s="5"/>
    </row>
    <row r="38" spans="1:87">
      <c r="C38" s="15"/>
      <c r="E38" s="51" t="s">
        <v>98</v>
      </c>
      <c r="H38" s="128">
        <f>+'Gas Input Table Summary'!D59</f>
        <v>0.21</v>
      </c>
      <c r="J38" s="24"/>
      <c r="K38" s="2" t="s">
        <v>212</v>
      </c>
      <c r="M38" s="16">
        <f>SUM(M14:M36)</f>
        <v>800</v>
      </c>
      <c r="N38" s="2"/>
      <c r="R38" s="24"/>
      <c r="S38" s="12"/>
      <c r="T38" s="18"/>
      <c r="V38" s="12">
        <f>SUM(V14:V36)</f>
        <v>4601</v>
      </c>
      <c r="X38" s="12"/>
      <c r="Y38" s="12"/>
      <c r="Z38" s="12"/>
      <c r="AA38" s="12">
        <f>SUM(AA14:AA36)</f>
        <v>2537</v>
      </c>
      <c r="AB38" s="12">
        <f>SUM(AB14:AB36)</f>
        <v>2064</v>
      </c>
      <c r="AD38" s="3" t="s">
        <v>78</v>
      </c>
      <c r="AE38" s="16"/>
      <c r="AF38" s="12"/>
      <c r="AG38" s="12"/>
      <c r="AH38" s="12">
        <f>SUM(AH14:AH36)</f>
        <v>4601</v>
      </c>
      <c r="AL38" s="12">
        <f>SUM(AL14:AL36)</f>
        <v>702</v>
      </c>
      <c r="AN38" s="12">
        <f>SUM(AN14:AN36)</f>
        <v>3899</v>
      </c>
      <c r="AP38" s="3" t="s">
        <v>78</v>
      </c>
      <c r="AQ38" s="16"/>
      <c r="AR38" s="12"/>
      <c r="AS38" s="12"/>
      <c r="AU38" s="46"/>
      <c r="AW38" s="46"/>
      <c r="AY38" s="46"/>
      <c r="AZ38" s="94">
        <f>SUM(AZ14:AZ36)</f>
        <v>6388</v>
      </c>
      <c r="BB38" s="12"/>
      <c r="BC38" s="12"/>
      <c r="BD38" s="12">
        <f>SUM(BD14:BD36)</f>
        <v>1227</v>
      </c>
      <c r="BE38" s="12">
        <f>SUM(BE14:BE36)</f>
        <v>5161</v>
      </c>
      <c r="BG38" s="3" t="s">
        <v>212</v>
      </c>
      <c r="BI38" s="12"/>
      <c r="BJ38" s="16">
        <f>SUM(BJ14:BJ36)</f>
        <v>800</v>
      </c>
      <c r="BK38" s="18"/>
      <c r="BL38" s="12"/>
      <c r="BN38" s="12"/>
      <c r="BO38" s="12"/>
      <c r="BP38" s="12">
        <f>SUM(BP14:BP36)</f>
        <v>8186</v>
      </c>
      <c r="BR38" s="12">
        <f>SUM(BR14:BR36)</f>
        <v>1050</v>
      </c>
      <c r="BS38" s="12"/>
      <c r="BT38" s="12">
        <f>SUM(BT14:BT36)</f>
        <v>7136</v>
      </c>
      <c r="BX38" s="12"/>
      <c r="BY38" s="16"/>
      <c r="BZ38" s="3" t="s">
        <v>212</v>
      </c>
      <c r="CA38" s="12">
        <f>SUM(CA14:CA36)</f>
        <v>4601</v>
      </c>
      <c r="CC38" s="12"/>
      <c r="CD38" s="12"/>
      <c r="CE38" s="12">
        <f>SUM(CE14:CE36)</f>
        <v>1227</v>
      </c>
      <c r="CF38" s="12"/>
      <c r="CG38" s="12">
        <f>SUM(CG14:CG36)</f>
        <v>3374</v>
      </c>
    </row>
    <row r="39" spans="1:87">
      <c r="A39" s="3" t="s">
        <v>79</v>
      </c>
      <c r="C39" s="13">
        <f>+'Gas Input Table Summary'!$D$26</f>
        <v>9.8699999999999996E-2</v>
      </c>
      <c r="E39" s="119" t="s">
        <v>227</v>
      </c>
      <c r="M39" s="16"/>
      <c r="N39" s="2"/>
      <c r="R39" s="24"/>
      <c r="S39" s="52"/>
      <c r="T39" s="5" t="s">
        <v>80</v>
      </c>
      <c r="V39" s="52">
        <f>ROUND(V14+NPV($C$41,V15:V36),0)</f>
        <v>3412</v>
      </c>
      <c r="X39" s="12"/>
      <c r="Y39" s="12"/>
      <c r="Z39" s="12"/>
      <c r="AA39" s="12">
        <f>ROUND(AA14+NPV($C$41,AA15:AA36),0)</f>
        <v>2058</v>
      </c>
      <c r="AB39" s="12">
        <f>ROUND(AB14+NPV($C$41,AB15:AB36),0)</f>
        <v>1354</v>
      </c>
      <c r="AF39" s="12"/>
      <c r="AG39" s="3" t="s">
        <v>80</v>
      </c>
      <c r="AH39" s="12">
        <f>ROUND(AH14+NPV($C$41,AH15:AH36),0)</f>
        <v>3412</v>
      </c>
      <c r="AL39" s="12">
        <f>ROUND(AL14+NPV($C$41,AL15:AL36),0)</f>
        <v>702</v>
      </c>
      <c r="AN39" s="12">
        <f>+AH39-AL39</f>
        <v>2710</v>
      </c>
      <c r="AR39" s="12"/>
      <c r="AS39" s="12"/>
      <c r="AU39" s="46"/>
      <c r="AW39" s="3" t="s">
        <v>80</v>
      </c>
      <c r="AY39" s="46"/>
      <c r="AZ39" s="12">
        <f>ROUND(AZ14+NPV($C$43,AZ15:AZ36),0)</f>
        <v>5758</v>
      </c>
      <c r="BB39" s="12"/>
      <c r="BC39" s="12"/>
      <c r="BD39" s="12">
        <f>ROUND(BD14+NPV($C$43,BD15:BD36),0)</f>
        <v>1227</v>
      </c>
      <c r="BE39" s="12">
        <f>AZ39-BD39</f>
        <v>4531</v>
      </c>
      <c r="BG39" s="7"/>
      <c r="BI39" s="12"/>
      <c r="BL39" s="12"/>
      <c r="BN39" s="12" t="s">
        <v>205</v>
      </c>
      <c r="BO39" s="12"/>
      <c r="BP39" s="12">
        <f>ROUND(BP14+NPV($C$39,BP15:BP36),0)</f>
        <v>5609</v>
      </c>
      <c r="BR39" s="12">
        <f>ROUND(BR14+NPV($C$39,BR15:BR36),0)</f>
        <v>1050</v>
      </c>
      <c r="BS39" s="12"/>
      <c r="BT39" s="16">
        <f>ROUND(BT14+NPV($C$39,BT15:BT36),0)</f>
        <v>4559</v>
      </c>
      <c r="BV39" s="7"/>
      <c r="BX39" s="12"/>
      <c r="BZ39" s="12" t="s">
        <v>205</v>
      </c>
      <c r="CA39" s="12">
        <f>ROUND(CA14+NPV($C$41,CA15:CA36),0)</f>
        <v>3412</v>
      </c>
      <c r="CC39" s="12"/>
      <c r="CD39" s="12"/>
      <c r="CE39" s="12">
        <f>ROUND(CE14+NPV($C$41,CE15:CE36),0)</f>
        <v>1227</v>
      </c>
      <c r="CF39" s="12"/>
      <c r="CG39" s="16">
        <f>ROUND(CG14+NPV($C$41,CG15:CG36),0)</f>
        <v>2185</v>
      </c>
    </row>
    <row r="40" spans="1:87">
      <c r="A40" s="3"/>
      <c r="C40" s="13"/>
      <c r="F40" s="16"/>
      <c r="M40" s="16"/>
      <c r="N40" s="2"/>
      <c r="R40" s="24"/>
      <c r="T40" s="18"/>
      <c r="V40" s="16"/>
      <c r="X40" s="3" t="s">
        <v>81</v>
      </c>
      <c r="Z40" s="16"/>
      <c r="AA40" s="16"/>
      <c r="AB40" s="16"/>
      <c r="AF40" s="16"/>
      <c r="AH40" s="16"/>
      <c r="AI40" s="16"/>
      <c r="AR40" s="16"/>
      <c r="AY40" s="16"/>
      <c r="AZ40" s="16"/>
      <c r="BA40" s="16"/>
      <c r="BB40" s="16"/>
      <c r="BC40" s="16"/>
      <c r="BD40" s="16"/>
      <c r="BE40" s="16"/>
      <c r="BF40" s="16"/>
      <c r="BG40" s="7"/>
      <c r="BI40" s="12"/>
      <c r="BP40" s="16"/>
      <c r="BR40" s="12"/>
      <c r="BS40" s="16"/>
      <c r="BU40" s="16"/>
      <c r="BV40" s="7"/>
      <c r="BX40" s="12"/>
      <c r="CA40" s="16"/>
      <c r="CE40" s="12"/>
      <c r="CF40" s="16"/>
    </row>
    <row r="41" spans="1:87">
      <c r="A41" s="3" t="s">
        <v>82</v>
      </c>
      <c r="C41" s="13">
        <f>+'Gas Input Table Summary'!$D$27</f>
        <v>7.0099999999999996E-2</v>
      </c>
      <c r="E41" s="39" t="s">
        <v>88</v>
      </c>
      <c r="F41" s="40" t="s">
        <v>89</v>
      </c>
      <c r="G41" s="41" t="s">
        <v>90</v>
      </c>
      <c r="K41" s="3" t="s">
        <v>83</v>
      </c>
      <c r="M41" s="16"/>
      <c r="N41" s="12">
        <f>AB39</f>
        <v>1354</v>
      </c>
      <c r="Q41" s="12"/>
      <c r="R41" s="24"/>
      <c r="T41" s="18"/>
      <c r="U41" s="18"/>
      <c r="V41" s="16"/>
      <c r="X41" s="3" t="s">
        <v>81</v>
      </c>
      <c r="Z41" s="16"/>
      <c r="AA41" s="16"/>
      <c r="AB41" s="16"/>
      <c r="AD41" s="3" t="s">
        <v>83</v>
      </c>
      <c r="AF41" s="16"/>
      <c r="AG41" s="12">
        <f>AN39</f>
        <v>2710</v>
      </c>
      <c r="AH41" s="12"/>
      <c r="AI41" s="16"/>
      <c r="AM41" s="16"/>
      <c r="AP41" s="3" t="s">
        <v>83</v>
      </c>
      <c r="AR41" s="16"/>
      <c r="AS41" s="12">
        <f>BE39</f>
        <v>4531</v>
      </c>
      <c r="AU41" s="12"/>
      <c r="AW41" s="12"/>
      <c r="AY41" s="16"/>
      <c r="AZ41" s="16"/>
      <c r="BA41" s="25"/>
      <c r="BB41" s="16"/>
      <c r="BC41" s="16"/>
      <c r="BD41" s="16"/>
      <c r="BF41" s="16"/>
      <c r="BG41" s="3" t="s">
        <v>83</v>
      </c>
      <c r="BJ41" s="12">
        <f>BT39</f>
        <v>4559</v>
      </c>
      <c r="BK41" s="12"/>
      <c r="BP41" s="16"/>
      <c r="BS41" s="16"/>
      <c r="BT41" s="16"/>
      <c r="BU41" s="16"/>
      <c r="BV41" s="3" t="s">
        <v>83</v>
      </c>
      <c r="BY41" s="12">
        <f>CG39</f>
        <v>2185</v>
      </c>
      <c r="BZ41" s="12"/>
      <c r="CA41" s="16"/>
      <c r="CF41" s="16"/>
      <c r="CG41" s="16"/>
    </row>
    <row r="42" spans="1:87" ht="13.5" thickBot="1">
      <c r="E42" s="121" t="s">
        <v>5</v>
      </c>
      <c r="F42" s="122">
        <f>N41</f>
        <v>1354</v>
      </c>
      <c r="G42" s="123">
        <f>N42</f>
        <v>1.66</v>
      </c>
      <c r="K42" s="3" t="s">
        <v>84</v>
      </c>
      <c r="N42" s="90">
        <f>ROUND(V39/AA39,2)</f>
        <v>1.66</v>
      </c>
      <c r="Q42" s="18"/>
      <c r="R42" s="24"/>
      <c r="AB42" s="16"/>
      <c r="AD42" s="3" t="s">
        <v>84</v>
      </c>
      <c r="AF42" s="18"/>
      <c r="AG42" s="35">
        <f>ROUND(AH39/AL39,2)</f>
        <v>4.8600000000000003</v>
      </c>
      <c r="AH42" s="18"/>
      <c r="AP42" s="3" t="s">
        <v>84</v>
      </c>
      <c r="AR42" s="18"/>
      <c r="AS42" s="35">
        <f>ROUND(AZ39/BD39,2)</f>
        <v>4.6900000000000004</v>
      </c>
      <c r="AU42" s="18"/>
      <c r="AW42" s="18"/>
      <c r="AZ42" s="2"/>
      <c r="BD42" s="16"/>
      <c r="BG42" s="3" t="s">
        <v>84</v>
      </c>
      <c r="BJ42" s="35">
        <f>ROUND(BP39/BR39,2)</f>
        <v>5.34</v>
      </c>
      <c r="BK42" s="18"/>
      <c r="BV42" s="3" t="s">
        <v>84</v>
      </c>
      <c r="BY42" s="35">
        <f>ROUND(CA39/CE39,2)</f>
        <v>2.78</v>
      </c>
      <c r="BZ42" s="18"/>
    </row>
    <row r="43" spans="1:87" ht="13.5" thickTop="1">
      <c r="A43" s="2" t="s">
        <v>85</v>
      </c>
      <c r="C43" s="13">
        <f>+'Gas Input Table Summary'!$D$28</f>
        <v>2.29E-2</v>
      </c>
      <c r="E43" s="37" t="s">
        <v>6</v>
      </c>
      <c r="F43" s="12">
        <f>AG41</f>
        <v>2710</v>
      </c>
      <c r="G43" s="120">
        <f>AG42</f>
        <v>4.8600000000000003</v>
      </c>
      <c r="J43" s="74"/>
      <c r="K43" s="75"/>
      <c r="L43" s="74"/>
      <c r="M43" s="74"/>
      <c r="N43" s="74"/>
      <c r="O43" s="74"/>
      <c r="Q43" s="74"/>
      <c r="R43" s="76"/>
      <c r="S43" s="74"/>
      <c r="T43" s="74"/>
      <c r="U43" s="74"/>
      <c r="V43" s="74"/>
      <c r="W43" s="74"/>
      <c r="X43" s="74"/>
      <c r="AB43" s="16"/>
      <c r="AD43" s="3"/>
      <c r="AM43" s="26"/>
      <c r="AN43" s="3"/>
      <c r="AP43" s="3"/>
      <c r="AZ43" s="2"/>
      <c r="BB43" s="26"/>
      <c r="BE43" s="3"/>
      <c r="BG43" s="7"/>
      <c r="BV43" s="7"/>
      <c r="CI43" s="17"/>
    </row>
    <row r="44" spans="1:87">
      <c r="E44" s="38" t="s">
        <v>7</v>
      </c>
      <c r="F44" s="12">
        <f>AS41</f>
        <v>4531</v>
      </c>
      <c r="G44" s="120">
        <f>AS42</f>
        <v>4.6900000000000004</v>
      </c>
      <c r="J44" s="57" t="s">
        <v>125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AB44" s="16"/>
      <c r="AZ44" s="2"/>
      <c r="BD44" s="7"/>
      <c r="BV44" s="57" t="s">
        <v>125</v>
      </c>
      <c r="BW44" s="58"/>
      <c r="BX44" s="66"/>
      <c r="BY44" s="66"/>
      <c r="BZ44" s="67"/>
      <c r="CI44" s="17"/>
    </row>
    <row r="45" spans="1:87">
      <c r="A45" s="3" t="s">
        <v>86</v>
      </c>
      <c r="C45" s="136">
        <f>+'Gas Input Table Summary'!$D$29</f>
        <v>2025</v>
      </c>
      <c r="E45" s="37" t="s">
        <v>8</v>
      </c>
      <c r="F45" s="12">
        <f>BJ41</f>
        <v>4559</v>
      </c>
      <c r="G45" s="120">
        <f>BJ42</f>
        <v>5.34</v>
      </c>
      <c r="J45" s="68" t="s">
        <v>48</v>
      </c>
      <c r="K45" s="69" t="s">
        <v>122</v>
      </c>
      <c r="L45" s="70"/>
      <c r="M45" s="70"/>
      <c r="N45" s="70"/>
      <c r="O45" s="70"/>
      <c r="P45" s="70"/>
      <c r="Q45" s="70"/>
      <c r="R45" s="70"/>
      <c r="S45" s="70"/>
      <c r="T45" s="71" t="s">
        <v>56</v>
      </c>
      <c r="U45" s="69" t="s">
        <v>143</v>
      </c>
      <c r="V45" s="70"/>
      <c r="W45" s="70"/>
      <c r="X45" s="72"/>
      <c r="AB45" s="16"/>
      <c r="AD45" s="57" t="s">
        <v>125</v>
      </c>
      <c r="AE45" s="58"/>
      <c r="AF45" s="66"/>
      <c r="AG45" s="66"/>
      <c r="AH45" s="67"/>
      <c r="AI45" s="67"/>
      <c r="AJ45" s="67"/>
      <c r="AK45" s="67"/>
      <c r="AN45" s="3"/>
      <c r="AP45" s="57" t="s">
        <v>125</v>
      </c>
      <c r="AQ45" s="58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7"/>
      <c r="BG45" s="57" t="s">
        <v>125</v>
      </c>
      <c r="BH45" s="58"/>
      <c r="BI45" s="66"/>
      <c r="BJ45" s="66"/>
      <c r="BK45" s="66"/>
      <c r="BL45" s="66"/>
      <c r="BM45" s="66"/>
      <c r="BN45" s="66"/>
      <c r="BO45" s="249"/>
      <c r="BP45" s="66"/>
      <c r="BQ45" s="66"/>
      <c r="BR45" s="66"/>
      <c r="BS45" s="66"/>
      <c r="BT45" s="67"/>
      <c r="BV45" s="85" t="s">
        <v>48</v>
      </c>
      <c r="BW45" s="118" t="s">
        <v>163</v>
      </c>
      <c r="BX45" s="70"/>
      <c r="BY45" s="70"/>
      <c r="BZ45" s="72"/>
      <c r="CA45" s="56" t="s">
        <v>81</v>
      </c>
      <c r="CB45" s="56"/>
      <c r="CC45" s="56"/>
      <c r="CD45" s="56"/>
      <c r="CE45" s="56"/>
      <c r="CI45" s="17"/>
    </row>
    <row r="46" spans="1:87">
      <c r="C46" s="7"/>
      <c r="E46" s="124" t="s">
        <v>218</v>
      </c>
      <c r="F46" s="125">
        <f>BY41</f>
        <v>2185</v>
      </c>
      <c r="G46" s="126">
        <f>BY42</f>
        <v>2.78</v>
      </c>
      <c r="J46" s="38" t="s">
        <v>49</v>
      </c>
      <c r="K46" s="48" t="s">
        <v>140</v>
      </c>
      <c r="N46" s="2"/>
      <c r="T46" s="5" t="s">
        <v>57</v>
      </c>
      <c r="U46" s="48" t="s">
        <v>144</v>
      </c>
      <c r="X46" s="60"/>
      <c r="AB46" s="5"/>
      <c r="AD46" s="68" t="s">
        <v>48</v>
      </c>
      <c r="AE46" s="69" t="s">
        <v>163</v>
      </c>
      <c r="AF46" s="70"/>
      <c r="AG46" s="70"/>
      <c r="AH46" s="70"/>
      <c r="AI46" s="70"/>
      <c r="AJ46" s="70"/>
      <c r="AK46" s="72"/>
      <c r="AN46" s="3"/>
      <c r="AP46" s="82" t="s">
        <v>48</v>
      </c>
      <c r="AQ46" s="69" t="s">
        <v>163</v>
      </c>
      <c r="AR46" s="70"/>
      <c r="AS46" s="70"/>
      <c r="AU46" s="70"/>
      <c r="AW46" s="5" t="s">
        <v>55</v>
      </c>
      <c r="AZ46" s="48" t="s">
        <v>153</v>
      </c>
      <c r="BD46" s="70"/>
      <c r="BE46" s="72"/>
      <c r="BG46" s="85" t="s">
        <v>48</v>
      </c>
      <c r="BH46" s="69" t="s">
        <v>157</v>
      </c>
      <c r="BI46" s="70"/>
      <c r="BJ46" s="70"/>
      <c r="BK46" s="70"/>
      <c r="BL46" s="246" t="s">
        <v>54</v>
      </c>
      <c r="BM46" s="69" t="s">
        <v>158</v>
      </c>
      <c r="BN46" s="70"/>
      <c r="BO46" s="70"/>
      <c r="BP46" s="70"/>
      <c r="BQ46" s="70"/>
      <c r="BR46" s="70"/>
      <c r="BS46" s="70"/>
      <c r="BT46" s="72"/>
      <c r="BV46" s="86" t="s">
        <v>49</v>
      </c>
      <c r="BW46" s="119" t="s">
        <v>164</v>
      </c>
      <c r="BZ46" s="60"/>
      <c r="CI46" s="17"/>
    </row>
    <row r="47" spans="1:87">
      <c r="A47" s="3" t="s">
        <v>87</v>
      </c>
      <c r="C47" s="136">
        <f>+'Total Program Inputs'!C6</f>
        <v>2025</v>
      </c>
      <c r="J47" s="38" t="s">
        <v>50</v>
      </c>
      <c r="K47" s="19" t="s">
        <v>121</v>
      </c>
      <c r="N47" s="2"/>
      <c r="T47" s="5" t="s">
        <v>58</v>
      </c>
      <c r="U47" s="48" t="s">
        <v>160</v>
      </c>
      <c r="X47" s="60"/>
      <c r="AB47" s="12"/>
      <c r="AD47" s="38" t="s">
        <v>49</v>
      </c>
      <c r="AE47" s="19" t="s">
        <v>164</v>
      </c>
      <c r="AK47" s="60"/>
      <c r="AP47" s="83" t="s">
        <v>54</v>
      </c>
      <c r="AQ47" s="48" t="s">
        <v>164</v>
      </c>
      <c r="AW47" s="5" t="s">
        <v>56</v>
      </c>
      <c r="AZ47" s="19" t="s">
        <v>154</v>
      </c>
      <c r="BE47" s="60"/>
      <c r="BG47" s="86" t="s">
        <v>49</v>
      </c>
      <c r="BH47" s="48" t="s">
        <v>126</v>
      </c>
      <c r="BL47" s="7" t="s">
        <v>55</v>
      </c>
      <c r="BM47" s="19" t="s">
        <v>167</v>
      </c>
      <c r="BO47" s="56"/>
      <c r="BP47" s="56"/>
      <c r="BQ47" s="56"/>
      <c r="BR47" s="56"/>
      <c r="BT47" s="60"/>
      <c r="BV47" s="86" t="s">
        <v>50</v>
      </c>
      <c r="BW47" s="119" t="s">
        <v>220</v>
      </c>
      <c r="BZ47" s="60"/>
      <c r="CI47" s="17"/>
    </row>
    <row r="48" spans="1:87">
      <c r="A48" s="127"/>
      <c r="C48" s="7"/>
      <c r="J48" s="38" t="s">
        <v>51</v>
      </c>
      <c r="K48" s="48" t="s">
        <v>139</v>
      </c>
      <c r="N48" s="2"/>
      <c r="T48" s="5" t="s">
        <v>59</v>
      </c>
      <c r="U48" s="19" t="s">
        <v>161</v>
      </c>
      <c r="X48" s="60"/>
      <c r="AB48" s="16"/>
      <c r="AD48" s="38" t="s">
        <v>50</v>
      </c>
      <c r="AE48" s="19" t="s">
        <v>165</v>
      </c>
      <c r="AK48" s="60"/>
      <c r="AP48" s="83" t="s">
        <v>50</v>
      </c>
      <c r="AQ48" s="48" t="s">
        <v>201</v>
      </c>
      <c r="AW48" s="5" t="s">
        <v>57</v>
      </c>
      <c r="AZ48" s="19" t="s">
        <v>155</v>
      </c>
      <c r="BE48" s="60"/>
      <c r="BG48" s="86" t="s">
        <v>50</v>
      </c>
      <c r="BH48" s="19" t="s">
        <v>130</v>
      </c>
      <c r="BL48" s="7" t="s">
        <v>56</v>
      </c>
      <c r="BM48" s="19" t="s">
        <v>159</v>
      </c>
      <c r="BT48" s="60"/>
      <c r="BV48" s="86" t="s">
        <v>51</v>
      </c>
      <c r="BW48" s="119" t="s">
        <v>128</v>
      </c>
      <c r="BZ48" s="60"/>
      <c r="CI48" s="17"/>
    </row>
    <row r="49" spans="1:108">
      <c r="A49" s="127"/>
      <c r="C49" s="7"/>
      <c r="J49" s="38" t="s">
        <v>52</v>
      </c>
      <c r="K49" s="19" t="s">
        <v>141</v>
      </c>
      <c r="N49" s="2"/>
      <c r="O49" s="24"/>
      <c r="T49" s="5" t="s">
        <v>60</v>
      </c>
      <c r="U49" s="48" t="s">
        <v>147</v>
      </c>
      <c r="X49" s="60"/>
      <c r="AB49" s="16"/>
      <c r="AD49" s="38" t="s">
        <v>51</v>
      </c>
      <c r="AE49" s="48" t="s">
        <v>127</v>
      </c>
      <c r="AK49" s="60"/>
      <c r="AO49" s="3"/>
      <c r="AP49" s="83" t="s">
        <v>51</v>
      </c>
      <c r="AQ49" s="48" t="s">
        <v>152</v>
      </c>
      <c r="AW49" s="5" t="s">
        <v>58</v>
      </c>
      <c r="AZ49" s="19" t="s">
        <v>156</v>
      </c>
      <c r="BE49" s="60"/>
      <c r="BG49" s="86" t="s">
        <v>51</v>
      </c>
      <c r="BH49" s="48" t="s">
        <v>131</v>
      </c>
      <c r="BT49" s="60"/>
      <c r="BV49" s="86" t="s">
        <v>52</v>
      </c>
      <c r="BW49" s="119" t="s">
        <v>224</v>
      </c>
      <c r="BZ49" s="60"/>
    </row>
    <row r="50" spans="1:108">
      <c r="J50" s="38" t="s">
        <v>53</v>
      </c>
      <c r="K50" s="48" t="s">
        <v>142</v>
      </c>
      <c r="N50" s="2"/>
      <c r="T50" s="5" t="s">
        <v>61</v>
      </c>
      <c r="U50" s="19" t="s">
        <v>129</v>
      </c>
      <c r="X50" s="60"/>
      <c r="AD50" s="38" t="s">
        <v>52</v>
      </c>
      <c r="AE50" s="48" t="s">
        <v>157</v>
      </c>
      <c r="AK50" s="60"/>
      <c r="AP50" s="83" t="s">
        <v>52</v>
      </c>
      <c r="AQ50" s="48" t="s">
        <v>135</v>
      </c>
      <c r="AW50" s="5"/>
      <c r="AZ50" s="2"/>
      <c r="BE50" s="60"/>
      <c r="BG50" s="86" t="s">
        <v>52</v>
      </c>
      <c r="BH50" s="48" t="s">
        <v>166</v>
      </c>
      <c r="BT50" s="60"/>
      <c r="BV50" s="86" t="s">
        <v>53</v>
      </c>
      <c r="BW50" s="119" t="s">
        <v>225</v>
      </c>
      <c r="BZ50" s="60"/>
    </row>
    <row r="51" spans="1:108" ht="14.1" customHeight="1">
      <c r="J51" s="38" t="s">
        <v>54</v>
      </c>
      <c r="K51" s="48" t="s">
        <v>123</v>
      </c>
      <c r="N51" s="2"/>
      <c r="T51" s="5" t="s">
        <v>138</v>
      </c>
      <c r="U51" s="19" t="s">
        <v>162</v>
      </c>
      <c r="X51" s="60"/>
      <c r="AD51" s="38" t="s">
        <v>53</v>
      </c>
      <c r="AE51" s="19" t="s">
        <v>149</v>
      </c>
      <c r="AK51" s="60"/>
      <c r="AP51" s="83" t="s">
        <v>53</v>
      </c>
      <c r="AQ51" s="48" t="s">
        <v>136</v>
      </c>
      <c r="AW51" s="5"/>
      <c r="AZ51" s="2"/>
      <c r="BE51" s="60"/>
      <c r="BG51" s="247" t="s">
        <v>53</v>
      </c>
      <c r="BH51" s="251" t="s">
        <v>330</v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64"/>
      <c r="BV51" s="86" t="s">
        <v>54</v>
      </c>
      <c r="BW51" s="119" t="s">
        <v>221</v>
      </c>
      <c r="BZ51" s="60"/>
    </row>
    <row r="52" spans="1:108" ht="14.1" customHeight="1">
      <c r="A52" s="3"/>
      <c r="C52" s="13"/>
      <c r="J52" s="89" t="s">
        <v>55</v>
      </c>
      <c r="K52" s="62" t="s">
        <v>124</v>
      </c>
      <c r="L52" s="10"/>
      <c r="M52" s="10"/>
      <c r="N52" s="10"/>
      <c r="O52" s="10"/>
      <c r="P52" s="10"/>
      <c r="Q52" s="10"/>
      <c r="R52" s="10"/>
      <c r="S52" s="10"/>
      <c r="T52" s="63" t="s">
        <v>146</v>
      </c>
      <c r="U52" s="62" t="s">
        <v>148</v>
      </c>
      <c r="V52" s="10"/>
      <c r="W52" s="10"/>
      <c r="X52" s="64"/>
      <c r="AD52" s="61" t="s">
        <v>54</v>
      </c>
      <c r="AE52" s="73" t="s">
        <v>150</v>
      </c>
      <c r="AF52" s="10"/>
      <c r="AG52" s="10"/>
      <c r="AH52" s="10"/>
      <c r="AI52" s="10"/>
      <c r="AJ52" s="10"/>
      <c r="AK52" s="64"/>
      <c r="AP52" s="84" t="s">
        <v>54</v>
      </c>
      <c r="AQ52" s="73" t="s">
        <v>151</v>
      </c>
      <c r="AR52" s="10"/>
      <c r="AS52" s="10"/>
      <c r="AT52" s="10"/>
      <c r="AU52" s="10"/>
      <c r="AV52" s="10"/>
      <c r="AW52" s="63"/>
      <c r="AX52" s="63"/>
      <c r="AY52" s="63"/>
      <c r="AZ52" s="63"/>
      <c r="BA52" s="10"/>
      <c r="BB52" s="10"/>
      <c r="BC52" s="10"/>
      <c r="BD52" s="10"/>
      <c r="BE52" s="64"/>
      <c r="BG52" s="7"/>
      <c r="BH52" s="48"/>
      <c r="BM52" s="5"/>
      <c r="BV52" s="247" t="s">
        <v>55</v>
      </c>
      <c r="BW52" s="248" t="s">
        <v>222</v>
      </c>
      <c r="BX52" s="10"/>
      <c r="BY52" s="10"/>
      <c r="BZ52" s="64"/>
      <c r="CL52" s="18"/>
      <c r="DB52" s="16"/>
    </row>
    <row r="53" spans="1:108" ht="14.1" customHeight="1">
      <c r="C53" s="3"/>
      <c r="AD53" s="5"/>
      <c r="AZ53" s="2"/>
      <c r="BG53" s="7"/>
      <c r="BH53" s="19"/>
      <c r="BV53" s="7"/>
      <c r="CL53" s="12"/>
      <c r="DD53" s="16"/>
    </row>
    <row r="54" spans="1:108" ht="14.1" customHeight="1">
      <c r="C54" s="17"/>
      <c r="K54" s="48"/>
      <c r="N54" s="2"/>
      <c r="R54" s="24"/>
      <c r="AZ54" s="2"/>
      <c r="BG54" s="7"/>
      <c r="BH54" s="19"/>
    </row>
    <row r="55" spans="1:108" ht="14.1" customHeight="1">
      <c r="C55" s="17"/>
      <c r="K55" s="48"/>
      <c r="N55" s="2"/>
      <c r="R55" s="24"/>
      <c r="AB55" s="16"/>
      <c r="AP55" s="5"/>
      <c r="AZ55" s="2"/>
      <c r="BG55" s="7"/>
      <c r="BV55" s="7"/>
    </row>
    <row r="56" spans="1:108">
      <c r="C56" s="17"/>
      <c r="K56" s="48"/>
      <c r="N56" s="2"/>
      <c r="R56" s="24"/>
      <c r="AP56" s="3"/>
      <c r="AZ56" s="2"/>
      <c r="BH56" s="7"/>
      <c r="BW56" s="7"/>
    </row>
    <row r="57" spans="1:108">
      <c r="C57" s="28"/>
      <c r="N57" s="2"/>
      <c r="R57" s="24"/>
      <c r="AP57" s="3"/>
      <c r="AZ57" s="2"/>
      <c r="BW57" s="7"/>
    </row>
    <row r="58" spans="1:108">
      <c r="C58" s="28"/>
      <c r="N58" s="2"/>
      <c r="Q58" s="24"/>
      <c r="AO58" s="3"/>
      <c r="AZ58" s="2"/>
      <c r="BG58" s="7"/>
      <c r="BV58" s="7"/>
    </row>
    <row r="59" spans="1:108">
      <c r="C59" s="17"/>
      <c r="N59" s="2"/>
      <c r="Q59" s="24"/>
      <c r="AZ59" s="2"/>
      <c r="BG59" s="7"/>
      <c r="BV59" s="7"/>
    </row>
    <row r="60" spans="1:108">
      <c r="N60" s="2"/>
      <c r="Q60" s="24"/>
      <c r="AZ60" s="2"/>
      <c r="BG60" s="7"/>
      <c r="BV60" s="7"/>
    </row>
    <row r="61" spans="1:108">
      <c r="N61" s="2"/>
      <c r="Q61" s="24"/>
      <c r="AZ61" s="2"/>
      <c r="BG61" s="7"/>
      <c r="BV61" s="7"/>
    </row>
    <row r="62" spans="1:108" ht="12" customHeight="1">
      <c r="N62" s="2"/>
      <c r="Q62" s="24"/>
      <c r="AZ62" s="2"/>
      <c r="BG62" s="7"/>
      <c r="BV62" s="7"/>
    </row>
    <row r="63" spans="1:108">
      <c r="N63" s="2"/>
      <c r="Q63" s="24"/>
      <c r="AZ63" s="2"/>
      <c r="BG63" s="7"/>
      <c r="BV63" s="7"/>
    </row>
    <row r="64" spans="1:108">
      <c r="N64" s="2"/>
      <c r="Q64" s="24"/>
      <c r="AZ64" s="2"/>
      <c r="BG64" s="7"/>
      <c r="BV64" s="7"/>
    </row>
    <row r="65" spans="1:74">
      <c r="C65" s="12"/>
      <c r="N65" s="2"/>
      <c r="Q65" s="24"/>
      <c r="AZ65" s="2"/>
      <c r="BG65" s="7"/>
      <c r="BV65" s="7"/>
    </row>
    <row r="66" spans="1:74">
      <c r="A66" s="9"/>
      <c r="B66" s="3"/>
      <c r="N66" s="2"/>
      <c r="Q66" s="24"/>
      <c r="AZ66" s="2"/>
      <c r="BG66" s="7"/>
      <c r="BV66" s="7"/>
    </row>
    <row r="67" spans="1:74">
      <c r="A67" s="9"/>
      <c r="B67" s="3"/>
      <c r="N67" s="2"/>
      <c r="Q67" s="24"/>
      <c r="AZ67" s="2"/>
      <c r="BG67" s="7"/>
      <c r="BV67" s="7"/>
    </row>
    <row r="68" spans="1:74">
      <c r="N68" s="2"/>
      <c r="Q68" s="24"/>
      <c r="AZ68" s="2"/>
      <c r="BG68" s="7"/>
      <c r="BV68" s="7"/>
    </row>
    <row r="69" spans="1:74">
      <c r="N69" s="2"/>
      <c r="Q69" s="24"/>
      <c r="AZ69" s="2"/>
      <c r="BG69" s="7"/>
      <c r="BV69" s="7"/>
    </row>
    <row r="70" spans="1:74">
      <c r="N70" s="2"/>
      <c r="Q70" s="24"/>
      <c r="AZ70" s="2"/>
      <c r="BG70" s="7"/>
      <c r="BV70" s="7"/>
    </row>
    <row r="71" spans="1:74">
      <c r="N71" s="2"/>
      <c r="Q71" s="24"/>
      <c r="AZ71" s="2"/>
      <c r="BG71" s="7"/>
      <c r="BV71" s="7"/>
    </row>
    <row r="72" spans="1:74">
      <c r="N72" s="2"/>
      <c r="Q72" s="24"/>
      <c r="AZ72" s="2"/>
      <c r="BG72" s="7"/>
      <c r="BV72" s="7"/>
    </row>
    <row r="73" spans="1:74">
      <c r="N73" s="2"/>
      <c r="Q73" s="24"/>
      <c r="AZ73" s="2"/>
      <c r="BG73" s="7"/>
      <c r="BV73" s="7"/>
    </row>
    <row r="74" spans="1:74">
      <c r="N74" s="2"/>
      <c r="Q74" s="24"/>
      <c r="AZ74" s="2"/>
      <c r="BG74" s="7"/>
      <c r="BV74" s="7"/>
    </row>
    <row r="75" spans="1:74">
      <c r="N75" s="2"/>
      <c r="Q75" s="24"/>
      <c r="AZ75" s="2"/>
      <c r="BG75" s="7"/>
      <c r="BV75" s="7"/>
    </row>
    <row r="76" spans="1:74">
      <c r="N76" s="2"/>
      <c r="Q76" s="24"/>
      <c r="AZ76" s="2"/>
      <c r="BG76" s="7"/>
      <c r="BV76" s="7"/>
    </row>
    <row r="77" spans="1:74">
      <c r="N77" s="2"/>
      <c r="Q77" s="24"/>
      <c r="AZ77" s="2"/>
      <c r="BG77" s="7"/>
      <c r="BV77" s="7"/>
    </row>
    <row r="78" spans="1:74">
      <c r="N78" s="2"/>
      <c r="Q78" s="24"/>
      <c r="AZ78" s="2"/>
      <c r="BG78" s="7"/>
      <c r="BV78" s="7"/>
    </row>
    <row r="79" spans="1:74">
      <c r="N79" s="2"/>
      <c r="Q79" s="24"/>
      <c r="AZ79" s="2"/>
      <c r="BG79" s="7"/>
      <c r="BV79" s="7"/>
    </row>
    <row r="80" spans="1:74">
      <c r="N80" s="2"/>
      <c r="Q80" s="24"/>
      <c r="AZ80" s="2"/>
      <c r="BG80" s="7"/>
      <c r="BV80" s="7"/>
    </row>
    <row r="81" spans="6:74">
      <c r="F81" s="26"/>
      <c r="G81" s="26"/>
      <c r="N81" s="2"/>
      <c r="Q81" s="24"/>
      <c r="AZ81" s="2"/>
      <c r="BG81" s="7"/>
      <c r="BV81" s="7"/>
    </row>
    <row r="82" spans="6:74">
      <c r="N82" s="2"/>
      <c r="Q82" s="24"/>
      <c r="AZ82" s="2"/>
      <c r="BG82" s="7"/>
      <c r="BV82" s="7"/>
    </row>
    <row r="83" spans="6:74">
      <c r="N83" s="2"/>
      <c r="Q83" s="24"/>
      <c r="AZ83" s="2"/>
      <c r="BG83" s="7"/>
      <c r="BV83" s="7"/>
    </row>
    <row r="84" spans="6:74">
      <c r="N84" s="2"/>
      <c r="Q84" s="24"/>
      <c r="AZ84" s="2"/>
      <c r="BG84" s="7"/>
      <c r="BV84" s="7"/>
    </row>
    <row r="85" spans="6:74">
      <c r="N85" s="2"/>
      <c r="Q85" s="24"/>
      <c r="AZ85" s="2"/>
      <c r="BG85" s="7"/>
      <c r="BV85" s="7"/>
    </row>
    <row r="86" spans="6:74">
      <c r="N86" s="2"/>
      <c r="Q86" s="24"/>
      <c r="AZ86" s="2"/>
      <c r="BG86" s="7"/>
      <c r="BV86" s="7"/>
    </row>
    <row r="87" spans="6:74">
      <c r="N87" s="2"/>
      <c r="Q87" s="24"/>
      <c r="AZ87" s="2"/>
      <c r="BG87" s="7"/>
      <c r="BV87" s="7"/>
    </row>
    <row r="88" spans="6:74">
      <c r="N88" s="2"/>
      <c r="Q88" s="24"/>
      <c r="AZ88" s="2"/>
      <c r="BG88" s="7"/>
      <c r="BV88" s="7"/>
    </row>
    <row r="89" spans="6:74">
      <c r="N89" s="2"/>
      <c r="Q89" s="24"/>
      <c r="AZ89" s="2"/>
      <c r="BG89" s="7"/>
      <c r="BV89" s="7"/>
    </row>
    <row r="90" spans="6:74">
      <c r="N90" s="2"/>
      <c r="Q90" s="24"/>
      <c r="AZ90" s="2"/>
      <c r="BG90" s="7"/>
      <c r="BV90" s="7"/>
    </row>
    <row r="91" spans="6:74">
      <c r="N91" s="2"/>
      <c r="Q91" s="24"/>
      <c r="AZ91" s="2"/>
      <c r="BG91" s="7"/>
      <c r="BV91" s="7"/>
    </row>
    <row r="92" spans="6:74">
      <c r="N92" s="2"/>
      <c r="Q92" s="24"/>
      <c r="AZ92" s="2"/>
      <c r="BG92" s="7"/>
      <c r="BV92" s="7"/>
    </row>
    <row r="93" spans="6:74">
      <c r="N93" s="2"/>
      <c r="Q93" s="24"/>
      <c r="AZ93" s="2"/>
      <c r="BG93" s="7"/>
      <c r="BV93" s="7"/>
    </row>
    <row r="94" spans="6:74">
      <c r="N94" s="2"/>
      <c r="Q94" s="24"/>
      <c r="AZ94" s="2"/>
      <c r="BG94" s="7"/>
      <c r="BV94" s="7"/>
    </row>
    <row r="95" spans="6:74">
      <c r="N95" s="2"/>
      <c r="Q95" s="24"/>
      <c r="AZ95" s="2"/>
      <c r="BG95" s="7"/>
      <c r="BV95" s="7"/>
    </row>
    <row r="96" spans="6:74">
      <c r="N96" s="2"/>
      <c r="Q96" s="24"/>
      <c r="AZ96" s="2"/>
      <c r="BG96" s="7"/>
      <c r="BV96" s="7"/>
    </row>
    <row r="97" spans="1:74">
      <c r="N97" s="2"/>
      <c r="Q97" s="24"/>
      <c r="AZ97" s="2"/>
      <c r="BG97" s="7"/>
      <c r="BV97" s="7"/>
    </row>
    <row r="98" spans="1:74">
      <c r="N98" s="2"/>
      <c r="Q98" s="24"/>
      <c r="AZ98" s="2"/>
      <c r="BG98" s="7"/>
      <c r="BV98" s="7"/>
    </row>
    <row r="99" spans="1:74">
      <c r="N99" s="2"/>
      <c r="Q99" s="24"/>
      <c r="AZ99" s="2"/>
      <c r="BG99" s="7"/>
      <c r="BV99" s="7"/>
    </row>
    <row r="100" spans="1:74">
      <c r="N100" s="2"/>
      <c r="Q100" s="24"/>
      <c r="AZ100" s="2"/>
      <c r="BG100" s="7"/>
      <c r="BV100" s="7"/>
    </row>
    <row r="101" spans="1:74">
      <c r="N101" s="2"/>
      <c r="Q101" s="24"/>
      <c r="AZ101" s="2"/>
      <c r="BG101" s="7"/>
      <c r="BV101" s="7"/>
    </row>
    <row r="102" spans="1:74">
      <c r="N102" s="2"/>
      <c r="Q102" s="24"/>
      <c r="AZ102" s="2"/>
      <c r="BG102" s="7"/>
      <c r="BV102" s="7"/>
    </row>
    <row r="103" spans="1:74">
      <c r="N103" s="2"/>
      <c r="Q103" s="24"/>
      <c r="AZ103" s="2"/>
      <c r="BG103" s="7"/>
      <c r="BV103" s="7"/>
    </row>
    <row r="104" spans="1:74">
      <c r="N104" s="2"/>
      <c r="Q104" s="24"/>
      <c r="AZ104" s="2"/>
      <c r="BG104" s="7"/>
      <c r="BV104" s="7"/>
    </row>
    <row r="105" spans="1:74">
      <c r="E105" s="29"/>
      <c r="N105" s="2"/>
      <c r="Q105" s="24"/>
      <c r="AZ105" s="2"/>
      <c r="BG105" s="7"/>
      <c r="BV105" s="7"/>
    </row>
    <row r="106" spans="1:74">
      <c r="N106" s="2"/>
      <c r="Q106" s="24"/>
      <c r="AZ106" s="2"/>
      <c r="BG106" s="7"/>
      <c r="BV106" s="7"/>
    </row>
    <row r="107" spans="1:74">
      <c r="N107" s="2"/>
      <c r="Q107" s="24"/>
      <c r="AZ107" s="2"/>
      <c r="BG107" s="7"/>
      <c r="BV107" s="7"/>
    </row>
    <row r="108" spans="1:74">
      <c r="N108" s="2"/>
      <c r="Q108" s="24"/>
      <c r="AZ108" s="2"/>
      <c r="BG108" s="7"/>
      <c r="BV108" s="7"/>
    </row>
    <row r="109" spans="1:74">
      <c r="N109" s="2"/>
      <c r="Q109" s="24"/>
      <c r="AZ109" s="2"/>
      <c r="BG109" s="7"/>
      <c r="BV109" s="7"/>
    </row>
    <row r="110" spans="1:74">
      <c r="N110" s="2"/>
      <c r="Q110" s="24"/>
      <c r="AZ110" s="2"/>
      <c r="BG110" s="7"/>
      <c r="BV110" s="7"/>
    </row>
    <row r="111" spans="1:74">
      <c r="A111" s="9"/>
      <c r="B111" s="3"/>
      <c r="N111" s="2"/>
      <c r="Q111" s="24"/>
      <c r="AZ111" s="2"/>
      <c r="BG111" s="7"/>
      <c r="BV111" s="7"/>
    </row>
    <row r="112" spans="1:74">
      <c r="N112" s="2"/>
      <c r="Q112" s="24"/>
      <c r="AZ112" s="2"/>
      <c r="BG112" s="7"/>
      <c r="BV112" s="7"/>
    </row>
    <row r="113" spans="1:74">
      <c r="N113" s="2"/>
      <c r="Q113" s="24"/>
      <c r="AZ113" s="2"/>
      <c r="BG113" s="7"/>
      <c r="BV113" s="7"/>
    </row>
    <row r="114" spans="1:74">
      <c r="N114" s="2"/>
      <c r="Q114" s="24"/>
      <c r="AZ114" s="2"/>
      <c r="BG114" s="7"/>
      <c r="BV114" s="7"/>
    </row>
    <row r="115" spans="1:74">
      <c r="N115" s="2"/>
      <c r="Q115" s="24"/>
      <c r="AZ115" s="2"/>
      <c r="BG115" s="7"/>
      <c r="BV115" s="7"/>
    </row>
    <row r="116" spans="1:74">
      <c r="N116" s="2"/>
      <c r="Q116" s="24"/>
      <c r="AZ116" s="2"/>
      <c r="BG116" s="7"/>
      <c r="BV116" s="7"/>
    </row>
    <row r="117" spans="1:74">
      <c r="N117" s="2"/>
      <c r="Q117" s="24"/>
      <c r="AZ117" s="2"/>
      <c r="BG117" s="7"/>
      <c r="BV117" s="7"/>
    </row>
    <row r="118" spans="1:74">
      <c r="N118" s="2"/>
      <c r="Q118" s="24"/>
      <c r="AZ118" s="2"/>
      <c r="BG118" s="7"/>
      <c r="BV118" s="7"/>
    </row>
    <row r="119" spans="1:74">
      <c r="N119" s="2"/>
      <c r="Q119" s="24"/>
      <c r="AZ119" s="2"/>
      <c r="BG119" s="7"/>
      <c r="BV119" s="7"/>
    </row>
    <row r="120" spans="1:74">
      <c r="N120" s="2"/>
      <c r="Q120" s="24"/>
      <c r="AZ120" s="2"/>
      <c r="BG120" s="7"/>
      <c r="BV120" s="7"/>
    </row>
    <row r="121" spans="1:74">
      <c r="N121" s="2"/>
      <c r="Q121" s="24"/>
      <c r="AZ121" s="2"/>
      <c r="BG121" s="7"/>
      <c r="BV121" s="7"/>
    </row>
    <row r="122" spans="1:74">
      <c r="N122" s="2"/>
      <c r="Q122" s="24"/>
      <c r="AZ122" s="2"/>
      <c r="BG122" s="7"/>
      <c r="BV122" s="7"/>
    </row>
    <row r="123" spans="1:74">
      <c r="N123" s="2"/>
      <c r="Q123" s="24"/>
      <c r="AZ123" s="2"/>
      <c r="BG123" s="7"/>
      <c r="BV123" s="7"/>
    </row>
    <row r="124" spans="1:74">
      <c r="N124" s="2"/>
      <c r="Q124" s="24"/>
      <c r="AZ124" s="2"/>
      <c r="BG124" s="7"/>
      <c r="BV124" s="7"/>
    </row>
    <row r="125" spans="1:74">
      <c r="N125" s="2"/>
      <c r="Q125" s="24"/>
      <c r="AZ125" s="2"/>
      <c r="BG125" s="7"/>
      <c r="BV125" s="7"/>
    </row>
    <row r="126" spans="1:74">
      <c r="N126" s="2"/>
      <c r="Q126" s="24"/>
      <c r="AZ126" s="2"/>
      <c r="BG126" s="7"/>
      <c r="BV126" s="7"/>
    </row>
    <row r="127" spans="1:74">
      <c r="N127" s="2"/>
      <c r="Q127" s="24"/>
      <c r="AZ127" s="2"/>
      <c r="BG127" s="7"/>
      <c r="BV127" s="7"/>
    </row>
    <row r="128" spans="1:74">
      <c r="A128" s="3"/>
      <c r="N128" s="2"/>
      <c r="Q128" s="24"/>
      <c r="AZ128" s="2"/>
      <c r="BG128" s="7"/>
      <c r="BV128" s="7"/>
    </row>
    <row r="129" spans="1:74">
      <c r="A129" s="3"/>
      <c r="N129" s="2"/>
      <c r="Q129" s="24"/>
      <c r="AZ129" s="2"/>
      <c r="BG129" s="7"/>
      <c r="BV129" s="7"/>
    </row>
    <row r="130" spans="1:74">
      <c r="A130" s="3"/>
      <c r="B130" s="3"/>
      <c r="N130" s="2"/>
      <c r="Q130" s="24"/>
      <c r="AZ130" s="2"/>
      <c r="BG130" s="7"/>
      <c r="BV130" s="7"/>
    </row>
    <row r="131" spans="1:74">
      <c r="N131" s="2"/>
      <c r="Q131" s="24"/>
      <c r="AZ131" s="2"/>
      <c r="BG131" s="7"/>
      <c r="BV131" s="7"/>
    </row>
    <row r="132" spans="1:74">
      <c r="A132" s="3"/>
      <c r="B132" s="3"/>
      <c r="N132" s="2"/>
      <c r="Q132" s="24"/>
      <c r="AZ132" s="2"/>
      <c r="BG132" s="7"/>
      <c r="BV132" s="7"/>
    </row>
    <row r="133" spans="1:74">
      <c r="N133" s="2"/>
      <c r="Q133" s="24"/>
      <c r="AZ133" s="2"/>
      <c r="BG133" s="7"/>
      <c r="BV133" s="7"/>
    </row>
    <row r="134" spans="1:74">
      <c r="A134" s="3"/>
      <c r="B134" s="3"/>
      <c r="N134" s="2"/>
      <c r="Q134" s="24"/>
      <c r="AZ134" s="2"/>
      <c r="BG134" s="7"/>
      <c r="BV134" s="7"/>
    </row>
    <row r="135" spans="1:74">
      <c r="N135" s="2"/>
      <c r="Q135" s="24"/>
      <c r="AZ135" s="2"/>
      <c r="BG135" s="7"/>
      <c r="BV135" s="7"/>
    </row>
    <row r="136" spans="1:74">
      <c r="A136" s="3"/>
      <c r="B136" s="3"/>
      <c r="N136" s="2"/>
      <c r="Q136" s="24"/>
      <c r="AZ136" s="2"/>
      <c r="BG136" s="7"/>
      <c r="BV136" s="7"/>
    </row>
    <row r="137" spans="1:74">
      <c r="N137" s="2"/>
      <c r="Q137" s="24"/>
      <c r="AZ137" s="2"/>
      <c r="BG137" s="7"/>
      <c r="BV137" s="7"/>
    </row>
    <row r="138" spans="1:74">
      <c r="A138" s="3"/>
      <c r="B138" s="3"/>
      <c r="N138" s="2"/>
      <c r="Q138" s="24"/>
      <c r="AZ138" s="2"/>
      <c r="BG138" s="7"/>
      <c r="BV138" s="7"/>
    </row>
    <row r="139" spans="1:74">
      <c r="N139" s="2"/>
      <c r="Q139" s="24"/>
      <c r="AZ139" s="2"/>
      <c r="BG139" s="7"/>
      <c r="BV139" s="7"/>
    </row>
    <row r="140" spans="1:74">
      <c r="A140" s="3"/>
      <c r="B140" s="3"/>
      <c r="N140" s="2"/>
      <c r="Q140" s="24"/>
      <c r="AZ140" s="2"/>
      <c r="BG140" s="7"/>
      <c r="BV140" s="7"/>
    </row>
    <row r="141" spans="1:74">
      <c r="N141" s="2"/>
      <c r="Q141" s="24"/>
      <c r="AZ141" s="2"/>
      <c r="BG141" s="7"/>
      <c r="BV141" s="7"/>
    </row>
    <row r="142" spans="1:74">
      <c r="A142" s="3"/>
      <c r="B142" s="3"/>
      <c r="N142" s="2"/>
      <c r="Q142" s="24"/>
      <c r="AZ142" s="2"/>
      <c r="BG142" s="7"/>
      <c r="BV142" s="7"/>
    </row>
    <row r="143" spans="1:74">
      <c r="N143" s="2"/>
      <c r="Q143" s="24"/>
      <c r="AZ143" s="2"/>
      <c r="BG143" s="7"/>
      <c r="BV143" s="7"/>
    </row>
    <row r="144" spans="1:74">
      <c r="A144" s="3"/>
      <c r="B144" s="3"/>
      <c r="N144" s="2"/>
      <c r="Q144" s="24"/>
      <c r="AZ144" s="2"/>
      <c r="BG144" s="7"/>
      <c r="BV144" s="7"/>
    </row>
    <row r="145" spans="1:74">
      <c r="N145" s="2"/>
      <c r="Q145" s="24"/>
      <c r="AZ145" s="2"/>
      <c r="BG145" s="7"/>
      <c r="BV145" s="7"/>
    </row>
    <row r="146" spans="1:74">
      <c r="N146" s="2"/>
      <c r="Q146" s="24"/>
      <c r="AZ146" s="2"/>
      <c r="BG146" s="7"/>
      <c r="BV146" s="7"/>
    </row>
    <row r="147" spans="1:74">
      <c r="N147" s="2"/>
      <c r="Q147" s="24"/>
      <c r="AZ147" s="2"/>
      <c r="BG147" s="7"/>
      <c r="BV147" s="7"/>
    </row>
    <row r="148" spans="1:74">
      <c r="A148" s="3"/>
      <c r="N148" s="2"/>
      <c r="Q148" s="24"/>
      <c r="AZ148" s="2"/>
      <c r="BG148" s="7"/>
      <c r="BV148" s="7"/>
    </row>
    <row r="149" spans="1:74">
      <c r="A149" s="3"/>
      <c r="N149" s="2"/>
      <c r="Q149" s="24"/>
      <c r="AZ149" s="2"/>
      <c r="BG149" s="7"/>
      <c r="BV149" s="7"/>
    </row>
    <row r="150" spans="1:74">
      <c r="A150" s="3"/>
      <c r="B150" s="3"/>
      <c r="N150" s="2"/>
      <c r="Q150" s="24"/>
      <c r="AZ150" s="2"/>
      <c r="BG150" s="7"/>
      <c r="BV150" s="7"/>
    </row>
    <row r="151" spans="1:74">
      <c r="B151" s="3"/>
      <c r="N151" s="2"/>
      <c r="Q151" s="24"/>
      <c r="AZ151" s="2"/>
      <c r="BG151" s="7"/>
      <c r="BV151" s="7"/>
    </row>
    <row r="152" spans="1:74">
      <c r="B152" s="3"/>
      <c r="N152" s="2"/>
      <c r="Q152" s="24"/>
      <c r="AZ152" s="2"/>
      <c r="BG152" s="7"/>
      <c r="BV152" s="7"/>
    </row>
    <row r="153" spans="1:74">
      <c r="B153" s="3"/>
      <c r="N153" s="2"/>
      <c r="Q153" s="24"/>
      <c r="AZ153" s="2"/>
      <c r="BG153" s="7"/>
      <c r="BV153" s="7"/>
    </row>
    <row r="154" spans="1:74">
      <c r="B154" s="3"/>
      <c r="N154" s="2"/>
      <c r="Q154" s="24"/>
      <c r="AZ154" s="2"/>
      <c r="BG154" s="7"/>
      <c r="BV154" s="7"/>
    </row>
    <row r="155" spans="1:74">
      <c r="B155" s="3"/>
      <c r="N155" s="2"/>
      <c r="Q155" s="24"/>
      <c r="AZ155" s="2"/>
      <c r="BG155" s="7"/>
      <c r="BV155" s="7"/>
    </row>
    <row r="156" spans="1:74">
      <c r="B156" s="3"/>
      <c r="N156" s="2"/>
      <c r="Q156" s="24"/>
      <c r="AZ156" s="2"/>
      <c r="BG156" s="7"/>
      <c r="BV156" s="7"/>
    </row>
    <row r="157" spans="1:74">
      <c r="B157" s="3"/>
      <c r="N157" s="2"/>
      <c r="Q157" s="24"/>
      <c r="AZ157" s="2"/>
      <c r="BG157" s="7"/>
      <c r="BV157" s="7"/>
    </row>
    <row r="158" spans="1:74">
      <c r="N158" s="2"/>
      <c r="Q158" s="24"/>
      <c r="AZ158" s="2"/>
      <c r="BG158" s="7"/>
      <c r="BV158" s="7"/>
    </row>
    <row r="159" spans="1:74">
      <c r="N159" s="2"/>
      <c r="Q159" s="24"/>
      <c r="AZ159" s="2"/>
      <c r="BG159" s="7"/>
      <c r="BV159" s="7"/>
    </row>
    <row r="160" spans="1:74">
      <c r="N160" s="2"/>
      <c r="Q160" s="24"/>
      <c r="AZ160" s="2"/>
      <c r="BG160" s="7"/>
      <c r="BV160" s="7"/>
    </row>
    <row r="161" spans="1:74">
      <c r="A161" s="3"/>
      <c r="B161" s="3"/>
      <c r="N161" s="2"/>
      <c r="Q161" s="24"/>
      <c r="AZ161" s="2"/>
      <c r="BG161" s="7"/>
      <c r="BV161" s="7"/>
    </row>
    <row r="162" spans="1:74">
      <c r="B162" s="3"/>
      <c r="N162" s="2"/>
      <c r="Q162" s="24"/>
      <c r="AZ162" s="2"/>
      <c r="BG162" s="7"/>
      <c r="BV162" s="7"/>
    </row>
    <row r="163" spans="1:74">
      <c r="N163" s="2"/>
      <c r="Q163" s="24"/>
      <c r="AZ163" s="2"/>
      <c r="BG163" s="7"/>
      <c r="BV163" s="7"/>
    </row>
    <row r="164" spans="1:74">
      <c r="N164" s="2"/>
      <c r="Q164" s="24"/>
      <c r="AZ164" s="2"/>
      <c r="BG164" s="7"/>
      <c r="BV164" s="7"/>
    </row>
    <row r="165" spans="1:74">
      <c r="N165" s="2"/>
      <c r="Q165" s="24"/>
      <c r="AZ165" s="2"/>
      <c r="BG165" s="7"/>
      <c r="BV165" s="7"/>
    </row>
    <row r="166" spans="1:74">
      <c r="N166" s="2"/>
      <c r="Q166" s="24"/>
      <c r="AZ166" s="2"/>
      <c r="BG166" s="7"/>
      <c r="BV166" s="7"/>
    </row>
    <row r="167" spans="1:74">
      <c r="N167" s="2"/>
      <c r="Q167" s="24"/>
      <c r="AZ167" s="2"/>
      <c r="BG167" s="7"/>
      <c r="BV167" s="7"/>
    </row>
    <row r="168" spans="1:74">
      <c r="A168" s="3"/>
      <c r="N168" s="2"/>
      <c r="Q168" s="24"/>
      <c r="AZ168" s="2"/>
      <c r="BG168" s="7"/>
      <c r="BV168" s="7"/>
    </row>
    <row r="169" spans="1:74">
      <c r="A169" s="3"/>
      <c r="N169" s="2"/>
      <c r="Q169" s="24"/>
      <c r="AZ169" s="2"/>
      <c r="BG169" s="7"/>
      <c r="BV169" s="7"/>
    </row>
    <row r="170" spans="1:74">
      <c r="A170" s="3"/>
      <c r="B170" s="3"/>
      <c r="N170" s="2"/>
      <c r="Q170" s="24"/>
      <c r="AZ170" s="2"/>
      <c r="BG170" s="7"/>
      <c r="BV170" s="7"/>
    </row>
    <row r="171" spans="1:74">
      <c r="B171" s="3"/>
      <c r="N171" s="2"/>
      <c r="Q171" s="24"/>
      <c r="AZ171" s="2"/>
      <c r="BG171" s="7"/>
      <c r="BV171" s="7"/>
    </row>
    <row r="172" spans="1:74">
      <c r="A172" s="3"/>
      <c r="B172" s="3"/>
      <c r="N172" s="2"/>
      <c r="Q172" s="24"/>
      <c r="AZ172" s="2"/>
      <c r="BG172" s="7"/>
      <c r="BV172" s="7"/>
    </row>
    <row r="173" spans="1:74">
      <c r="N173" s="2"/>
      <c r="Q173" s="24"/>
      <c r="AZ173" s="2"/>
      <c r="BG173" s="7"/>
      <c r="BV173" s="7"/>
    </row>
    <row r="174" spans="1:74">
      <c r="N174" s="2"/>
      <c r="Q174" s="24"/>
      <c r="AZ174" s="2"/>
      <c r="BG174" s="7"/>
      <c r="BV174" s="7"/>
    </row>
    <row r="175" spans="1:74">
      <c r="AZ175" s="2"/>
      <c r="BC175" s="7"/>
    </row>
    <row r="176" spans="1:74">
      <c r="AZ176" s="2"/>
      <c r="BC176" s="7"/>
    </row>
    <row r="177" spans="52:55">
      <c r="AZ177" s="2"/>
      <c r="BC177" s="7"/>
    </row>
    <row r="178" spans="52:55">
      <c r="AZ178" s="2"/>
      <c r="BC178" s="7"/>
    </row>
    <row r="179" spans="52:55">
      <c r="AZ179" s="2"/>
      <c r="BC179" s="7"/>
    </row>
    <row r="180" spans="52:55">
      <c r="AZ180" s="2"/>
      <c r="BC180" s="7"/>
    </row>
    <row r="181" spans="52:55">
      <c r="AZ181" s="2"/>
      <c r="BC181" s="7"/>
    </row>
    <row r="182" spans="52:55">
      <c r="AZ182" s="2"/>
      <c r="BC182" s="7"/>
    </row>
    <row r="183" spans="52:55">
      <c r="AZ183" s="2"/>
      <c r="BC183" s="7"/>
    </row>
    <row r="184" spans="52:55">
      <c r="AZ184" s="2"/>
      <c r="BC184" s="7"/>
    </row>
    <row r="185" spans="52:55">
      <c r="AZ185" s="2"/>
      <c r="BC185" s="7"/>
    </row>
    <row r="186" spans="52:55">
      <c r="AZ186" s="2"/>
      <c r="BC186" s="7"/>
    </row>
    <row r="187" spans="52:55">
      <c r="AZ187" s="2"/>
      <c r="BC187" s="7"/>
    </row>
    <row r="188" spans="52:55">
      <c r="AZ188" s="2"/>
      <c r="BC188" s="7"/>
    </row>
    <row r="189" spans="52:55">
      <c r="AZ189" s="2"/>
      <c r="BC189" s="7"/>
    </row>
    <row r="190" spans="52:55">
      <c r="AZ190" s="2"/>
      <c r="BC190" s="7"/>
    </row>
    <row r="191" spans="52:55">
      <c r="AZ191" s="2"/>
      <c r="BC191" s="7"/>
    </row>
    <row r="192" spans="52:55">
      <c r="AZ192" s="2"/>
      <c r="BC192" s="7"/>
    </row>
    <row r="193" spans="52:55">
      <c r="AZ193" s="2"/>
      <c r="BC193" s="7"/>
    </row>
    <row r="194" spans="52:55">
      <c r="AZ194" s="2"/>
      <c r="BC194" s="7"/>
    </row>
    <row r="195" spans="52:55">
      <c r="AZ195" s="2"/>
      <c r="BC195" s="7"/>
    </row>
    <row r="196" spans="52:55">
      <c r="AZ196" s="2"/>
      <c r="BC196" s="7"/>
    </row>
    <row r="197" spans="52:55">
      <c r="AZ197" s="2"/>
      <c r="BC197" s="7"/>
    </row>
    <row r="198" spans="52:55">
      <c r="AZ198" s="2"/>
      <c r="BC198" s="7"/>
    </row>
    <row r="199" spans="52:55">
      <c r="AZ199" s="2"/>
      <c r="BC199" s="7"/>
    </row>
    <row r="200" spans="52:55">
      <c r="AZ200" s="2"/>
      <c r="BC200" s="7"/>
    </row>
    <row r="201" spans="52:55">
      <c r="AZ201" s="2"/>
      <c r="BC201" s="7"/>
    </row>
    <row r="202" spans="52:55">
      <c r="AZ202" s="2"/>
      <c r="BC202" s="7"/>
    </row>
    <row r="203" spans="52:55">
      <c r="AZ203" s="2"/>
      <c r="BC203" s="7"/>
    </row>
    <row r="204" spans="52:55">
      <c r="AZ204" s="2"/>
      <c r="BC204" s="7"/>
    </row>
    <row r="205" spans="52:55">
      <c r="AZ205" s="2"/>
      <c r="BC205" s="7"/>
    </row>
    <row r="206" spans="52:55">
      <c r="AZ206" s="2"/>
      <c r="BC206" s="7"/>
    </row>
    <row r="207" spans="52:55">
      <c r="AZ207" s="2"/>
      <c r="BC207" s="7"/>
    </row>
    <row r="208" spans="52:55">
      <c r="AZ208" s="2"/>
      <c r="BC208" s="7"/>
    </row>
    <row r="209" spans="52:55">
      <c r="AZ209" s="2"/>
      <c r="BC209" s="7"/>
    </row>
    <row r="210" spans="52:55">
      <c r="AZ210" s="2"/>
      <c r="BC210" s="7"/>
    </row>
    <row r="211" spans="52:55">
      <c r="AZ211" s="2"/>
      <c r="BC211" s="7"/>
    </row>
    <row r="212" spans="52:55">
      <c r="AZ212" s="2"/>
      <c r="BC212" s="7"/>
    </row>
    <row r="213" spans="52:55">
      <c r="AZ213" s="2"/>
      <c r="BC213" s="7"/>
    </row>
    <row r="214" spans="52:55">
      <c r="AZ214" s="2"/>
      <c r="BC214" s="7"/>
    </row>
    <row r="215" spans="52:55">
      <c r="AZ215" s="2"/>
      <c r="BC215" s="7"/>
    </row>
    <row r="216" spans="52:55">
      <c r="AZ216" s="2"/>
      <c r="BC216" s="7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9.1406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24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42578125" style="2" customWidth="1"/>
    <col min="28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10.28515625" style="2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4257812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7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8.140625" style="2" bestFit="1" customWidth="1"/>
    <col min="57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28515625" style="2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8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36" t="s">
        <v>109</v>
      </c>
      <c r="B1" s="36"/>
      <c r="C1" s="36"/>
      <c r="D1" s="36"/>
      <c r="E1" s="36"/>
      <c r="F1" s="36"/>
      <c r="G1" s="36"/>
      <c r="H1" s="56"/>
      <c r="K1" s="1" t="s">
        <v>1</v>
      </c>
      <c r="N1" s="2"/>
      <c r="R1" s="24"/>
      <c r="T1" s="3"/>
      <c r="U1" s="3"/>
      <c r="AD1" s="1" t="s">
        <v>2</v>
      </c>
      <c r="AG1" s="3"/>
      <c r="AP1" s="1" t="s">
        <v>3</v>
      </c>
      <c r="AZ1" s="2"/>
      <c r="BC1" s="4"/>
      <c r="BG1" s="1" t="s">
        <v>4</v>
      </c>
      <c r="BJ1" s="3"/>
      <c r="BV1" s="1" t="s">
        <v>217</v>
      </c>
      <c r="BY1" s="3"/>
    </row>
    <row r="2" spans="1:106">
      <c r="A2" s="36" t="s">
        <v>108</v>
      </c>
      <c r="B2" s="36"/>
      <c r="C2" s="36"/>
      <c r="D2" s="36"/>
      <c r="E2" s="36"/>
      <c r="F2" s="36"/>
      <c r="G2" s="36"/>
      <c r="H2" s="56"/>
      <c r="K2" s="1" t="s">
        <v>5</v>
      </c>
      <c r="N2" s="2"/>
      <c r="R2" s="24"/>
      <c r="T2" s="3"/>
      <c r="U2" s="3"/>
      <c r="AD2" s="1" t="s">
        <v>6</v>
      </c>
      <c r="AG2" s="3"/>
      <c r="AP2" s="1" t="s">
        <v>7</v>
      </c>
      <c r="AZ2" s="2"/>
      <c r="BC2" s="4"/>
      <c r="BD2" s="4"/>
      <c r="BG2" s="1" t="s">
        <v>8</v>
      </c>
      <c r="BJ2" s="3"/>
      <c r="BO2" s="3"/>
      <c r="BV2" s="1" t="s">
        <v>218</v>
      </c>
      <c r="BY2" s="3"/>
    </row>
    <row r="3" spans="1:106">
      <c r="N3" s="2"/>
      <c r="R3" s="24"/>
      <c r="AZ3" s="2"/>
      <c r="BD3" s="4"/>
      <c r="BG3" s="7"/>
      <c r="BO3" s="3"/>
      <c r="BV3" s="7"/>
    </row>
    <row r="4" spans="1:106">
      <c r="A4" s="5" t="s">
        <v>9</v>
      </c>
      <c r="B4" s="6" t="s">
        <v>94</v>
      </c>
      <c r="K4" s="3" t="s">
        <v>9</v>
      </c>
      <c r="M4" s="9" t="str">
        <f>B4</f>
        <v>Montana-Dakota Utilities Co.</v>
      </c>
      <c r="N4" s="2"/>
      <c r="R4" s="24"/>
      <c r="S4" s="113"/>
      <c r="AD4" s="3" t="s">
        <v>9</v>
      </c>
      <c r="AF4" s="9" t="str">
        <f>B4</f>
        <v>Montana-Dakota Utilities Co.</v>
      </c>
      <c r="AP4" s="3" t="s">
        <v>11</v>
      </c>
      <c r="AR4" s="9" t="str">
        <f>AF4</f>
        <v>Montana-Dakota Utilities Co.</v>
      </c>
      <c r="AZ4" s="2"/>
      <c r="BH4" s="2" t="s">
        <v>11</v>
      </c>
      <c r="BI4" s="9" t="str">
        <f>AR4</f>
        <v>Montana-Dakota Utilities Co.</v>
      </c>
      <c r="BW4" s="2" t="s">
        <v>11</v>
      </c>
      <c r="BX4" s="9" t="str">
        <f>BI4</f>
        <v>Montana-Dakota Utilities Co.</v>
      </c>
    </row>
    <row r="5" spans="1:106">
      <c r="A5" s="5" t="s">
        <v>10</v>
      </c>
      <c r="B5" s="8" t="str">
        <f>'Database Inputs'!A13</f>
        <v>Programmable Thermostats - Tier 2</v>
      </c>
      <c r="C5" s="130"/>
      <c r="D5" s="130"/>
      <c r="E5" s="130"/>
      <c r="F5" s="130"/>
      <c r="G5" s="130"/>
      <c r="H5" s="130"/>
      <c r="K5" s="3" t="s">
        <v>10</v>
      </c>
      <c r="M5" s="9" t="str">
        <f>$B$5</f>
        <v>Programmable Thermostats - Tier 2</v>
      </c>
      <c r="N5" s="2"/>
      <c r="R5" s="24"/>
      <c r="AD5" s="3" t="s">
        <v>10</v>
      </c>
      <c r="AF5" s="9" t="str">
        <f>$B$5</f>
        <v>Programmable Thermostats - Tier 2</v>
      </c>
      <c r="AP5" s="3" t="s">
        <v>12</v>
      </c>
      <c r="AR5" s="9" t="str">
        <f>$B$5</f>
        <v>Programmable Thermostats - Tier 2</v>
      </c>
      <c r="AZ5" s="2"/>
      <c r="BH5" s="2" t="s">
        <v>12</v>
      </c>
      <c r="BI5" s="9" t="str">
        <f>$B$5</f>
        <v>Programmable Thermostats - Tier 2</v>
      </c>
      <c r="BW5" s="2" t="s">
        <v>12</v>
      </c>
      <c r="BX5" s="9" t="str">
        <f>$B$5</f>
        <v>Programmable Thermostats - Tier 2</v>
      </c>
    </row>
    <row r="6" spans="1:106">
      <c r="A6" s="5" t="s">
        <v>202</v>
      </c>
      <c r="B6" s="6">
        <f>'Total Program'!$B$6</f>
        <v>2025</v>
      </c>
      <c r="N6" s="2"/>
      <c r="R6" s="24"/>
      <c r="AZ6" s="2"/>
      <c r="BG6" s="7"/>
      <c r="BV6" s="7"/>
    </row>
    <row r="7" spans="1:106">
      <c r="N7" s="31" t="s">
        <v>14</v>
      </c>
      <c r="O7" s="31"/>
      <c r="P7" s="31"/>
      <c r="Q7" s="31"/>
      <c r="R7" s="81"/>
      <c r="S7" s="31"/>
      <c r="T7" s="31"/>
      <c r="U7" s="31"/>
      <c r="V7" s="31"/>
      <c r="X7" s="65" t="s">
        <v>15</v>
      </c>
      <c r="Y7" s="65"/>
      <c r="Z7" s="80"/>
      <c r="AA7" s="80"/>
      <c r="AB7" s="7"/>
      <c r="AF7" s="31" t="s">
        <v>14</v>
      </c>
      <c r="AG7" s="79"/>
      <c r="AH7" s="79"/>
      <c r="AJ7" s="65" t="s">
        <v>15</v>
      </c>
      <c r="AK7" s="65"/>
      <c r="AL7" s="65"/>
      <c r="AN7" s="56" t="s">
        <v>81</v>
      </c>
      <c r="AR7" s="31" t="s">
        <v>14</v>
      </c>
      <c r="AS7" s="31"/>
      <c r="AT7" s="31"/>
      <c r="AU7" s="31"/>
      <c r="AV7" s="31"/>
      <c r="AW7" s="31"/>
      <c r="AX7" s="31"/>
      <c r="AY7" s="31"/>
      <c r="AZ7" s="31"/>
      <c r="BB7" s="65" t="s">
        <v>15</v>
      </c>
      <c r="BC7" s="65"/>
      <c r="BD7" s="65"/>
      <c r="BE7" s="36" t="s">
        <v>81</v>
      </c>
      <c r="BG7" s="7"/>
      <c r="BI7" s="31" t="s">
        <v>14</v>
      </c>
      <c r="BJ7" s="79"/>
      <c r="BK7" s="79"/>
      <c r="BL7" s="79"/>
      <c r="BM7" s="79"/>
      <c r="BN7" s="79"/>
      <c r="BO7" s="79"/>
      <c r="BP7" s="79"/>
      <c r="BR7" s="88" t="s">
        <v>15</v>
      </c>
      <c r="BS7" s="36" t="s">
        <v>81</v>
      </c>
      <c r="BV7" s="7"/>
      <c r="BX7" s="31" t="s">
        <v>14</v>
      </c>
      <c r="BY7" s="79"/>
      <c r="BZ7" s="79"/>
      <c r="CA7" s="79"/>
      <c r="CC7" s="65" t="s">
        <v>15</v>
      </c>
      <c r="CD7" s="65"/>
      <c r="CE7" s="65"/>
      <c r="CF7" s="36" t="s">
        <v>81</v>
      </c>
    </row>
    <row r="8" spans="1:106">
      <c r="A8" s="100" t="s">
        <v>13</v>
      </c>
      <c r="B8" s="100"/>
      <c r="C8" s="10"/>
      <c r="E8" s="100"/>
      <c r="F8" s="106">
        <f>+'Total Program Inputs'!C6</f>
        <v>2025</v>
      </c>
      <c r="G8" s="7"/>
      <c r="H8" s="114"/>
      <c r="M8" s="101"/>
      <c r="N8" s="101"/>
      <c r="Q8" s="101"/>
      <c r="R8" s="24"/>
      <c r="S8" s="101"/>
      <c r="T8" s="101"/>
      <c r="U8" s="101"/>
      <c r="V8" s="101"/>
      <c r="W8" s="101"/>
      <c r="X8" s="101"/>
      <c r="Z8" s="101"/>
      <c r="AA8" s="7"/>
      <c r="AB8" s="7" t="s">
        <v>17</v>
      </c>
      <c r="AF8" s="101"/>
      <c r="AG8" s="101"/>
      <c r="AH8" s="101"/>
      <c r="AM8" s="101"/>
      <c r="AN8" s="7" t="s">
        <v>17</v>
      </c>
      <c r="AT8" s="7" t="s">
        <v>24</v>
      </c>
      <c r="AU8" s="101"/>
      <c r="AV8" s="7"/>
      <c r="AW8" s="101"/>
      <c r="AX8" s="7"/>
      <c r="AY8" s="101"/>
      <c r="AZ8" s="101"/>
      <c r="BA8" s="101"/>
      <c r="BB8" s="101"/>
      <c r="BC8" s="101"/>
      <c r="BD8" s="101"/>
      <c r="BE8" s="7" t="s">
        <v>17</v>
      </c>
      <c r="BG8" s="7"/>
      <c r="BH8" s="7"/>
      <c r="BI8" s="7"/>
      <c r="BT8" s="7" t="s">
        <v>17</v>
      </c>
      <c r="BV8" s="7"/>
      <c r="BW8" s="7"/>
      <c r="BX8" s="7"/>
      <c r="CG8" s="7" t="s">
        <v>17</v>
      </c>
      <c r="DA8" s="101"/>
      <c r="DB8" s="101"/>
    </row>
    <row r="9" spans="1:106">
      <c r="A9" s="3"/>
      <c r="E9" s="3"/>
      <c r="M9" s="7" t="s">
        <v>20</v>
      </c>
      <c r="N9" s="7" t="s">
        <v>23</v>
      </c>
      <c r="O9" s="7" t="s">
        <v>23</v>
      </c>
      <c r="P9" s="102" t="s">
        <v>21</v>
      </c>
      <c r="Q9" s="102" t="s">
        <v>21</v>
      </c>
      <c r="R9" s="103" t="s">
        <v>20</v>
      </c>
      <c r="S9" s="104" t="s">
        <v>97</v>
      </c>
      <c r="T9" s="7" t="s">
        <v>31</v>
      </c>
      <c r="U9" s="103" t="s">
        <v>20</v>
      </c>
      <c r="V9" s="7"/>
      <c r="W9" s="104" t="s">
        <v>96</v>
      </c>
      <c r="Y9" s="7" t="s">
        <v>35</v>
      </c>
      <c r="Z9" s="7"/>
      <c r="AA9" s="7" t="s">
        <v>20</v>
      </c>
      <c r="AB9" s="7" t="s">
        <v>14</v>
      </c>
      <c r="AF9" s="104" t="s">
        <v>20</v>
      </c>
      <c r="AG9" s="103" t="s">
        <v>20</v>
      </c>
      <c r="AH9" s="104" t="s">
        <v>17</v>
      </c>
      <c r="AJ9" s="7" t="s">
        <v>35</v>
      </c>
      <c r="AK9" s="7"/>
      <c r="AL9" s="7" t="s">
        <v>22</v>
      </c>
      <c r="AN9" s="7" t="s">
        <v>14</v>
      </c>
      <c r="AR9" s="104" t="s">
        <v>20</v>
      </c>
      <c r="AS9" s="7" t="s">
        <v>20</v>
      </c>
      <c r="AT9" s="7" t="s">
        <v>36</v>
      </c>
      <c r="AU9" s="7" t="s">
        <v>24</v>
      </c>
      <c r="AV9" s="102" t="s">
        <v>37</v>
      </c>
      <c r="AW9" s="102" t="s">
        <v>37</v>
      </c>
      <c r="AX9" s="7"/>
      <c r="AZ9" s="7" t="s">
        <v>17</v>
      </c>
      <c r="BB9" s="7" t="s">
        <v>22</v>
      </c>
      <c r="BC9" s="7" t="s">
        <v>39</v>
      </c>
      <c r="BD9" s="7" t="s">
        <v>17</v>
      </c>
      <c r="BE9" s="7" t="s">
        <v>14</v>
      </c>
      <c r="BG9" s="7"/>
      <c r="BH9" s="7"/>
      <c r="BI9" s="7"/>
      <c r="BJ9" s="7" t="s">
        <v>20</v>
      </c>
      <c r="BL9" s="7" t="s">
        <v>23</v>
      </c>
      <c r="BM9" s="7" t="s">
        <v>24</v>
      </c>
      <c r="BN9" s="7" t="s">
        <v>24</v>
      </c>
      <c r="BO9" s="7"/>
      <c r="BP9" s="7" t="s">
        <v>20</v>
      </c>
      <c r="BR9" s="7" t="s">
        <v>26</v>
      </c>
      <c r="BS9" s="7"/>
      <c r="BT9" s="7" t="s">
        <v>14</v>
      </c>
      <c r="BV9" s="7"/>
      <c r="BW9" s="7"/>
      <c r="BX9" s="7" t="s">
        <v>20</v>
      </c>
      <c r="BY9" s="7" t="s">
        <v>20</v>
      </c>
      <c r="BZ9" s="7" t="s">
        <v>24</v>
      </c>
      <c r="CA9" s="7" t="s">
        <v>20</v>
      </c>
      <c r="CC9" s="7" t="s">
        <v>22</v>
      </c>
      <c r="CD9" s="7" t="s">
        <v>39</v>
      </c>
      <c r="CE9" s="114"/>
      <c r="CF9" s="7"/>
      <c r="CG9" s="7" t="s">
        <v>14</v>
      </c>
    </row>
    <row r="10" spans="1:106">
      <c r="A10" s="3" t="s">
        <v>104</v>
      </c>
      <c r="C10" s="11">
        <f>+'Gas Input Table Summary'!$D$7</f>
        <v>8.3550000000000004</v>
      </c>
      <c r="D10" s="12"/>
      <c r="E10" s="3" t="s">
        <v>16</v>
      </c>
      <c r="F10" s="130"/>
      <c r="G10" s="130"/>
      <c r="H10" s="130"/>
      <c r="J10" s="15"/>
      <c r="M10" s="7" t="s">
        <v>28</v>
      </c>
      <c r="N10" s="7" t="s">
        <v>29</v>
      </c>
      <c r="O10" s="7" t="s">
        <v>29</v>
      </c>
      <c r="P10" s="102" t="s">
        <v>30</v>
      </c>
      <c r="Q10" s="102" t="s">
        <v>30</v>
      </c>
      <c r="R10" s="103" t="s">
        <v>36</v>
      </c>
      <c r="S10" s="7" t="s">
        <v>31</v>
      </c>
      <c r="T10" s="7" t="s">
        <v>38</v>
      </c>
      <c r="U10" s="103" t="s">
        <v>31</v>
      </c>
      <c r="V10" s="7" t="s">
        <v>20</v>
      </c>
      <c r="W10" s="7" t="s">
        <v>119</v>
      </c>
      <c r="X10" s="7" t="s">
        <v>92</v>
      </c>
      <c r="Y10" s="7" t="s">
        <v>145</v>
      </c>
      <c r="Z10" s="7" t="s">
        <v>118</v>
      </c>
      <c r="AA10" s="7" t="s">
        <v>35</v>
      </c>
      <c r="AB10" s="7" t="s">
        <v>34</v>
      </c>
      <c r="AF10" s="104" t="s">
        <v>36</v>
      </c>
      <c r="AG10" s="103" t="s">
        <v>31</v>
      </c>
      <c r="AH10" s="104" t="s">
        <v>20</v>
      </c>
      <c r="AJ10" s="7" t="s">
        <v>145</v>
      </c>
      <c r="AK10" s="7" t="s">
        <v>118</v>
      </c>
      <c r="AL10" s="7" t="s">
        <v>35</v>
      </c>
      <c r="AN10" s="7" t="s">
        <v>34</v>
      </c>
      <c r="AR10" s="7" t="s">
        <v>28</v>
      </c>
      <c r="AS10" s="7" t="s">
        <v>132</v>
      </c>
      <c r="AT10" s="7" t="s">
        <v>38</v>
      </c>
      <c r="AU10" s="7" t="s">
        <v>36</v>
      </c>
      <c r="AV10" s="7" t="s">
        <v>99</v>
      </c>
      <c r="AW10" s="104" t="s">
        <v>99</v>
      </c>
      <c r="AX10" s="7"/>
      <c r="AY10" s="102"/>
      <c r="AZ10" s="7" t="s">
        <v>20</v>
      </c>
      <c r="BB10" s="7" t="s">
        <v>35</v>
      </c>
      <c r="BC10" s="104" t="s">
        <v>100</v>
      </c>
      <c r="BD10" s="7" t="s">
        <v>20</v>
      </c>
      <c r="BE10" s="7" t="s">
        <v>34</v>
      </c>
      <c r="BG10" s="7"/>
      <c r="BH10" s="7"/>
      <c r="BI10" s="7" t="s">
        <v>25</v>
      </c>
      <c r="BJ10" s="7" t="s">
        <v>28</v>
      </c>
      <c r="BK10" s="7" t="s">
        <v>32</v>
      </c>
      <c r="BL10" s="7" t="s">
        <v>33</v>
      </c>
      <c r="BM10" s="7" t="s">
        <v>137</v>
      </c>
      <c r="BN10" s="7" t="s">
        <v>36</v>
      </c>
      <c r="BO10" s="7"/>
      <c r="BP10" s="7" t="s">
        <v>17</v>
      </c>
      <c r="BR10" s="7" t="s">
        <v>112</v>
      </c>
      <c r="BS10" s="7"/>
      <c r="BT10" s="7" t="s">
        <v>34</v>
      </c>
      <c r="BV10" s="7"/>
      <c r="BW10" s="7"/>
      <c r="BX10" s="7" t="s">
        <v>28</v>
      </c>
      <c r="BY10" s="114" t="s">
        <v>31</v>
      </c>
      <c r="BZ10" s="7" t="s">
        <v>36</v>
      </c>
      <c r="CA10" s="7" t="s">
        <v>17</v>
      </c>
      <c r="CC10" s="7" t="s">
        <v>35</v>
      </c>
      <c r="CD10" s="104" t="s">
        <v>100</v>
      </c>
      <c r="CE10" s="114" t="s">
        <v>20</v>
      </c>
      <c r="CF10" s="7"/>
      <c r="CG10" s="7" t="s">
        <v>34</v>
      </c>
    </row>
    <row r="11" spans="1:106">
      <c r="A11" s="3" t="s">
        <v>18</v>
      </c>
      <c r="C11" s="13">
        <f>+'Gas Input Table Summary'!$D$8</f>
        <v>0.03</v>
      </c>
      <c r="E11" s="3" t="s">
        <v>19</v>
      </c>
      <c r="F11" s="137">
        <f>+'Total Program Inputs'!M14</f>
        <v>2484</v>
      </c>
      <c r="G11" s="256"/>
      <c r="H11" s="256"/>
      <c r="J11" s="5"/>
      <c r="M11" s="7" t="s">
        <v>44</v>
      </c>
      <c r="N11" s="7" t="s">
        <v>107</v>
      </c>
      <c r="O11" s="7" t="s">
        <v>38</v>
      </c>
      <c r="P11" s="102" t="s">
        <v>107</v>
      </c>
      <c r="Q11" s="102" t="s">
        <v>38</v>
      </c>
      <c r="R11" s="103" t="s">
        <v>38</v>
      </c>
      <c r="S11" s="7" t="s">
        <v>44</v>
      </c>
      <c r="T11" s="7" t="s">
        <v>95</v>
      </c>
      <c r="U11" s="103" t="s">
        <v>38</v>
      </c>
      <c r="V11" s="7" t="s">
        <v>38</v>
      </c>
      <c r="W11" s="7" t="s">
        <v>120</v>
      </c>
      <c r="X11" s="7" t="s">
        <v>93</v>
      </c>
      <c r="Y11" s="7" t="s">
        <v>15</v>
      </c>
      <c r="Z11" s="7" t="s">
        <v>15</v>
      </c>
      <c r="AA11" s="7" t="s">
        <v>15</v>
      </c>
      <c r="AB11" s="7" t="s">
        <v>15</v>
      </c>
      <c r="AF11" s="7" t="s">
        <v>38</v>
      </c>
      <c r="AG11" s="103" t="s">
        <v>38</v>
      </c>
      <c r="AH11" s="103" t="s">
        <v>38</v>
      </c>
      <c r="AJ11" s="7" t="s">
        <v>15</v>
      </c>
      <c r="AK11" s="7" t="s">
        <v>15</v>
      </c>
      <c r="AL11" s="7" t="s">
        <v>15</v>
      </c>
      <c r="AN11" s="7" t="s">
        <v>15</v>
      </c>
      <c r="AR11" s="7" t="s">
        <v>38</v>
      </c>
      <c r="AS11" s="7" t="s">
        <v>38</v>
      </c>
      <c r="AT11" s="7" t="s">
        <v>134</v>
      </c>
      <c r="AU11" s="7" t="s">
        <v>38</v>
      </c>
      <c r="AV11" s="105" t="s">
        <v>133</v>
      </c>
      <c r="AW11" s="105" t="s">
        <v>38</v>
      </c>
      <c r="AX11" s="7"/>
      <c r="AY11" s="102"/>
      <c r="AZ11" s="104" t="s">
        <v>38</v>
      </c>
      <c r="BB11" s="7" t="s">
        <v>15</v>
      </c>
      <c r="BC11" s="48" t="s">
        <v>101</v>
      </c>
      <c r="BD11" s="104" t="s">
        <v>15</v>
      </c>
      <c r="BE11" s="7" t="s">
        <v>15</v>
      </c>
      <c r="BH11" s="7"/>
      <c r="BI11" s="7" t="s">
        <v>46</v>
      </c>
      <c r="BJ11" s="7" t="s">
        <v>44</v>
      </c>
      <c r="BK11" s="7" t="s">
        <v>45</v>
      </c>
      <c r="BL11" s="7" t="s">
        <v>38</v>
      </c>
      <c r="BM11" s="7" t="s">
        <v>0</v>
      </c>
      <c r="BN11" s="7" t="s">
        <v>38</v>
      </c>
      <c r="BO11" s="7"/>
      <c r="BP11" s="7" t="s">
        <v>14</v>
      </c>
      <c r="BR11" s="7" t="s">
        <v>15</v>
      </c>
      <c r="BS11" s="7"/>
      <c r="BT11" s="7" t="s">
        <v>15</v>
      </c>
      <c r="BW11" s="7"/>
      <c r="BX11" s="114" t="s">
        <v>38</v>
      </c>
      <c r="BY11" s="114" t="s">
        <v>38</v>
      </c>
      <c r="BZ11" s="7" t="s">
        <v>38</v>
      </c>
      <c r="CA11" s="7" t="s">
        <v>14</v>
      </c>
      <c r="CC11" s="7" t="s">
        <v>15</v>
      </c>
      <c r="CD11" s="48" t="s">
        <v>101</v>
      </c>
      <c r="CE11" s="7" t="s">
        <v>15</v>
      </c>
      <c r="CF11" s="7"/>
      <c r="CG11" s="7" t="s">
        <v>15</v>
      </c>
    </row>
    <row r="12" spans="1:106">
      <c r="A12" s="3"/>
      <c r="C12" s="13"/>
      <c r="E12" s="3" t="s">
        <v>27</v>
      </c>
      <c r="F12" s="129">
        <f>+'Total Program Inputs'!I14</f>
        <v>7351</v>
      </c>
      <c r="G12" s="22"/>
      <c r="H12" s="22"/>
      <c r="L12" s="106" t="s">
        <v>43</v>
      </c>
      <c r="M12" s="106" t="s">
        <v>48</v>
      </c>
      <c r="N12" s="106" t="s">
        <v>49</v>
      </c>
      <c r="O12" s="106" t="s">
        <v>50</v>
      </c>
      <c r="P12" s="106" t="s">
        <v>51</v>
      </c>
      <c r="Q12" s="106" t="s">
        <v>52</v>
      </c>
      <c r="R12" s="106" t="s">
        <v>53</v>
      </c>
      <c r="S12" s="106" t="s">
        <v>54</v>
      </c>
      <c r="T12" s="106" t="s">
        <v>55</v>
      </c>
      <c r="U12" s="106" t="s">
        <v>56</v>
      </c>
      <c r="V12" s="106" t="s">
        <v>57</v>
      </c>
      <c r="W12" s="106" t="s">
        <v>58</v>
      </c>
      <c r="X12" s="106" t="s">
        <v>59</v>
      </c>
      <c r="Y12" s="106" t="s">
        <v>60</v>
      </c>
      <c r="Z12" s="106" t="s">
        <v>61</v>
      </c>
      <c r="AA12" s="106" t="s">
        <v>138</v>
      </c>
      <c r="AB12" s="106" t="s">
        <v>146</v>
      </c>
      <c r="AE12" s="106" t="s">
        <v>43</v>
      </c>
      <c r="AF12" s="106" t="s">
        <v>48</v>
      </c>
      <c r="AG12" s="106" t="s">
        <v>49</v>
      </c>
      <c r="AH12" s="106" t="s">
        <v>50</v>
      </c>
      <c r="AJ12" s="106" t="s">
        <v>51</v>
      </c>
      <c r="AK12" s="106" t="s">
        <v>52</v>
      </c>
      <c r="AL12" s="106" t="s">
        <v>53</v>
      </c>
      <c r="AN12" s="106" t="s">
        <v>54</v>
      </c>
      <c r="AQ12" s="106" t="s">
        <v>43</v>
      </c>
      <c r="AR12" s="106" t="s">
        <v>48</v>
      </c>
      <c r="AS12" s="106" t="s">
        <v>49</v>
      </c>
      <c r="AT12" s="106" t="s">
        <v>50</v>
      </c>
      <c r="AU12" s="106" t="s">
        <v>51</v>
      </c>
      <c r="AV12" s="106" t="s">
        <v>52</v>
      </c>
      <c r="AW12" s="106" t="s">
        <v>53</v>
      </c>
      <c r="AX12" s="106"/>
      <c r="AY12" s="106"/>
      <c r="AZ12" s="106" t="s">
        <v>54</v>
      </c>
      <c r="BB12" s="106" t="s">
        <v>55</v>
      </c>
      <c r="BC12" s="106" t="s">
        <v>56</v>
      </c>
      <c r="BD12" s="106" t="s">
        <v>57</v>
      </c>
      <c r="BE12" s="106" t="s">
        <v>58</v>
      </c>
      <c r="BH12" s="106" t="s">
        <v>43</v>
      </c>
      <c r="BI12" s="106" t="s">
        <v>48</v>
      </c>
      <c r="BJ12" s="106" t="s">
        <v>49</v>
      </c>
      <c r="BK12" s="106" t="s">
        <v>50</v>
      </c>
      <c r="BL12" s="106" t="s">
        <v>51</v>
      </c>
      <c r="BM12" s="106" t="s">
        <v>52</v>
      </c>
      <c r="BN12" s="106" t="s">
        <v>53</v>
      </c>
      <c r="BO12" s="106"/>
      <c r="BP12" s="106" t="s">
        <v>54</v>
      </c>
      <c r="BR12" s="106" t="s">
        <v>55</v>
      </c>
      <c r="BS12" s="7"/>
      <c r="BT12" s="106" t="s">
        <v>56</v>
      </c>
      <c r="BW12" s="106" t="s">
        <v>43</v>
      </c>
      <c r="BX12" s="106" t="s">
        <v>48</v>
      </c>
      <c r="BY12" s="106" t="s">
        <v>49</v>
      </c>
      <c r="BZ12" s="106" t="s">
        <v>50</v>
      </c>
      <c r="CA12" s="117" t="s">
        <v>51</v>
      </c>
      <c r="CC12" s="117" t="s">
        <v>52</v>
      </c>
      <c r="CD12" s="117" t="s">
        <v>53</v>
      </c>
      <c r="CE12" s="117" t="s">
        <v>54</v>
      </c>
      <c r="CF12" s="7"/>
      <c r="CG12" s="117" t="s">
        <v>55</v>
      </c>
    </row>
    <row r="13" spans="1:106">
      <c r="A13" s="3" t="s">
        <v>40</v>
      </c>
      <c r="C13" s="140">
        <f>+'Gas Input Table Summary'!$D$9</f>
        <v>0.13497000000000001</v>
      </c>
      <c r="E13" s="3" t="s">
        <v>41</v>
      </c>
      <c r="F13" s="12">
        <f>SUM(F11:F12)</f>
        <v>9835</v>
      </c>
      <c r="G13" s="12"/>
      <c r="H13" s="12"/>
      <c r="J13" s="7"/>
      <c r="L13" s="7"/>
      <c r="M13" s="7"/>
      <c r="N13" s="7"/>
      <c r="Q13" s="7"/>
      <c r="R13" s="24"/>
      <c r="S13" s="7"/>
      <c r="T13" s="7"/>
      <c r="V13" s="7"/>
      <c r="W13" s="7"/>
      <c r="X13" s="7"/>
      <c r="Z13" s="7"/>
      <c r="AA13" s="7"/>
      <c r="AB13" s="7"/>
      <c r="AE13" s="7"/>
      <c r="AF13" s="7"/>
      <c r="AH13" s="7"/>
      <c r="AL13" s="7"/>
      <c r="AN13" s="7"/>
      <c r="AQ13" s="7"/>
      <c r="AR13" s="7"/>
      <c r="AS13" s="7"/>
      <c r="AU13" s="7"/>
      <c r="AW13" s="4"/>
      <c r="AY13" s="4"/>
      <c r="BB13" s="7"/>
      <c r="BC13" s="7"/>
      <c r="BD13" s="7"/>
      <c r="BE13" s="7"/>
      <c r="BH13" s="7"/>
      <c r="BI13" s="7"/>
      <c r="BJ13" s="7"/>
      <c r="BK13" s="7"/>
      <c r="BL13" s="7"/>
      <c r="BN13" s="7"/>
      <c r="BO13" s="7"/>
      <c r="BP13" s="7"/>
      <c r="BR13" s="7"/>
      <c r="BS13" s="7"/>
      <c r="BT13" s="7"/>
      <c r="BW13" s="7"/>
      <c r="BX13" s="7"/>
      <c r="BY13" s="7"/>
      <c r="BZ13" s="7"/>
      <c r="CA13" s="7"/>
      <c r="CC13" s="7"/>
      <c r="CD13" s="7"/>
      <c r="CE13" s="7"/>
      <c r="CF13" s="7"/>
      <c r="CG13" s="7"/>
    </row>
    <row r="14" spans="1:106">
      <c r="A14" s="3" t="s">
        <v>47</v>
      </c>
      <c r="C14" s="13">
        <f>+'Gas Input Table Summary'!$D$10</f>
        <v>0.03</v>
      </c>
      <c r="F14" s="16"/>
      <c r="G14" s="16"/>
      <c r="H14" s="16"/>
      <c r="J14" s="2">
        <f>$C$47-$C$45</f>
        <v>0</v>
      </c>
      <c r="L14" s="7">
        <f>$C$47</f>
        <v>2025</v>
      </c>
      <c r="M14" s="16">
        <f>ROUND(IF($C$47+$F$23&gt;L14,F25*F30,0),0)</f>
        <v>780</v>
      </c>
      <c r="N14" s="107">
        <f t="shared" ref="N14:N34" si="0">ROUND($C$17*(1+$C$18)^J14,3)</f>
        <v>3.4159999999999999</v>
      </c>
      <c r="O14" s="12">
        <f t="shared" ref="O14:O34" si="1">ROUND(M14*N14,0)</f>
        <v>2664</v>
      </c>
      <c r="P14" s="107">
        <f t="shared" ref="P14:P34" si="2">ROUND($C$25*(1+$C$26)^J14,3)</f>
        <v>0</v>
      </c>
      <c r="Q14" s="12">
        <f>ROUND(M14*P14,0)</f>
        <v>0</v>
      </c>
      <c r="R14" s="108">
        <f t="shared" ref="R14:R34" si="3">O14+Q14</f>
        <v>2664</v>
      </c>
      <c r="S14" s="42">
        <f t="shared" ref="S14:S34" si="4">ROUND(M14*$C$23,1)</f>
        <v>7.8</v>
      </c>
      <c r="T14" s="12">
        <f t="shared" ref="T14:T34" si="5">ROUND($C$20*(1+$C$21)^J14,0)</f>
        <v>175</v>
      </c>
      <c r="U14" s="109">
        <f>ROUND(S14*T14,0)</f>
        <v>1365</v>
      </c>
      <c r="V14" s="12">
        <f>ROUND(+U14+R14,0)</f>
        <v>4029</v>
      </c>
      <c r="W14" s="110">
        <f t="shared" ref="W14:W34" si="6">ROUND($H$36*(1+$C$11)^J14,3)</f>
        <v>2.532</v>
      </c>
      <c r="X14" s="111">
        <f t="shared" ref="X14:X34" si="7">ROUND((1-$H$38)*(W14*M14),0)</f>
        <v>1560</v>
      </c>
      <c r="Y14" s="111">
        <f>ROUND($F$11,0)</f>
        <v>2484</v>
      </c>
      <c r="Z14" s="111">
        <f>ROUND($F$12,0)</f>
        <v>7351</v>
      </c>
      <c r="AA14" s="111">
        <f t="shared" ref="AA14:AA34" si="8">SUM(X14:Z14)</f>
        <v>11395</v>
      </c>
      <c r="AB14" s="12">
        <f t="shared" ref="AB14:AB34" si="9">V14-AA14</f>
        <v>-7366</v>
      </c>
      <c r="AE14" s="7">
        <f>$C$47</f>
        <v>2025</v>
      </c>
      <c r="AF14" s="12">
        <f t="shared" ref="AF14:AF34" si="10">+R14</f>
        <v>2664</v>
      </c>
      <c r="AG14" s="12">
        <f t="shared" ref="AG14:AG34" si="11">+U14</f>
        <v>1365</v>
      </c>
      <c r="AH14" s="111">
        <f>+AG14+AF14</f>
        <v>4029</v>
      </c>
      <c r="AJ14" s="12">
        <f>ROUND(Y14,0)</f>
        <v>2484</v>
      </c>
      <c r="AK14" s="12">
        <f>ROUND(Z14,0)</f>
        <v>7351</v>
      </c>
      <c r="AL14" s="12">
        <f t="shared" ref="AL14:AL34" si="12">SUM(AJ14:AK14)</f>
        <v>9835</v>
      </c>
      <c r="AN14" s="12">
        <f t="shared" ref="AN14:AN34" si="13">+AH14-AL14</f>
        <v>-5806</v>
      </c>
      <c r="AQ14" s="7">
        <f>$C$47</f>
        <v>2025</v>
      </c>
      <c r="AR14" s="12">
        <f t="shared" ref="AR14:AR34" si="14">AF14</f>
        <v>2664</v>
      </c>
      <c r="AS14" s="12">
        <f t="shared" ref="AS14:AS34" si="15">+AG14</f>
        <v>1365</v>
      </c>
      <c r="AT14" s="107">
        <f t="shared" ref="AT14:AT34" si="16">ROUND(($C$28/(1-$C$31))*(1+$C$29)^J14,3)</f>
        <v>0.03</v>
      </c>
      <c r="AU14" s="12">
        <f>ROUND(IF($C$47+$F$23&gt;$AQ14,$F$30*$F$27,0)*AT14,0)</f>
        <v>151</v>
      </c>
      <c r="AV14" s="107">
        <f t="shared" ref="AV14:AV34" si="17">ROUND($C$33*(1+$C$34)^J14,3)</f>
        <v>2.0699999999999998</v>
      </c>
      <c r="AW14" s="12">
        <f t="shared" ref="AW14:AW34" si="18">ROUND(AV14*M14,0)</f>
        <v>1615</v>
      </c>
      <c r="AX14" s="107"/>
      <c r="AY14" s="12"/>
      <c r="AZ14" s="12">
        <f>ROUND(AR14+AS14+AU14+AW14+AY14,0)</f>
        <v>5795</v>
      </c>
      <c r="BA14" s="17"/>
      <c r="BB14" s="111">
        <f>ROUND($F$13,0)</f>
        <v>9835</v>
      </c>
      <c r="BC14" s="111">
        <f>ROUND((F15*F30)-Z14,0)</f>
        <v>11714</v>
      </c>
      <c r="BD14" s="109">
        <f>BB14+BC14</f>
        <v>21549</v>
      </c>
      <c r="BE14" s="111">
        <f t="shared" ref="BE14:BE34" si="19">AZ14-BD14</f>
        <v>-15754</v>
      </c>
      <c r="BH14" s="7">
        <f>$C$47</f>
        <v>2025</v>
      </c>
      <c r="BI14" s="12">
        <f>+F12</f>
        <v>7351</v>
      </c>
      <c r="BJ14" s="16">
        <f t="shared" ref="BJ14:BJ34" si="20">+M14</f>
        <v>780</v>
      </c>
      <c r="BK14" s="112">
        <f t="shared" ref="BK14:BK34" si="21">ROUND($C$10*(1+$C$11)^J14,3)</f>
        <v>8.3550000000000004</v>
      </c>
      <c r="BL14" s="12">
        <f>ROUND(BJ14*BK14,0)</f>
        <v>6517</v>
      </c>
      <c r="BM14" s="112">
        <f t="shared" ref="BM14:BM34" si="22">ROUND($C$13*(1+$C$14)^J14,3)</f>
        <v>0.13500000000000001</v>
      </c>
      <c r="BN14" s="12">
        <f>ROUND(IF($C$47+$F$23&gt;$BH14,$F$30*$F$27,0)*BM14,0)</f>
        <v>681</v>
      </c>
      <c r="BO14" s="12"/>
      <c r="BP14" s="12">
        <f t="shared" ref="BP14:BP34" si="23">BI14+BL14+BN14+BO14</f>
        <v>14549</v>
      </c>
      <c r="BR14" s="12">
        <f>ROUND(F15*F30,0)</f>
        <v>19065</v>
      </c>
      <c r="BS14" s="12"/>
      <c r="BT14" s="12">
        <f>BP14-BR14</f>
        <v>-4516</v>
      </c>
      <c r="BW14" s="7">
        <f>$C$47</f>
        <v>2025</v>
      </c>
      <c r="BX14" s="12">
        <f t="shared" ref="BX14:BX36" si="24">$R14</f>
        <v>2664</v>
      </c>
      <c r="BY14" s="12">
        <f>U14</f>
        <v>1365</v>
      </c>
      <c r="BZ14" s="115">
        <f>AU14</f>
        <v>151</v>
      </c>
      <c r="CA14" s="12">
        <f>SUM(BX14:BZ14)</f>
        <v>4180</v>
      </c>
      <c r="CC14" s="12">
        <f>BB14</f>
        <v>9835</v>
      </c>
      <c r="CD14" s="12">
        <f>BC14</f>
        <v>11714</v>
      </c>
      <c r="CE14" s="12">
        <f>SUM(CC14:CD14)</f>
        <v>21549</v>
      </c>
      <c r="CF14" s="12"/>
      <c r="CG14" s="12">
        <f>CA14-CE14</f>
        <v>-17369</v>
      </c>
    </row>
    <row r="15" spans="1:106">
      <c r="A15" s="3" t="s">
        <v>62</v>
      </c>
      <c r="C15" s="131" t="str">
        <f>+'Gas Input Table Summary'!$D$11</f>
        <v>kWh</v>
      </c>
      <c r="E15" s="3" t="s">
        <v>63</v>
      </c>
      <c r="F15" s="258">
        <f>ROUND('Database Inputs'!K13,0)</f>
        <v>155</v>
      </c>
      <c r="G15" s="257"/>
      <c r="H15" s="257"/>
      <c r="J15" s="2">
        <f t="shared" ref="J15:J36" si="25">J14+1</f>
        <v>1</v>
      </c>
      <c r="L15" s="7">
        <f t="shared" ref="L15:L36" si="26">L14+1</f>
        <v>2026</v>
      </c>
      <c r="M15" s="16">
        <f>ROUND(IF($C$47+$F$23&gt;L15,$F$25*$F$30,0)+IF($C$48+$G$23&gt;L15,$G$25*$G$30,0),0)</f>
        <v>780</v>
      </c>
      <c r="N15" s="53">
        <f t="shared" si="0"/>
        <v>3.5179999999999998</v>
      </c>
      <c r="O15" s="32">
        <f t="shared" si="1"/>
        <v>2744</v>
      </c>
      <c r="P15" s="53">
        <f t="shared" si="2"/>
        <v>0</v>
      </c>
      <c r="Q15" s="46">
        <f t="shared" ref="Q15:Q34" si="27">ROUND(M15*P15,0)</f>
        <v>0</v>
      </c>
      <c r="R15" s="43">
        <f t="shared" si="3"/>
        <v>2744</v>
      </c>
      <c r="S15" s="42">
        <f t="shared" si="4"/>
        <v>7.8</v>
      </c>
      <c r="T15" s="46">
        <f t="shared" si="5"/>
        <v>177</v>
      </c>
      <c r="U15" s="44">
        <f>ROUND(S15*T15,0)</f>
        <v>1381</v>
      </c>
      <c r="V15" s="16">
        <f t="shared" ref="V15:V34" si="28">ROUND(+U15+R15,0)</f>
        <v>4125</v>
      </c>
      <c r="W15" s="45">
        <f t="shared" si="6"/>
        <v>2.6080000000000001</v>
      </c>
      <c r="X15" s="46">
        <f t="shared" si="7"/>
        <v>1607</v>
      </c>
      <c r="Y15" s="46">
        <f>ROUND($G$11,0)</f>
        <v>0</v>
      </c>
      <c r="Z15" s="46">
        <f>ROUND($G$12,0)</f>
        <v>0</v>
      </c>
      <c r="AA15" s="46">
        <f t="shared" si="8"/>
        <v>1607</v>
      </c>
      <c r="AB15" s="46">
        <f t="shared" si="9"/>
        <v>2518</v>
      </c>
      <c r="AE15" s="7">
        <f t="shared" ref="AE15:AE36" si="29">AE14+1</f>
        <v>2026</v>
      </c>
      <c r="AF15" s="46">
        <f>+R15</f>
        <v>2744</v>
      </c>
      <c r="AG15" s="16">
        <f>+U15</f>
        <v>1381</v>
      </c>
      <c r="AH15" s="46">
        <f>+AG15+AF15</f>
        <v>4125</v>
      </c>
      <c r="AJ15" s="32">
        <f t="shared" ref="AJ15:AK34" si="30">ROUND(Y15,0)</f>
        <v>0</v>
      </c>
      <c r="AK15" s="32">
        <f t="shared" si="30"/>
        <v>0</v>
      </c>
      <c r="AL15" s="32">
        <f t="shared" si="12"/>
        <v>0</v>
      </c>
      <c r="AN15" s="77">
        <f>+AH15-AL15</f>
        <v>4125</v>
      </c>
      <c r="AQ15" s="7">
        <f t="shared" ref="AQ15:AQ36" si="31">AQ14+1</f>
        <v>2026</v>
      </c>
      <c r="AR15" s="46">
        <f t="shared" si="14"/>
        <v>2744</v>
      </c>
      <c r="AS15" s="46">
        <f t="shared" si="15"/>
        <v>1381</v>
      </c>
      <c r="AT15" s="91">
        <f t="shared" si="16"/>
        <v>0.03</v>
      </c>
      <c r="AU15" s="16">
        <f>ROUND((IF($C$47+$F$23&gt;$AQ15,$F$27*$F$30,0)+IF($C$48+$G$23&gt;AQ15,$G$27*$G$30,0))*AT15,0)</f>
        <v>151</v>
      </c>
      <c r="AV15" s="53">
        <f t="shared" si="17"/>
        <v>2.105</v>
      </c>
      <c r="AW15" s="46">
        <f t="shared" si="18"/>
        <v>1642</v>
      </c>
      <c r="AX15" s="91"/>
      <c r="AY15" s="92"/>
      <c r="AZ15" s="46">
        <f t="shared" ref="AZ15:AZ34" si="32">ROUND(AR15+AS15+AU15+AW15+AY15,0)</f>
        <v>5918</v>
      </c>
      <c r="BA15" s="17"/>
      <c r="BB15" s="46">
        <f>ROUND($G$13,0)</f>
        <v>0</v>
      </c>
      <c r="BC15" s="46">
        <f>ROUND(($G$15*$G$30)-$Z$15,0)</f>
        <v>0</v>
      </c>
      <c r="BD15" s="47">
        <f t="shared" ref="BD15:BD34" si="33">BB15+BC15</f>
        <v>0</v>
      </c>
      <c r="BE15" s="46">
        <f t="shared" si="19"/>
        <v>5918</v>
      </c>
      <c r="BH15" s="7">
        <f t="shared" ref="BH15:BH36" si="34">BH14+1</f>
        <v>2026</v>
      </c>
      <c r="BI15" s="46">
        <f>+G12</f>
        <v>0</v>
      </c>
      <c r="BJ15" s="16">
        <f t="shared" si="20"/>
        <v>780</v>
      </c>
      <c r="BK15" s="87">
        <f t="shared" si="21"/>
        <v>8.6059999999999999</v>
      </c>
      <c r="BL15" s="46">
        <f>ROUND(BJ15*BK15,0)</f>
        <v>6713</v>
      </c>
      <c r="BM15" s="87">
        <f t="shared" si="22"/>
        <v>0.13900000000000001</v>
      </c>
      <c r="BN15" s="16">
        <f>ROUND((IF($C$47+$F$23&gt;BH15,$F$27*$F$30,0)+IF($C$48+$G$23&gt;BH15,$G$27*$G$30,0))*BM15,0)</f>
        <v>701</v>
      </c>
      <c r="BO15" s="16"/>
      <c r="BP15" s="46">
        <f t="shared" si="23"/>
        <v>7414</v>
      </c>
      <c r="BR15" s="46">
        <f>ROUND($G$15*$G$30,0)</f>
        <v>0</v>
      </c>
      <c r="BS15" s="46"/>
      <c r="BT15" s="46">
        <f t="shared" ref="BT15:BT34" si="35">BP15-BR15</f>
        <v>7414</v>
      </c>
      <c r="BW15" s="7">
        <f t="shared" ref="BW15:BW36" si="36">BW14+1</f>
        <v>2026</v>
      </c>
      <c r="BX15" s="46">
        <f t="shared" si="24"/>
        <v>2744</v>
      </c>
      <c r="BY15" s="16">
        <f t="shared" ref="BY15:BY34" si="37">U15</f>
        <v>1381</v>
      </c>
      <c r="BZ15" s="116">
        <f t="shared" ref="BZ15:BZ34" si="38">AU15</f>
        <v>151</v>
      </c>
      <c r="CA15" s="46">
        <f t="shared" ref="CA15:CA34" si="39">SUM(BX15:BZ15)</f>
        <v>4276</v>
      </c>
      <c r="CC15" s="46">
        <f t="shared" ref="CC15:CD34" si="40">BB15</f>
        <v>0</v>
      </c>
      <c r="CD15" s="46">
        <f t="shared" si="40"/>
        <v>0</v>
      </c>
      <c r="CE15" s="46">
        <f t="shared" ref="CE15:CE34" si="41">SUM(CC15:CD15)</f>
        <v>0</v>
      </c>
      <c r="CF15" s="46"/>
      <c r="CG15" s="46">
        <f>CA15-CE15</f>
        <v>4276</v>
      </c>
    </row>
    <row r="16" spans="1:106">
      <c r="F16" s="16"/>
      <c r="G16" s="16"/>
      <c r="H16" s="16"/>
      <c r="J16" s="2">
        <f t="shared" si="25"/>
        <v>2</v>
      </c>
      <c r="L16" s="7">
        <f t="shared" si="26"/>
        <v>2027</v>
      </c>
      <c r="M16" s="16">
        <f>ROUND(IF($C$47+$F$23&gt;L16,$F$25*$F$30,0)+IF($C$48+$G$23&gt;L16,$G$25*$G$30,0)+IF($C$49+$H$23&gt;L16,$H$25*$H$30,0),0)</f>
        <v>780</v>
      </c>
      <c r="N16" s="53">
        <f>ROUND($C$17*(1+$C$18)^J16,3)</f>
        <v>3.6240000000000001</v>
      </c>
      <c r="O16" s="32">
        <f>ROUND(M16*N16,0)</f>
        <v>2827</v>
      </c>
      <c r="P16" s="53">
        <f>ROUND($C$25*(1+$C$26)^J16,3)</f>
        <v>0</v>
      </c>
      <c r="Q16" s="46">
        <f t="shared" si="27"/>
        <v>0</v>
      </c>
      <c r="R16" s="43">
        <f>O16+Q16</f>
        <v>2827</v>
      </c>
      <c r="S16" s="42">
        <f>ROUND(M16*$C$23,1)</f>
        <v>7.8</v>
      </c>
      <c r="T16" s="46">
        <f>ROUND($C$20*(1+$C$21)^J16,0)</f>
        <v>179</v>
      </c>
      <c r="U16" s="44">
        <f>ROUND(S16*T16,0)</f>
        <v>1396</v>
      </c>
      <c r="V16" s="16">
        <f>ROUND(+U16+R16,0)</f>
        <v>4223</v>
      </c>
      <c r="W16" s="45">
        <f>ROUND($H$36*(1+$C$11)^J16,3)</f>
        <v>2.6859999999999999</v>
      </c>
      <c r="X16" s="46">
        <f>ROUND((1-$H$38)*(W16*M16),0)</f>
        <v>1655</v>
      </c>
      <c r="Y16" s="46">
        <f>ROUND($H$11,0)</f>
        <v>0</v>
      </c>
      <c r="Z16" s="46">
        <f>ROUND($H$12,0)</f>
        <v>0</v>
      </c>
      <c r="AA16" s="46">
        <f t="shared" si="8"/>
        <v>1655</v>
      </c>
      <c r="AB16" s="46">
        <f>V16-AA16</f>
        <v>2568</v>
      </c>
      <c r="AE16" s="7">
        <f t="shared" si="29"/>
        <v>2027</v>
      </c>
      <c r="AF16" s="46">
        <f t="shared" si="10"/>
        <v>2827</v>
      </c>
      <c r="AG16" s="16">
        <f t="shared" si="11"/>
        <v>1396</v>
      </c>
      <c r="AH16" s="46">
        <f t="shared" ref="AH16:AH34" si="42">+AG16+AF16</f>
        <v>4223</v>
      </c>
      <c r="AJ16" s="32">
        <f t="shared" si="30"/>
        <v>0</v>
      </c>
      <c r="AK16" s="32">
        <f t="shared" si="30"/>
        <v>0</v>
      </c>
      <c r="AL16" s="32">
        <f t="shared" si="12"/>
        <v>0</v>
      </c>
      <c r="AN16" s="77">
        <f t="shared" si="13"/>
        <v>4223</v>
      </c>
      <c r="AQ16" s="7">
        <f t="shared" si="31"/>
        <v>2027</v>
      </c>
      <c r="AR16" s="46">
        <f t="shared" si="14"/>
        <v>2827</v>
      </c>
      <c r="AS16" s="46">
        <f t="shared" si="15"/>
        <v>1396</v>
      </c>
      <c r="AT16" s="91">
        <f>ROUND(($C$28/(1-$C$31))*(1+$C$29)^J16,3)</f>
        <v>3.1E-2</v>
      </c>
      <c r="AU16" s="16">
        <f>ROUND((IF($C$47+$F$23&gt;$AQ16,$F$27*$F$30,0)+IF($C$48+$G$23&gt;AQ16,$G$27*$G$30,0)+IF($C$49+$H$23&gt;AQ16,$H$27*$H$30,0))*AT16,0)</f>
        <v>156</v>
      </c>
      <c r="AV16" s="53">
        <f t="shared" si="17"/>
        <v>2.141</v>
      </c>
      <c r="AW16" s="46">
        <f t="shared" si="18"/>
        <v>1670</v>
      </c>
      <c r="AX16" s="91"/>
      <c r="AY16" s="92"/>
      <c r="AZ16" s="46">
        <f t="shared" si="32"/>
        <v>6049</v>
      </c>
      <c r="BA16" s="17"/>
      <c r="BB16" s="46">
        <f>ROUND($H$13,0)</f>
        <v>0</v>
      </c>
      <c r="BC16" s="46">
        <f>ROUND(($H$15*$H$30)-$Z$16,0)</f>
        <v>0</v>
      </c>
      <c r="BD16" s="47">
        <f t="shared" si="33"/>
        <v>0</v>
      </c>
      <c r="BE16" s="46">
        <f t="shared" si="19"/>
        <v>6049</v>
      </c>
      <c r="BH16" s="7">
        <f t="shared" si="34"/>
        <v>2027</v>
      </c>
      <c r="BI16" s="46">
        <f>ROUND(H12,0)</f>
        <v>0</v>
      </c>
      <c r="BJ16" s="16">
        <f t="shared" si="20"/>
        <v>780</v>
      </c>
      <c r="BK16" s="87">
        <f t="shared" si="21"/>
        <v>8.8640000000000008</v>
      </c>
      <c r="BL16" s="46">
        <f t="shared" ref="BL16:BL34" si="43">ROUND(BJ16*BK16,0)</f>
        <v>6914</v>
      </c>
      <c r="BM16" s="87">
        <f t="shared" si="22"/>
        <v>0.14299999999999999</v>
      </c>
      <c r="BN16" s="16">
        <f>ROUND((IF($C$47+$F$23&gt;BH16,$F$27*$F$30,0)+IF($C$49+$H$23&gt;BH16,$H$27*$H$30,0)+IF($C$48+$G$23&gt;BH16,$G$27*$G$30,0))*BM16,0)</f>
        <v>721</v>
      </c>
      <c r="BO16" s="16"/>
      <c r="BP16" s="46">
        <f t="shared" si="23"/>
        <v>7635</v>
      </c>
      <c r="BR16" s="46">
        <f>ROUND($H$15*$H$30,0)</f>
        <v>0</v>
      </c>
      <c r="BS16" s="46"/>
      <c r="BT16" s="46">
        <f t="shared" si="35"/>
        <v>7635</v>
      </c>
      <c r="BW16" s="7">
        <f t="shared" si="36"/>
        <v>2027</v>
      </c>
      <c r="BX16" s="46">
        <f t="shared" si="24"/>
        <v>2827</v>
      </c>
      <c r="BY16" s="16">
        <f t="shared" si="37"/>
        <v>1396</v>
      </c>
      <c r="BZ16" s="116">
        <f t="shared" si="38"/>
        <v>156</v>
      </c>
      <c r="CA16" s="46">
        <f t="shared" si="39"/>
        <v>4379</v>
      </c>
      <c r="CC16" s="46">
        <f t="shared" si="40"/>
        <v>0</v>
      </c>
      <c r="CD16" s="46">
        <f t="shared" si="40"/>
        <v>0</v>
      </c>
      <c r="CE16" s="46">
        <f t="shared" si="41"/>
        <v>0</v>
      </c>
      <c r="CF16" s="46"/>
      <c r="CG16" s="46">
        <f t="shared" ref="CG16:CG34" si="44">CA16-CE16</f>
        <v>4379</v>
      </c>
    </row>
    <row r="17" spans="1:106">
      <c r="A17" s="3" t="s">
        <v>105</v>
      </c>
      <c r="C17" s="11">
        <f>+'Gas Input Table Summary'!$D$12</f>
        <v>3.4159999999999999</v>
      </c>
      <c r="D17" s="19"/>
      <c r="E17" s="3" t="s">
        <v>64</v>
      </c>
      <c r="F17" s="14">
        <f>+'Gas Input Table Summary'!D35</f>
        <v>0</v>
      </c>
      <c r="G17" s="14"/>
      <c r="H17" s="14"/>
      <c r="J17" s="2">
        <f t="shared" si="25"/>
        <v>3</v>
      </c>
      <c r="L17" s="7">
        <f t="shared" si="26"/>
        <v>2028</v>
      </c>
      <c r="M17" s="16">
        <f t="shared" ref="M17:M34" si="45">ROUND(IF($C$47+$F$23&gt;L17,$F$25*$F$30,0)+IF($C$48+$G$23&gt;L17,$G$25*$G$30,0)+IF($C$49+$H$23&gt;L17,$H$25*$H$30,0),0)</f>
        <v>780</v>
      </c>
      <c r="N17" s="53">
        <f t="shared" si="0"/>
        <v>3.7330000000000001</v>
      </c>
      <c r="O17" s="32">
        <f t="shared" si="1"/>
        <v>2912</v>
      </c>
      <c r="P17" s="53">
        <f t="shared" si="2"/>
        <v>0</v>
      </c>
      <c r="Q17" s="46">
        <f t="shared" si="27"/>
        <v>0</v>
      </c>
      <c r="R17" s="43">
        <f t="shared" si="3"/>
        <v>2912</v>
      </c>
      <c r="S17" s="42">
        <f t="shared" si="4"/>
        <v>7.8</v>
      </c>
      <c r="T17" s="46">
        <f t="shared" si="5"/>
        <v>181</v>
      </c>
      <c r="U17" s="44">
        <f t="shared" ref="U17:U34" si="46">ROUND(S17*T17,0)</f>
        <v>1412</v>
      </c>
      <c r="V17" s="16">
        <f t="shared" si="28"/>
        <v>4324</v>
      </c>
      <c r="W17" s="45">
        <f t="shared" si="6"/>
        <v>2.7669999999999999</v>
      </c>
      <c r="X17" s="46">
        <f t="shared" si="7"/>
        <v>1705</v>
      </c>
      <c r="Y17" s="46">
        <v>0</v>
      </c>
      <c r="Z17" s="46">
        <v>0</v>
      </c>
      <c r="AA17" s="46">
        <f t="shared" si="8"/>
        <v>1705</v>
      </c>
      <c r="AB17" s="46">
        <f t="shared" si="9"/>
        <v>2619</v>
      </c>
      <c r="AE17" s="7">
        <f t="shared" si="29"/>
        <v>2028</v>
      </c>
      <c r="AF17" s="46">
        <f t="shared" si="10"/>
        <v>2912</v>
      </c>
      <c r="AG17" s="16">
        <f t="shared" si="11"/>
        <v>1412</v>
      </c>
      <c r="AH17" s="46">
        <f t="shared" si="42"/>
        <v>4324</v>
      </c>
      <c r="AJ17" s="32">
        <f t="shared" si="30"/>
        <v>0</v>
      </c>
      <c r="AK17" s="32">
        <f t="shared" si="30"/>
        <v>0</v>
      </c>
      <c r="AL17" s="32">
        <f t="shared" si="12"/>
        <v>0</v>
      </c>
      <c r="AN17" s="77">
        <f t="shared" si="13"/>
        <v>4324</v>
      </c>
      <c r="AQ17" s="7">
        <f t="shared" si="31"/>
        <v>2028</v>
      </c>
      <c r="AR17" s="46">
        <f t="shared" si="14"/>
        <v>2912</v>
      </c>
      <c r="AS17" s="46">
        <f t="shared" si="15"/>
        <v>1412</v>
      </c>
      <c r="AT17" s="91">
        <f>ROUND(($C$28/(1-$C$31))*(1+$C$29)^J17,3)</f>
        <v>3.2000000000000001E-2</v>
      </c>
      <c r="AU17" s="16">
        <f t="shared" ref="AU17:AU34" si="47">ROUND((IF($C$47+$F$23&gt;$AQ17,$F$27*$F$30,0)+IF($C$48+$G$23&gt;AQ17,$G$27*$G$30,0)+IF($C$49+$H$23&gt;AQ17,$H$27*$H$30,0))*AT17,0)</f>
        <v>161</v>
      </c>
      <c r="AV17" s="53">
        <f t="shared" si="17"/>
        <v>2.177</v>
      </c>
      <c r="AW17" s="46">
        <f t="shared" si="18"/>
        <v>1698</v>
      </c>
      <c r="AX17" s="91"/>
      <c r="AY17" s="92"/>
      <c r="AZ17" s="46">
        <f t="shared" si="32"/>
        <v>6183</v>
      </c>
      <c r="BA17" s="17"/>
      <c r="BB17" s="46">
        <v>0</v>
      </c>
      <c r="BC17" s="46">
        <v>0</v>
      </c>
      <c r="BD17" s="47">
        <f t="shared" si="33"/>
        <v>0</v>
      </c>
      <c r="BE17" s="46">
        <f t="shared" si="19"/>
        <v>6183</v>
      </c>
      <c r="BH17" s="7">
        <f t="shared" si="34"/>
        <v>2028</v>
      </c>
      <c r="BI17" s="46">
        <v>0</v>
      </c>
      <c r="BJ17" s="16">
        <f t="shared" si="20"/>
        <v>780</v>
      </c>
      <c r="BK17" s="87">
        <f t="shared" si="21"/>
        <v>9.1300000000000008</v>
      </c>
      <c r="BL17" s="46">
        <f t="shared" si="43"/>
        <v>7121</v>
      </c>
      <c r="BM17" s="87">
        <f t="shared" si="22"/>
        <v>0.14699999999999999</v>
      </c>
      <c r="BN17" s="16">
        <f t="shared" ref="BN17:BN34" si="48">ROUND((IF($C$47+$F$23&gt;BH17,$F$27*$F$30,0)+IF($C$49+$H$23&gt;BH17,$H$27*$H$30,0)+IF($C$48+$G$23&gt;BH17,$G$27*$G$30,0))*BM17,0)</f>
        <v>741</v>
      </c>
      <c r="BO17" s="16"/>
      <c r="BP17" s="46">
        <f t="shared" si="23"/>
        <v>7862</v>
      </c>
      <c r="BR17" s="46">
        <f t="shared" ref="BR17:BR34" si="49">+BC17</f>
        <v>0</v>
      </c>
      <c r="BS17" s="46"/>
      <c r="BT17" s="46">
        <f t="shared" si="35"/>
        <v>7862</v>
      </c>
      <c r="BW17" s="7">
        <f t="shared" si="36"/>
        <v>2028</v>
      </c>
      <c r="BX17" s="46">
        <f t="shared" si="24"/>
        <v>2912</v>
      </c>
      <c r="BY17" s="16">
        <f t="shared" si="37"/>
        <v>1412</v>
      </c>
      <c r="BZ17" s="116">
        <f t="shared" si="38"/>
        <v>161</v>
      </c>
      <c r="CA17" s="46">
        <f t="shared" si="39"/>
        <v>4485</v>
      </c>
      <c r="CC17" s="46">
        <f t="shared" si="40"/>
        <v>0</v>
      </c>
      <c r="CD17" s="46">
        <f t="shared" si="40"/>
        <v>0</v>
      </c>
      <c r="CE17" s="46">
        <f t="shared" si="41"/>
        <v>0</v>
      </c>
      <c r="CF17" s="46"/>
      <c r="CG17" s="46">
        <f t="shared" si="44"/>
        <v>4485</v>
      </c>
    </row>
    <row r="18" spans="1:106">
      <c r="A18" s="3" t="s">
        <v>18</v>
      </c>
      <c r="C18" s="15">
        <f>+'Gas Input Table Summary'!$D$13</f>
        <v>0.03</v>
      </c>
      <c r="E18" s="2" t="s">
        <v>65</v>
      </c>
      <c r="F18" s="15">
        <f>+'Gas Input Table Summary'!D38</f>
        <v>0</v>
      </c>
      <c r="G18" s="15"/>
      <c r="H18" s="15"/>
      <c r="J18" s="2">
        <f t="shared" si="25"/>
        <v>4</v>
      </c>
      <c r="L18" s="7">
        <f t="shared" si="26"/>
        <v>2029</v>
      </c>
      <c r="M18" s="16">
        <f t="shared" si="45"/>
        <v>780</v>
      </c>
      <c r="N18" s="53">
        <f t="shared" si="0"/>
        <v>3.8450000000000002</v>
      </c>
      <c r="O18" s="32">
        <f t="shared" si="1"/>
        <v>2999</v>
      </c>
      <c r="P18" s="53">
        <f t="shared" si="2"/>
        <v>0</v>
      </c>
      <c r="Q18" s="46">
        <f t="shared" si="27"/>
        <v>0</v>
      </c>
      <c r="R18" s="43">
        <f t="shared" si="3"/>
        <v>2999</v>
      </c>
      <c r="S18" s="42">
        <f t="shared" si="4"/>
        <v>7.8</v>
      </c>
      <c r="T18" s="46">
        <f t="shared" si="5"/>
        <v>182</v>
      </c>
      <c r="U18" s="44">
        <f t="shared" si="46"/>
        <v>1420</v>
      </c>
      <c r="V18" s="16">
        <f t="shared" si="28"/>
        <v>4419</v>
      </c>
      <c r="W18" s="45">
        <f t="shared" si="6"/>
        <v>2.85</v>
      </c>
      <c r="X18" s="46">
        <f t="shared" si="7"/>
        <v>1756</v>
      </c>
      <c r="Y18" s="46">
        <v>0</v>
      </c>
      <c r="Z18" s="46">
        <v>0</v>
      </c>
      <c r="AA18" s="46">
        <f t="shared" si="8"/>
        <v>1756</v>
      </c>
      <c r="AB18" s="46">
        <f t="shared" si="9"/>
        <v>2663</v>
      </c>
      <c r="AE18" s="7">
        <f t="shared" si="29"/>
        <v>2029</v>
      </c>
      <c r="AF18" s="46">
        <f t="shared" si="10"/>
        <v>2999</v>
      </c>
      <c r="AG18" s="16">
        <f t="shared" si="11"/>
        <v>1420</v>
      </c>
      <c r="AH18" s="46">
        <f t="shared" si="42"/>
        <v>4419</v>
      </c>
      <c r="AJ18" s="32">
        <f t="shared" si="30"/>
        <v>0</v>
      </c>
      <c r="AK18" s="32">
        <f t="shared" si="30"/>
        <v>0</v>
      </c>
      <c r="AL18" s="32">
        <f t="shared" si="12"/>
        <v>0</v>
      </c>
      <c r="AN18" s="77">
        <f t="shared" si="13"/>
        <v>4419</v>
      </c>
      <c r="AQ18" s="7">
        <f t="shared" si="31"/>
        <v>2029</v>
      </c>
      <c r="AR18" s="46">
        <f t="shared" si="14"/>
        <v>2999</v>
      </c>
      <c r="AS18" s="46">
        <f t="shared" si="15"/>
        <v>1420</v>
      </c>
      <c r="AT18" s="91">
        <f t="shared" si="16"/>
        <v>3.3000000000000002E-2</v>
      </c>
      <c r="AU18" s="16">
        <f t="shared" si="47"/>
        <v>166</v>
      </c>
      <c r="AV18" s="53">
        <f t="shared" si="17"/>
        <v>2.214</v>
      </c>
      <c r="AW18" s="46">
        <f t="shared" si="18"/>
        <v>1727</v>
      </c>
      <c r="AX18" s="91"/>
      <c r="AY18" s="92"/>
      <c r="AZ18" s="46">
        <f t="shared" si="32"/>
        <v>6312</v>
      </c>
      <c r="BA18" s="17"/>
      <c r="BB18" s="46">
        <v>0</v>
      </c>
      <c r="BC18" s="46">
        <v>0</v>
      </c>
      <c r="BD18" s="47">
        <f t="shared" si="33"/>
        <v>0</v>
      </c>
      <c r="BE18" s="46">
        <f t="shared" si="19"/>
        <v>6312</v>
      </c>
      <c r="BH18" s="7">
        <f t="shared" si="34"/>
        <v>2029</v>
      </c>
      <c r="BI18" s="46">
        <v>0</v>
      </c>
      <c r="BJ18" s="16">
        <f t="shared" si="20"/>
        <v>780</v>
      </c>
      <c r="BK18" s="87">
        <f t="shared" si="21"/>
        <v>9.4039999999999999</v>
      </c>
      <c r="BL18" s="46">
        <f t="shared" si="43"/>
        <v>7335</v>
      </c>
      <c r="BM18" s="87">
        <f t="shared" si="22"/>
        <v>0.152</v>
      </c>
      <c r="BN18" s="16">
        <f t="shared" si="48"/>
        <v>767</v>
      </c>
      <c r="BO18" s="16"/>
      <c r="BP18" s="46">
        <f t="shared" si="23"/>
        <v>8102</v>
      </c>
      <c r="BR18" s="46">
        <f t="shared" si="49"/>
        <v>0</v>
      </c>
      <c r="BS18" s="46"/>
      <c r="BT18" s="46">
        <f t="shared" si="35"/>
        <v>8102</v>
      </c>
      <c r="BW18" s="7">
        <f t="shared" si="36"/>
        <v>2029</v>
      </c>
      <c r="BX18" s="46">
        <f t="shared" si="24"/>
        <v>2999</v>
      </c>
      <c r="BY18" s="16">
        <f t="shared" si="37"/>
        <v>1420</v>
      </c>
      <c r="BZ18" s="116">
        <f t="shared" si="38"/>
        <v>166</v>
      </c>
      <c r="CA18" s="46">
        <f t="shared" si="39"/>
        <v>4585</v>
      </c>
      <c r="CC18" s="46">
        <f t="shared" si="40"/>
        <v>0</v>
      </c>
      <c r="CD18" s="46">
        <f t="shared" si="40"/>
        <v>0</v>
      </c>
      <c r="CE18" s="46">
        <f t="shared" si="41"/>
        <v>0</v>
      </c>
      <c r="CF18" s="46"/>
      <c r="CG18" s="46">
        <f t="shared" si="44"/>
        <v>4585</v>
      </c>
      <c r="DB18" s="5"/>
    </row>
    <row r="19" spans="1:106">
      <c r="C19" s="3"/>
      <c r="J19" s="2">
        <f t="shared" si="25"/>
        <v>5</v>
      </c>
      <c r="L19" s="7">
        <f t="shared" si="26"/>
        <v>2030</v>
      </c>
      <c r="M19" s="16">
        <f>ROUND(IF($C$47+$F$23&gt;L19,$F$25*$F$30,0)+IF($C$48+$G$23&gt;L19,$G$25*$G$30,0)+IF($C$49+$H$23&gt;L19,$H$25*$H$30,0),0)</f>
        <v>780</v>
      </c>
      <c r="N19" s="53">
        <f t="shared" si="0"/>
        <v>3.96</v>
      </c>
      <c r="O19" s="32">
        <f t="shared" si="1"/>
        <v>3089</v>
      </c>
      <c r="P19" s="53">
        <f t="shared" si="2"/>
        <v>0</v>
      </c>
      <c r="Q19" s="46">
        <f t="shared" si="27"/>
        <v>0</v>
      </c>
      <c r="R19" s="43">
        <f t="shared" si="3"/>
        <v>3089</v>
      </c>
      <c r="S19" s="42">
        <f t="shared" si="4"/>
        <v>7.8</v>
      </c>
      <c r="T19" s="46">
        <f t="shared" si="5"/>
        <v>184</v>
      </c>
      <c r="U19" s="44">
        <f t="shared" si="46"/>
        <v>1435</v>
      </c>
      <c r="V19" s="16">
        <f t="shared" si="28"/>
        <v>4524</v>
      </c>
      <c r="W19" s="45">
        <f t="shared" si="6"/>
        <v>2.9350000000000001</v>
      </c>
      <c r="X19" s="46">
        <f t="shared" si="7"/>
        <v>1809</v>
      </c>
      <c r="Y19" s="46">
        <v>0</v>
      </c>
      <c r="Z19" s="46">
        <v>0</v>
      </c>
      <c r="AA19" s="46">
        <f t="shared" si="8"/>
        <v>1809</v>
      </c>
      <c r="AB19" s="46">
        <f t="shared" si="9"/>
        <v>2715</v>
      </c>
      <c r="AE19" s="7">
        <f t="shared" si="29"/>
        <v>2030</v>
      </c>
      <c r="AF19" s="46">
        <f t="shared" si="10"/>
        <v>3089</v>
      </c>
      <c r="AG19" s="16">
        <f t="shared" si="11"/>
        <v>1435</v>
      </c>
      <c r="AH19" s="46">
        <f t="shared" si="42"/>
        <v>4524</v>
      </c>
      <c r="AJ19" s="32">
        <f t="shared" si="30"/>
        <v>0</v>
      </c>
      <c r="AK19" s="32">
        <f t="shared" si="30"/>
        <v>0</v>
      </c>
      <c r="AL19" s="32">
        <f t="shared" si="12"/>
        <v>0</v>
      </c>
      <c r="AN19" s="77">
        <f t="shared" si="13"/>
        <v>4524</v>
      </c>
      <c r="AQ19" s="7">
        <f t="shared" si="31"/>
        <v>2030</v>
      </c>
      <c r="AR19" s="46">
        <f t="shared" si="14"/>
        <v>3089</v>
      </c>
      <c r="AS19" s="46">
        <f t="shared" si="15"/>
        <v>1435</v>
      </c>
      <c r="AT19" s="91">
        <f t="shared" si="16"/>
        <v>3.4000000000000002E-2</v>
      </c>
      <c r="AU19" s="16">
        <f t="shared" si="47"/>
        <v>171</v>
      </c>
      <c r="AV19" s="53">
        <f t="shared" si="17"/>
        <v>2.2509999999999999</v>
      </c>
      <c r="AW19" s="46">
        <f t="shared" si="18"/>
        <v>1756</v>
      </c>
      <c r="AX19" s="91"/>
      <c r="AY19" s="92"/>
      <c r="AZ19" s="46">
        <f t="shared" si="32"/>
        <v>6451</v>
      </c>
      <c r="BA19" s="17"/>
      <c r="BB19" s="46">
        <v>0</v>
      </c>
      <c r="BC19" s="46">
        <v>0</v>
      </c>
      <c r="BD19" s="47">
        <f t="shared" si="33"/>
        <v>0</v>
      </c>
      <c r="BE19" s="46">
        <f t="shared" si="19"/>
        <v>6451</v>
      </c>
      <c r="BH19" s="7">
        <f t="shared" si="34"/>
        <v>2030</v>
      </c>
      <c r="BI19" s="46">
        <v>0</v>
      </c>
      <c r="BJ19" s="16">
        <f t="shared" si="20"/>
        <v>780</v>
      </c>
      <c r="BK19" s="87">
        <f t="shared" si="21"/>
        <v>9.6859999999999999</v>
      </c>
      <c r="BL19" s="46">
        <f t="shared" si="43"/>
        <v>7555</v>
      </c>
      <c r="BM19" s="87">
        <f t="shared" si="22"/>
        <v>0.156</v>
      </c>
      <c r="BN19" s="16">
        <f t="shared" si="48"/>
        <v>787</v>
      </c>
      <c r="BO19" s="16"/>
      <c r="BP19" s="46">
        <f t="shared" si="23"/>
        <v>8342</v>
      </c>
      <c r="BR19" s="46">
        <f t="shared" si="49"/>
        <v>0</v>
      </c>
      <c r="BS19" s="46"/>
      <c r="BT19" s="46">
        <f t="shared" si="35"/>
        <v>8342</v>
      </c>
      <c r="BW19" s="7">
        <f t="shared" si="36"/>
        <v>2030</v>
      </c>
      <c r="BX19" s="46">
        <f t="shared" si="24"/>
        <v>3089</v>
      </c>
      <c r="BY19" s="16">
        <f t="shared" si="37"/>
        <v>1435</v>
      </c>
      <c r="BZ19" s="116">
        <f t="shared" si="38"/>
        <v>171</v>
      </c>
      <c r="CA19" s="46">
        <f t="shared" si="39"/>
        <v>4695</v>
      </c>
      <c r="CC19" s="46">
        <f t="shared" si="40"/>
        <v>0</v>
      </c>
      <c r="CD19" s="46">
        <f t="shared" si="40"/>
        <v>0</v>
      </c>
      <c r="CE19" s="46">
        <f t="shared" si="41"/>
        <v>0</v>
      </c>
      <c r="CF19" s="46"/>
      <c r="CG19" s="46">
        <f t="shared" si="44"/>
        <v>4695</v>
      </c>
    </row>
    <row r="20" spans="1:106">
      <c r="A20" s="3" t="s">
        <v>66</v>
      </c>
      <c r="C20" s="20">
        <f>+'Gas Input Table Summary'!$D$14</f>
        <v>175.3</v>
      </c>
      <c r="E20" s="3" t="s">
        <v>67</v>
      </c>
      <c r="F20" s="14">
        <f>+'Gas Input Table Summary'!D41</f>
        <v>0</v>
      </c>
      <c r="G20" s="14"/>
      <c r="H20" s="14"/>
      <c r="J20" s="2">
        <f t="shared" si="25"/>
        <v>6</v>
      </c>
      <c r="L20" s="7">
        <f t="shared" si="26"/>
        <v>2031</v>
      </c>
      <c r="M20" s="16">
        <f t="shared" si="45"/>
        <v>780</v>
      </c>
      <c r="N20" s="53">
        <f t="shared" si="0"/>
        <v>4.0789999999999997</v>
      </c>
      <c r="O20" s="32">
        <f t="shared" si="1"/>
        <v>3182</v>
      </c>
      <c r="P20" s="53">
        <f t="shared" si="2"/>
        <v>0</v>
      </c>
      <c r="Q20" s="46">
        <f t="shared" si="27"/>
        <v>0</v>
      </c>
      <c r="R20" s="43">
        <f t="shared" si="3"/>
        <v>3182</v>
      </c>
      <c r="S20" s="42">
        <f t="shared" si="4"/>
        <v>7.8</v>
      </c>
      <c r="T20" s="46">
        <f t="shared" si="5"/>
        <v>186</v>
      </c>
      <c r="U20" s="44">
        <f t="shared" si="46"/>
        <v>1451</v>
      </c>
      <c r="V20" s="16">
        <f t="shared" si="28"/>
        <v>4633</v>
      </c>
      <c r="W20" s="45">
        <f t="shared" si="6"/>
        <v>3.0230000000000001</v>
      </c>
      <c r="X20" s="46">
        <f t="shared" si="7"/>
        <v>1863</v>
      </c>
      <c r="Y20" s="46">
        <v>0</v>
      </c>
      <c r="Z20" s="46">
        <v>0</v>
      </c>
      <c r="AA20" s="46">
        <f t="shared" si="8"/>
        <v>1863</v>
      </c>
      <c r="AB20" s="46">
        <f t="shared" si="9"/>
        <v>2770</v>
      </c>
      <c r="AE20" s="7">
        <f t="shared" si="29"/>
        <v>2031</v>
      </c>
      <c r="AF20" s="46">
        <f t="shared" si="10"/>
        <v>3182</v>
      </c>
      <c r="AG20" s="16">
        <f t="shared" si="11"/>
        <v>1451</v>
      </c>
      <c r="AH20" s="46">
        <f t="shared" si="42"/>
        <v>4633</v>
      </c>
      <c r="AJ20" s="32">
        <f t="shared" si="30"/>
        <v>0</v>
      </c>
      <c r="AK20" s="32">
        <f t="shared" si="30"/>
        <v>0</v>
      </c>
      <c r="AL20" s="32">
        <f t="shared" si="12"/>
        <v>0</v>
      </c>
      <c r="AN20" s="77">
        <f t="shared" si="13"/>
        <v>4633</v>
      </c>
      <c r="AQ20" s="7">
        <f t="shared" si="31"/>
        <v>2031</v>
      </c>
      <c r="AR20" s="46">
        <f t="shared" si="14"/>
        <v>3182</v>
      </c>
      <c r="AS20" s="46">
        <f t="shared" si="15"/>
        <v>1451</v>
      </c>
      <c r="AT20" s="91">
        <f t="shared" si="16"/>
        <v>3.5000000000000003E-2</v>
      </c>
      <c r="AU20" s="16">
        <f t="shared" si="47"/>
        <v>177</v>
      </c>
      <c r="AV20" s="53">
        <f t="shared" si="17"/>
        <v>2.2890000000000001</v>
      </c>
      <c r="AW20" s="46">
        <f t="shared" si="18"/>
        <v>1785</v>
      </c>
      <c r="AX20" s="91"/>
      <c r="AY20" s="92"/>
      <c r="AZ20" s="46">
        <f t="shared" si="32"/>
        <v>6595</v>
      </c>
      <c r="BA20" s="17"/>
      <c r="BB20" s="46">
        <v>0</v>
      </c>
      <c r="BC20" s="46">
        <v>0</v>
      </c>
      <c r="BD20" s="47">
        <f t="shared" si="33"/>
        <v>0</v>
      </c>
      <c r="BE20" s="46">
        <f t="shared" si="19"/>
        <v>6595</v>
      </c>
      <c r="BH20" s="7">
        <f t="shared" si="34"/>
        <v>2031</v>
      </c>
      <c r="BI20" s="46">
        <v>0</v>
      </c>
      <c r="BJ20" s="16">
        <f t="shared" si="20"/>
        <v>780</v>
      </c>
      <c r="BK20" s="87">
        <f t="shared" si="21"/>
        <v>9.9760000000000009</v>
      </c>
      <c r="BL20" s="46">
        <f t="shared" si="43"/>
        <v>7781</v>
      </c>
      <c r="BM20" s="87">
        <f t="shared" si="22"/>
        <v>0.161</v>
      </c>
      <c r="BN20" s="16">
        <f t="shared" si="48"/>
        <v>812</v>
      </c>
      <c r="BO20" s="16"/>
      <c r="BP20" s="46">
        <f t="shared" si="23"/>
        <v>8593</v>
      </c>
      <c r="BR20" s="46">
        <f t="shared" si="49"/>
        <v>0</v>
      </c>
      <c r="BS20" s="46"/>
      <c r="BT20" s="46">
        <f t="shared" si="35"/>
        <v>8593</v>
      </c>
      <c r="BW20" s="7">
        <f t="shared" si="36"/>
        <v>2031</v>
      </c>
      <c r="BX20" s="46">
        <f t="shared" si="24"/>
        <v>3182</v>
      </c>
      <c r="BY20" s="16">
        <f t="shared" si="37"/>
        <v>1451</v>
      </c>
      <c r="BZ20" s="116">
        <f t="shared" si="38"/>
        <v>177</v>
      </c>
      <c r="CA20" s="46">
        <f t="shared" si="39"/>
        <v>4810</v>
      </c>
      <c r="CC20" s="46">
        <f t="shared" si="40"/>
        <v>0</v>
      </c>
      <c r="CD20" s="46">
        <f t="shared" si="40"/>
        <v>0</v>
      </c>
      <c r="CE20" s="46">
        <f t="shared" si="41"/>
        <v>0</v>
      </c>
      <c r="CF20" s="46"/>
      <c r="CG20" s="46">
        <f t="shared" si="44"/>
        <v>4810</v>
      </c>
      <c r="DB20" s="7"/>
    </row>
    <row r="21" spans="1:106">
      <c r="A21" s="3" t="s">
        <v>18</v>
      </c>
      <c r="C21" s="15">
        <f>+'Gas Input Table Summary'!$D$15</f>
        <v>0.01</v>
      </c>
      <c r="E21" s="2" t="s">
        <v>65</v>
      </c>
      <c r="F21" s="15">
        <f>+'Gas Input Table Summary'!D44</f>
        <v>0</v>
      </c>
      <c r="G21" s="15"/>
      <c r="H21" s="15"/>
      <c r="J21" s="2">
        <f t="shared" si="25"/>
        <v>7</v>
      </c>
      <c r="L21" s="7">
        <f t="shared" si="26"/>
        <v>2032</v>
      </c>
      <c r="M21" s="16">
        <f t="shared" si="45"/>
        <v>780</v>
      </c>
      <c r="N21" s="53">
        <f t="shared" si="0"/>
        <v>4.2009999999999996</v>
      </c>
      <c r="O21" s="32">
        <f t="shared" si="1"/>
        <v>3277</v>
      </c>
      <c r="P21" s="53">
        <f t="shared" si="2"/>
        <v>0</v>
      </c>
      <c r="Q21" s="46">
        <f t="shared" si="27"/>
        <v>0</v>
      </c>
      <c r="R21" s="43">
        <f t="shared" si="3"/>
        <v>3277</v>
      </c>
      <c r="S21" s="42">
        <f t="shared" si="4"/>
        <v>7.8</v>
      </c>
      <c r="T21" s="46">
        <f t="shared" si="5"/>
        <v>188</v>
      </c>
      <c r="U21" s="44">
        <f t="shared" si="46"/>
        <v>1466</v>
      </c>
      <c r="V21" s="16">
        <f t="shared" si="28"/>
        <v>4743</v>
      </c>
      <c r="W21" s="45">
        <f t="shared" si="6"/>
        <v>3.1139999999999999</v>
      </c>
      <c r="X21" s="46">
        <f t="shared" si="7"/>
        <v>1919</v>
      </c>
      <c r="Y21" s="46">
        <v>0</v>
      </c>
      <c r="Z21" s="46">
        <v>0</v>
      </c>
      <c r="AA21" s="46">
        <f t="shared" si="8"/>
        <v>1919</v>
      </c>
      <c r="AB21" s="46">
        <f t="shared" si="9"/>
        <v>2824</v>
      </c>
      <c r="AE21" s="7">
        <f t="shared" si="29"/>
        <v>2032</v>
      </c>
      <c r="AF21" s="46">
        <f t="shared" si="10"/>
        <v>3277</v>
      </c>
      <c r="AG21" s="16">
        <f t="shared" si="11"/>
        <v>1466</v>
      </c>
      <c r="AH21" s="46">
        <f t="shared" si="42"/>
        <v>4743</v>
      </c>
      <c r="AJ21" s="32">
        <f t="shared" si="30"/>
        <v>0</v>
      </c>
      <c r="AK21" s="32">
        <f t="shared" si="30"/>
        <v>0</v>
      </c>
      <c r="AL21" s="32">
        <f t="shared" si="12"/>
        <v>0</v>
      </c>
      <c r="AN21" s="77">
        <f t="shared" si="13"/>
        <v>4743</v>
      </c>
      <c r="AQ21" s="7">
        <f t="shared" si="31"/>
        <v>2032</v>
      </c>
      <c r="AR21" s="46">
        <f t="shared" si="14"/>
        <v>3277</v>
      </c>
      <c r="AS21" s="46">
        <f t="shared" si="15"/>
        <v>1466</v>
      </c>
      <c r="AT21" s="91">
        <f t="shared" si="16"/>
        <v>3.5999999999999997E-2</v>
      </c>
      <c r="AU21" s="16">
        <f t="shared" si="47"/>
        <v>182</v>
      </c>
      <c r="AV21" s="53">
        <f t="shared" si="17"/>
        <v>2.3279999999999998</v>
      </c>
      <c r="AW21" s="46">
        <f t="shared" si="18"/>
        <v>1816</v>
      </c>
      <c r="AX21" s="91"/>
      <c r="AY21" s="92"/>
      <c r="AZ21" s="46">
        <f t="shared" si="32"/>
        <v>6741</v>
      </c>
      <c r="BA21" s="17"/>
      <c r="BB21" s="46">
        <v>0</v>
      </c>
      <c r="BC21" s="46">
        <v>0</v>
      </c>
      <c r="BD21" s="47">
        <f t="shared" si="33"/>
        <v>0</v>
      </c>
      <c r="BE21" s="46">
        <f t="shared" si="19"/>
        <v>6741</v>
      </c>
      <c r="BH21" s="7">
        <f t="shared" si="34"/>
        <v>2032</v>
      </c>
      <c r="BI21" s="46">
        <v>0</v>
      </c>
      <c r="BJ21" s="16">
        <f t="shared" si="20"/>
        <v>780</v>
      </c>
      <c r="BK21" s="87">
        <f t="shared" si="21"/>
        <v>10.276</v>
      </c>
      <c r="BL21" s="46">
        <f t="shared" si="43"/>
        <v>8015</v>
      </c>
      <c r="BM21" s="87">
        <f t="shared" si="22"/>
        <v>0.16600000000000001</v>
      </c>
      <c r="BN21" s="16">
        <f t="shared" si="48"/>
        <v>837</v>
      </c>
      <c r="BO21" s="16"/>
      <c r="BP21" s="46">
        <f t="shared" si="23"/>
        <v>8852</v>
      </c>
      <c r="BR21" s="46">
        <f t="shared" si="49"/>
        <v>0</v>
      </c>
      <c r="BS21" s="46"/>
      <c r="BT21" s="46">
        <f t="shared" si="35"/>
        <v>8852</v>
      </c>
      <c r="BW21" s="7">
        <f t="shared" si="36"/>
        <v>2032</v>
      </c>
      <c r="BX21" s="46">
        <f t="shared" si="24"/>
        <v>3277</v>
      </c>
      <c r="BY21" s="16">
        <f t="shared" si="37"/>
        <v>1466</v>
      </c>
      <c r="BZ21" s="116">
        <f t="shared" si="38"/>
        <v>182</v>
      </c>
      <c r="CA21" s="46">
        <f t="shared" si="39"/>
        <v>4925</v>
      </c>
      <c r="CC21" s="46">
        <f t="shared" si="40"/>
        <v>0</v>
      </c>
      <c r="CD21" s="46">
        <f t="shared" si="40"/>
        <v>0</v>
      </c>
      <c r="CE21" s="46">
        <f t="shared" si="41"/>
        <v>0</v>
      </c>
      <c r="CF21" s="46"/>
      <c r="CG21" s="46">
        <f t="shared" si="44"/>
        <v>4925</v>
      </c>
    </row>
    <row r="22" spans="1:106">
      <c r="F22" s="16"/>
      <c r="G22" s="16"/>
      <c r="H22" s="16"/>
      <c r="J22" s="2">
        <f t="shared" si="25"/>
        <v>8</v>
      </c>
      <c r="L22" s="7">
        <f t="shared" si="26"/>
        <v>2033</v>
      </c>
      <c r="M22" s="16">
        <f t="shared" si="45"/>
        <v>780</v>
      </c>
      <c r="N22" s="53">
        <f t="shared" si="0"/>
        <v>4.327</v>
      </c>
      <c r="O22" s="32">
        <f t="shared" si="1"/>
        <v>3375</v>
      </c>
      <c r="P22" s="53">
        <f t="shared" si="2"/>
        <v>0</v>
      </c>
      <c r="Q22" s="46">
        <f t="shared" si="27"/>
        <v>0</v>
      </c>
      <c r="R22" s="43">
        <f t="shared" si="3"/>
        <v>3375</v>
      </c>
      <c r="S22" s="42">
        <f t="shared" si="4"/>
        <v>7.8</v>
      </c>
      <c r="T22" s="46">
        <f t="shared" si="5"/>
        <v>190</v>
      </c>
      <c r="U22" s="44">
        <f t="shared" si="46"/>
        <v>1482</v>
      </c>
      <c r="V22" s="16">
        <f t="shared" si="28"/>
        <v>4857</v>
      </c>
      <c r="W22" s="45">
        <f t="shared" si="6"/>
        <v>3.2069999999999999</v>
      </c>
      <c r="X22" s="46">
        <f t="shared" si="7"/>
        <v>1976</v>
      </c>
      <c r="Y22" s="46">
        <v>0</v>
      </c>
      <c r="Z22" s="46">
        <v>0</v>
      </c>
      <c r="AA22" s="46">
        <f t="shared" si="8"/>
        <v>1976</v>
      </c>
      <c r="AB22" s="46">
        <f t="shared" si="9"/>
        <v>2881</v>
      </c>
      <c r="AE22" s="7">
        <f t="shared" si="29"/>
        <v>2033</v>
      </c>
      <c r="AF22" s="46">
        <f t="shared" si="10"/>
        <v>3375</v>
      </c>
      <c r="AG22" s="16">
        <f t="shared" si="11"/>
        <v>1482</v>
      </c>
      <c r="AH22" s="46">
        <f t="shared" si="42"/>
        <v>4857</v>
      </c>
      <c r="AJ22" s="32">
        <f t="shared" si="30"/>
        <v>0</v>
      </c>
      <c r="AK22" s="32">
        <f t="shared" si="30"/>
        <v>0</v>
      </c>
      <c r="AL22" s="32">
        <f t="shared" si="12"/>
        <v>0</v>
      </c>
      <c r="AN22" s="77">
        <f t="shared" si="13"/>
        <v>4857</v>
      </c>
      <c r="AQ22" s="7">
        <f t="shared" si="31"/>
        <v>2033</v>
      </c>
      <c r="AR22" s="46">
        <f t="shared" si="14"/>
        <v>3375</v>
      </c>
      <c r="AS22" s="46">
        <f t="shared" si="15"/>
        <v>1482</v>
      </c>
      <c r="AT22" s="91">
        <f t="shared" si="16"/>
        <v>3.6999999999999998E-2</v>
      </c>
      <c r="AU22" s="16">
        <f t="shared" si="47"/>
        <v>187</v>
      </c>
      <c r="AV22" s="53">
        <f t="shared" si="17"/>
        <v>2.367</v>
      </c>
      <c r="AW22" s="46">
        <f t="shared" si="18"/>
        <v>1846</v>
      </c>
      <c r="AX22" s="91"/>
      <c r="AY22" s="92"/>
      <c r="AZ22" s="46">
        <f t="shared" si="32"/>
        <v>6890</v>
      </c>
      <c r="BA22" s="17"/>
      <c r="BB22" s="46">
        <v>0</v>
      </c>
      <c r="BC22" s="46">
        <v>0</v>
      </c>
      <c r="BD22" s="47">
        <f t="shared" si="33"/>
        <v>0</v>
      </c>
      <c r="BE22" s="46">
        <f t="shared" si="19"/>
        <v>6890</v>
      </c>
      <c r="BH22" s="7">
        <f t="shared" si="34"/>
        <v>2033</v>
      </c>
      <c r="BI22" s="46">
        <v>0</v>
      </c>
      <c r="BJ22" s="16">
        <f t="shared" si="20"/>
        <v>780</v>
      </c>
      <c r="BK22" s="87">
        <f t="shared" si="21"/>
        <v>10.584</v>
      </c>
      <c r="BL22" s="46">
        <f t="shared" si="43"/>
        <v>8256</v>
      </c>
      <c r="BM22" s="87">
        <f t="shared" si="22"/>
        <v>0.17100000000000001</v>
      </c>
      <c r="BN22" s="16">
        <f t="shared" si="48"/>
        <v>862</v>
      </c>
      <c r="BO22" s="16"/>
      <c r="BP22" s="46">
        <f t="shared" si="23"/>
        <v>9118</v>
      </c>
      <c r="BR22" s="46">
        <f t="shared" si="49"/>
        <v>0</v>
      </c>
      <c r="BS22" s="46"/>
      <c r="BT22" s="46">
        <f t="shared" si="35"/>
        <v>9118</v>
      </c>
      <c r="BW22" s="7">
        <f t="shared" si="36"/>
        <v>2033</v>
      </c>
      <c r="BX22" s="46">
        <f t="shared" si="24"/>
        <v>3375</v>
      </c>
      <c r="BY22" s="16">
        <f t="shared" si="37"/>
        <v>1482</v>
      </c>
      <c r="BZ22" s="116">
        <f t="shared" si="38"/>
        <v>187</v>
      </c>
      <c r="CA22" s="46">
        <f t="shared" si="39"/>
        <v>5044</v>
      </c>
      <c r="CC22" s="46">
        <f t="shared" si="40"/>
        <v>0</v>
      </c>
      <c r="CD22" s="46">
        <f t="shared" si="40"/>
        <v>0</v>
      </c>
      <c r="CE22" s="46">
        <f t="shared" si="41"/>
        <v>0</v>
      </c>
      <c r="CF22" s="46"/>
      <c r="CG22" s="46">
        <f t="shared" si="44"/>
        <v>5044</v>
      </c>
    </row>
    <row r="23" spans="1:106">
      <c r="A23" s="3" t="s">
        <v>68</v>
      </c>
      <c r="C23" s="21">
        <f>+'Gas Input Table Summary'!$D$16</f>
        <v>0.01</v>
      </c>
      <c r="E23" s="3" t="s">
        <v>69</v>
      </c>
      <c r="F23" s="138">
        <f>ROUND('Database Inputs'!D13,0)</f>
        <v>10</v>
      </c>
      <c r="G23" s="132"/>
      <c r="H23" s="132"/>
      <c r="J23" s="2">
        <f t="shared" si="25"/>
        <v>9</v>
      </c>
      <c r="L23" s="7">
        <f t="shared" si="26"/>
        <v>2034</v>
      </c>
      <c r="M23" s="16">
        <f t="shared" si="45"/>
        <v>780</v>
      </c>
      <c r="N23" s="53">
        <f t="shared" si="0"/>
        <v>4.4569999999999999</v>
      </c>
      <c r="O23" s="32">
        <f t="shared" si="1"/>
        <v>3476</v>
      </c>
      <c r="P23" s="53">
        <f t="shared" si="2"/>
        <v>0</v>
      </c>
      <c r="Q23" s="46">
        <f t="shared" si="27"/>
        <v>0</v>
      </c>
      <c r="R23" s="43">
        <f t="shared" si="3"/>
        <v>3476</v>
      </c>
      <c r="S23" s="42">
        <f t="shared" si="4"/>
        <v>7.8</v>
      </c>
      <c r="T23" s="46">
        <f t="shared" si="5"/>
        <v>192</v>
      </c>
      <c r="U23" s="44">
        <f t="shared" si="46"/>
        <v>1498</v>
      </c>
      <c r="V23" s="16">
        <f t="shared" si="28"/>
        <v>4974</v>
      </c>
      <c r="W23" s="45">
        <f t="shared" si="6"/>
        <v>3.3039999999999998</v>
      </c>
      <c r="X23" s="46">
        <f t="shared" si="7"/>
        <v>2036</v>
      </c>
      <c r="Y23" s="46">
        <v>0</v>
      </c>
      <c r="Z23" s="46">
        <v>0</v>
      </c>
      <c r="AA23" s="46">
        <f t="shared" si="8"/>
        <v>2036</v>
      </c>
      <c r="AB23" s="46">
        <f t="shared" si="9"/>
        <v>2938</v>
      </c>
      <c r="AE23" s="7">
        <f t="shared" si="29"/>
        <v>2034</v>
      </c>
      <c r="AF23" s="46">
        <f t="shared" si="10"/>
        <v>3476</v>
      </c>
      <c r="AG23" s="16">
        <f t="shared" si="11"/>
        <v>1498</v>
      </c>
      <c r="AH23" s="46">
        <f t="shared" si="42"/>
        <v>4974</v>
      </c>
      <c r="AJ23" s="32">
        <f t="shared" si="30"/>
        <v>0</v>
      </c>
      <c r="AK23" s="32">
        <f t="shared" si="30"/>
        <v>0</v>
      </c>
      <c r="AL23" s="32">
        <f t="shared" si="12"/>
        <v>0</v>
      </c>
      <c r="AN23" s="77">
        <f t="shared" si="13"/>
        <v>4974</v>
      </c>
      <c r="AQ23" s="7">
        <f t="shared" si="31"/>
        <v>2034</v>
      </c>
      <c r="AR23" s="46">
        <f t="shared" si="14"/>
        <v>3476</v>
      </c>
      <c r="AS23" s="46">
        <f t="shared" si="15"/>
        <v>1498</v>
      </c>
      <c r="AT23" s="91">
        <f t="shared" si="16"/>
        <v>3.9E-2</v>
      </c>
      <c r="AU23" s="16">
        <f t="shared" si="47"/>
        <v>197</v>
      </c>
      <c r="AV23" s="53">
        <f t="shared" si="17"/>
        <v>2.407</v>
      </c>
      <c r="AW23" s="46">
        <f t="shared" si="18"/>
        <v>1877</v>
      </c>
      <c r="AX23" s="91"/>
      <c r="AY23" s="92"/>
      <c r="AZ23" s="46">
        <f t="shared" si="32"/>
        <v>7048</v>
      </c>
      <c r="BA23" s="17"/>
      <c r="BB23" s="46">
        <v>0</v>
      </c>
      <c r="BC23" s="46">
        <v>0</v>
      </c>
      <c r="BD23" s="47">
        <f t="shared" si="33"/>
        <v>0</v>
      </c>
      <c r="BE23" s="46">
        <f t="shared" si="19"/>
        <v>7048</v>
      </c>
      <c r="BH23" s="7">
        <f t="shared" si="34"/>
        <v>2034</v>
      </c>
      <c r="BI23" s="46">
        <v>0</v>
      </c>
      <c r="BJ23" s="16">
        <f t="shared" si="20"/>
        <v>780</v>
      </c>
      <c r="BK23" s="87">
        <f t="shared" si="21"/>
        <v>10.901</v>
      </c>
      <c r="BL23" s="46">
        <f t="shared" si="43"/>
        <v>8503</v>
      </c>
      <c r="BM23" s="87">
        <f t="shared" si="22"/>
        <v>0.17599999999999999</v>
      </c>
      <c r="BN23" s="16">
        <f t="shared" si="48"/>
        <v>888</v>
      </c>
      <c r="BO23" s="16"/>
      <c r="BP23" s="46">
        <f t="shared" si="23"/>
        <v>9391</v>
      </c>
      <c r="BR23" s="46">
        <f t="shared" si="49"/>
        <v>0</v>
      </c>
      <c r="BS23" s="46"/>
      <c r="BT23" s="46">
        <f t="shared" si="35"/>
        <v>9391</v>
      </c>
      <c r="BW23" s="7">
        <f t="shared" si="36"/>
        <v>2034</v>
      </c>
      <c r="BX23" s="46">
        <f t="shared" si="24"/>
        <v>3476</v>
      </c>
      <c r="BY23" s="16">
        <f t="shared" si="37"/>
        <v>1498</v>
      </c>
      <c r="BZ23" s="116">
        <f t="shared" si="38"/>
        <v>197</v>
      </c>
      <c r="CA23" s="46">
        <f t="shared" si="39"/>
        <v>5171</v>
      </c>
      <c r="CC23" s="46">
        <f t="shared" si="40"/>
        <v>0</v>
      </c>
      <c r="CD23" s="46">
        <f t="shared" si="40"/>
        <v>0</v>
      </c>
      <c r="CE23" s="46">
        <f t="shared" si="41"/>
        <v>0</v>
      </c>
      <c r="CF23" s="46"/>
      <c r="CG23" s="46">
        <f t="shared" si="44"/>
        <v>5171</v>
      </c>
    </row>
    <row r="24" spans="1:106">
      <c r="F24" s="250"/>
      <c r="G24" s="16"/>
      <c r="H24" s="16"/>
      <c r="J24" s="2">
        <f t="shared" si="25"/>
        <v>10</v>
      </c>
      <c r="L24" s="7">
        <f t="shared" si="26"/>
        <v>2035</v>
      </c>
      <c r="M24" s="16">
        <f t="shared" si="45"/>
        <v>0</v>
      </c>
      <c r="N24" s="53">
        <f t="shared" si="0"/>
        <v>4.5910000000000002</v>
      </c>
      <c r="O24" s="32">
        <f t="shared" si="1"/>
        <v>0</v>
      </c>
      <c r="P24" s="53">
        <f t="shared" si="2"/>
        <v>0</v>
      </c>
      <c r="Q24" s="46">
        <f t="shared" si="27"/>
        <v>0</v>
      </c>
      <c r="R24" s="43">
        <f t="shared" si="3"/>
        <v>0</v>
      </c>
      <c r="S24" s="42">
        <f t="shared" si="4"/>
        <v>0</v>
      </c>
      <c r="T24" s="46">
        <f t="shared" si="5"/>
        <v>194</v>
      </c>
      <c r="U24" s="44">
        <f t="shared" si="46"/>
        <v>0</v>
      </c>
      <c r="V24" s="16">
        <f t="shared" si="28"/>
        <v>0</v>
      </c>
      <c r="W24" s="45">
        <f t="shared" si="6"/>
        <v>3.403</v>
      </c>
      <c r="X24" s="46">
        <f t="shared" si="7"/>
        <v>0</v>
      </c>
      <c r="Y24" s="46">
        <v>0</v>
      </c>
      <c r="Z24" s="46">
        <v>0</v>
      </c>
      <c r="AA24" s="46">
        <f t="shared" si="8"/>
        <v>0</v>
      </c>
      <c r="AB24" s="46">
        <f t="shared" si="9"/>
        <v>0</v>
      </c>
      <c r="AE24" s="7">
        <f t="shared" si="29"/>
        <v>2035</v>
      </c>
      <c r="AF24" s="46">
        <f t="shared" si="10"/>
        <v>0</v>
      </c>
      <c r="AG24" s="16">
        <f t="shared" si="11"/>
        <v>0</v>
      </c>
      <c r="AH24" s="46">
        <f t="shared" si="42"/>
        <v>0</v>
      </c>
      <c r="AJ24" s="32">
        <f t="shared" si="30"/>
        <v>0</v>
      </c>
      <c r="AK24" s="32">
        <f t="shared" si="30"/>
        <v>0</v>
      </c>
      <c r="AL24" s="32">
        <f t="shared" si="12"/>
        <v>0</v>
      </c>
      <c r="AN24" s="77">
        <f t="shared" si="13"/>
        <v>0</v>
      </c>
      <c r="AQ24" s="7">
        <f t="shared" si="31"/>
        <v>2035</v>
      </c>
      <c r="AR24" s="46">
        <f t="shared" si="14"/>
        <v>0</v>
      </c>
      <c r="AS24" s="46">
        <f t="shared" si="15"/>
        <v>0</v>
      </c>
      <c r="AT24" s="91">
        <f t="shared" si="16"/>
        <v>0.04</v>
      </c>
      <c r="AU24" s="16">
        <f t="shared" si="47"/>
        <v>0</v>
      </c>
      <c r="AV24" s="53">
        <f t="shared" si="17"/>
        <v>2.448</v>
      </c>
      <c r="AW24" s="46">
        <f t="shared" si="18"/>
        <v>0</v>
      </c>
      <c r="AX24" s="91"/>
      <c r="AY24" s="92"/>
      <c r="AZ24" s="46">
        <f t="shared" si="32"/>
        <v>0</v>
      </c>
      <c r="BA24" s="17"/>
      <c r="BB24" s="46">
        <v>0</v>
      </c>
      <c r="BC24" s="46">
        <v>0</v>
      </c>
      <c r="BD24" s="47">
        <f t="shared" si="33"/>
        <v>0</v>
      </c>
      <c r="BE24" s="46">
        <f t="shared" si="19"/>
        <v>0</v>
      </c>
      <c r="BH24" s="7">
        <f t="shared" si="34"/>
        <v>2035</v>
      </c>
      <c r="BI24" s="46">
        <v>0</v>
      </c>
      <c r="BJ24" s="16">
        <f t="shared" si="20"/>
        <v>0</v>
      </c>
      <c r="BK24" s="87">
        <f t="shared" si="21"/>
        <v>11.228</v>
      </c>
      <c r="BL24" s="46">
        <f t="shared" si="43"/>
        <v>0</v>
      </c>
      <c r="BM24" s="87">
        <f t="shared" si="22"/>
        <v>0.18099999999999999</v>
      </c>
      <c r="BN24" s="16">
        <f t="shared" si="48"/>
        <v>0</v>
      </c>
      <c r="BO24" s="16"/>
      <c r="BP24" s="46">
        <f t="shared" si="23"/>
        <v>0</v>
      </c>
      <c r="BR24" s="46">
        <f t="shared" si="49"/>
        <v>0</v>
      </c>
      <c r="BS24" s="46"/>
      <c r="BT24" s="46">
        <f t="shared" si="35"/>
        <v>0</v>
      </c>
      <c r="BW24" s="7">
        <f t="shared" si="36"/>
        <v>2035</v>
      </c>
      <c r="BX24" s="46">
        <f t="shared" si="24"/>
        <v>0</v>
      </c>
      <c r="BY24" s="16">
        <f t="shared" si="37"/>
        <v>0</v>
      </c>
      <c r="BZ24" s="116">
        <f t="shared" si="38"/>
        <v>0</v>
      </c>
      <c r="CA24" s="46">
        <f t="shared" si="39"/>
        <v>0</v>
      </c>
      <c r="CC24" s="46">
        <f t="shared" si="40"/>
        <v>0</v>
      </c>
      <c r="CD24" s="46">
        <f t="shared" si="40"/>
        <v>0</v>
      </c>
      <c r="CE24" s="46">
        <f t="shared" si="41"/>
        <v>0</v>
      </c>
      <c r="CF24" s="46"/>
      <c r="CG24" s="46">
        <f t="shared" si="44"/>
        <v>0</v>
      </c>
    </row>
    <row r="25" spans="1:106">
      <c r="A25" s="130" t="s">
        <v>106</v>
      </c>
      <c r="C25" s="11">
        <f>+'Gas Input Table Summary'!$D$17</f>
        <v>0</v>
      </c>
      <c r="E25" s="119" t="s">
        <v>102</v>
      </c>
      <c r="F25" s="139">
        <f>+ROUND(F32/F30,3)</f>
        <v>6.3410000000000002</v>
      </c>
      <c r="G25" s="133"/>
      <c r="H25" s="133"/>
      <c r="J25" s="2">
        <f t="shared" si="25"/>
        <v>11</v>
      </c>
      <c r="L25" s="7">
        <f t="shared" si="26"/>
        <v>2036</v>
      </c>
      <c r="M25" s="16">
        <f t="shared" si="45"/>
        <v>0</v>
      </c>
      <c r="N25" s="53">
        <f t="shared" si="0"/>
        <v>4.7290000000000001</v>
      </c>
      <c r="O25" s="32">
        <f t="shared" si="1"/>
        <v>0</v>
      </c>
      <c r="P25" s="53">
        <f t="shared" si="2"/>
        <v>0</v>
      </c>
      <c r="Q25" s="46">
        <f t="shared" si="27"/>
        <v>0</v>
      </c>
      <c r="R25" s="43">
        <f t="shared" si="3"/>
        <v>0</v>
      </c>
      <c r="S25" s="42">
        <f t="shared" si="4"/>
        <v>0</v>
      </c>
      <c r="T25" s="46">
        <f t="shared" si="5"/>
        <v>196</v>
      </c>
      <c r="U25" s="44">
        <f t="shared" si="46"/>
        <v>0</v>
      </c>
      <c r="V25" s="16">
        <f t="shared" si="28"/>
        <v>0</v>
      </c>
      <c r="W25" s="45">
        <f t="shared" si="6"/>
        <v>3.5049999999999999</v>
      </c>
      <c r="X25" s="46">
        <f t="shared" si="7"/>
        <v>0</v>
      </c>
      <c r="Y25" s="46">
        <v>0</v>
      </c>
      <c r="Z25" s="46">
        <v>0</v>
      </c>
      <c r="AA25" s="46">
        <f t="shared" si="8"/>
        <v>0</v>
      </c>
      <c r="AB25" s="46">
        <f t="shared" si="9"/>
        <v>0</v>
      </c>
      <c r="AE25" s="7">
        <f t="shared" si="29"/>
        <v>2036</v>
      </c>
      <c r="AF25" s="46">
        <f t="shared" si="10"/>
        <v>0</v>
      </c>
      <c r="AG25" s="16">
        <f t="shared" si="11"/>
        <v>0</v>
      </c>
      <c r="AH25" s="46">
        <f t="shared" si="42"/>
        <v>0</v>
      </c>
      <c r="AJ25" s="32">
        <f t="shared" si="30"/>
        <v>0</v>
      </c>
      <c r="AK25" s="32">
        <f t="shared" si="30"/>
        <v>0</v>
      </c>
      <c r="AL25" s="32">
        <f t="shared" si="12"/>
        <v>0</v>
      </c>
      <c r="AN25" s="77">
        <f t="shared" si="13"/>
        <v>0</v>
      </c>
      <c r="AQ25" s="7">
        <f t="shared" si="31"/>
        <v>2036</v>
      </c>
      <c r="AR25" s="46">
        <f t="shared" si="14"/>
        <v>0</v>
      </c>
      <c r="AS25" s="46">
        <f t="shared" si="15"/>
        <v>0</v>
      </c>
      <c r="AT25" s="91">
        <f t="shared" si="16"/>
        <v>4.1000000000000002E-2</v>
      </c>
      <c r="AU25" s="16">
        <f t="shared" si="47"/>
        <v>0</v>
      </c>
      <c r="AV25" s="53">
        <f t="shared" si="17"/>
        <v>2.4889999999999999</v>
      </c>
      <c r="AW25" s="46">
        <f t="shared" si="18"/>
        <v>0</v>
      </c>
      <c r="AX25" s="91"/>
      <c r="AY25" s="92"/>
      <c r="AZ25" s="46">
        <f t="shared" si="32"/>
        <v>0</v>
      </c>
      <c r="BA25" s="17"/>
      <c r="BB25" s="46">
        <v>0</v>
      </c>
      <c r="BC25" s="46">
        <v>0</v>
      </c>
      <c r="BD25" s="47">
        <f t="shared" si="33"/>
        <v>0</v>
      </c>
      <c r="BE25" s="46">
        <f t="shared" si="19"/>
        <v>0</v>
      </c>
      <c r="BH25" s="7">
        <f t="shared" si="34"/>
        <v>2036</v>
      </c>
      <c r="BI25" s="46">
        <v>0</v>
      </c>
      <c r="BJ25" s="16">
        <f t="shared" si="20"/>
        <v>0</v>
      </c>
      <c r="BK25" s="87">
        <f t="shared" si="21"/>
        <v>11.565</v>
      </c>
      <c r="BL25" s="46">
        <f t="shared" si="43"/>
        <v>0</v>
      </c>
      <c r="BM25" s="87">
        <f t="shared" si="22"/>
        <v>0.187</v>
      </c>
      <c r="BN25" s="16">
        <f t="shared" si="48"/>
        <v>0</v>
      </c>
      <c r="BO25" s="16"/>
      <c r="BP25" s="46">
        <f t="shared" si="23"/>
        <v>0</v>
      </c>
      <c r="BR25" s="46">
        <f t="shared" si="49"/>
        <v>0</v>
      </c>
      <c r="BS25" s="46"/>
      <c r="BT25" s="46">
        <f t="shared" si="35"/>
        <v>0</v>
      </c>
      <c r="BW25" s="7">
        <f t="shared" si="36"/>
        <v>2036</v>
      </c>
      <c r="BX25" s="46">
        <f t="shared" si="24"/>
        <v>0</v>
      </c>
      <c r="BY25" s="16">
        <f t="shared" si="37"/>
        <v>0</v>
      </c>
      <c r="BZ25" s="116">
        <f t="shared" si="38"/>
        <v>0</v>
      </c>
      <c r="CA25" s="46">
        <f t="shared" si="39"/>
        <v>0</v>
      </c>
      <c r="CC25" s="46">
        <f t="shared" si="40"/>
        <v>0</v>
      </c>
      <c r="CD25" s="46">
        <f t="shared" si="40"/>
        <v>0</v>
      </c>
      <c r="CE25" s="46">
        <f t="shared" si="41"/>
        <v>0</v>
      </c>
      <c r="CF25" s="46"/>
      <c r="CG25" s="46">
        <f t="shared" si="44"/>
        <v>0</v>
      </c>
    </row>
    <row r="26" spans="1:106">
      <c r="A26" s="3" t="s">
        <v>18</v>
      </c>
      <c r="C26" s="15">
        <f>+'Gas Input Table Summary'!$D$18</f>
        <v>0</v>
      </c>
      <c r="F26" s="250"/>
      <c r="G26" s="16"/>
      <c r="H26" s="16"/>
      <c r="J26" s="2">
        <f t="shared" si="25"/>
        <v>12</v>
      </c>
      <c r="L26" s="7">
        <f t="shared" si="26"/>
        <v>2037</v>
      </c>
      <c r="M26" s="16">
        <f t="shared" si="45"/>
        <v>0</v>
      </c>
      <c r="N26" s="53">
        <f t="shared" si="0"/>
        <v>4.87</v>
      </c>
      <c r="O26" s="32">
        <f t="shared" si="1"/>
        <v>0</v>
      </c>
      <c r="P26" s="53">
        <f t="shared" si="2"/>
        <v>0</v>
      </c>
      <c r="Q26" s="46">
        <f t="shared" si="27"/>
        <v>0</v>
      </c>
      <c r="R26" s="43">
        <f t="shared" si="3"/>
        <v>0</v>
      </c>
      <c r="S26" s="42">
        <f t="shared" si="4"/>
        <v>0</v>
      </c>
      <c r="T26" s="46">
        <f t="shared" si="5"/>
        <v>198</v>
      </c>
      <c r="U26" s="44">
        <f t="shared" si="46"/>
        <v>0</v>
      </c>
      <c r="V26" s="16">
        <f t="shared" si="28"/>
        <v>0</v>
      </c>
      <c r="W26" s="45">
        <f t="shared" si="6"/>
        <v>3.61</v>
      </c>
      <c r="X26" s="46">
        <f t="shared" si="7"/>
        <v>0</v>
      </c>
      <c r="Y26" s="46">
        <v>0</v>
      </c>
      <c r="Z26" s="46">
        <v>0</v>
      </c>
      <c r="AA26" s="46">
        <f t="shared" si="8"/>
        <v>0</v>
      </c>
      <c r="AB26" s="46">
        <f t="shared" si="9"/>
        <v>0</v>
      </c>
      <c r="AE26" s="7">
        <f t="shared" si="29"/>
        <v>2037</v>
      </c>
      <c r="AF26" s="46">
        <f t="shared" si="10"/>
        <v>0</v>
      </c>
      <c r="AG26" s="16">
        <f t="shared" si="11"/>
        <v>0</v>
      </c>
      <c r="AH26" s="46">
        <f t="shared" si="42"/>
        <v>0</v>
      </c>
      <c r="AJ26" s="32">
        <f t="shared" si="30"/>
        <v>0</v>
      </c>
      <c r="AK26" s="32">
        <f t="shared" si="30"/>
        <v>0</v>
      </c>
      <c r="AL26" s="32">
        <f t="shared" si="12"/>
        <v>0</v>
      </c>
      <c r="AN26" s="77">
        <f t="shared" si="13"/>
        <v>0</v>
      </c>
      <c r="AQ26" s="7">
        <f t="shared" si="31"/>
        <v>2037</v>
      </c>
      <c r="AR26" s="46">
        <f t="shared" si="14"/>
        <v>0</v>
      </c>
      <c r="AS26" s="46">
        <f t="shared" si="15"/>
        <v>0</v>
      </c>
      <c r="AT26" s="91">
        <f t="shared" si="16"/>
        <v>4.2000000000000003E-2</v>
      </c>
      <c r="AU26" s="16">
        <f t="shared" si="47"/>
        <v>0</v>
      </c>
      <c r="AV26" s="53">
        <f t="shared" si="17"/>
        <v>2.5310000000000001</v>
      </c>
      <c r="AW26" s="46">
        <f t="shared" si="18"/>
        <v>0</v>
      </c>
      <c r="AX26" s="91"/>
      <c r="AY26" s="92"/>
      <c r="AZ26" s="46">
        <f t="shared" si="32"/>
        <v>0</v>
      </c>
      <c r="BA26" s="17"/>
      <c r="BB26" s="46">
        <v>0</v>
      </c>
      <c r="BC26" s="46">
        <v>0</v>
      </c>
      <c r="BD26" s="47">
        <f t="shared" si="33"/>
        <v>0</v>
      </c>
      <c r="BE26" s="46">
        <f t="shared" si="19"/>
        <v>0</v>
      </c>
      <c r="BH26" s="7">
        <f t="shared" si="34"/>
        <v>2037</v>
      </c>
      <c r="BI26" s="46">
        <v>0</v>
      </c>
      <c r="BJ26" s="16">
        <f t="shared" si="20"/>
        <v>0</v>
      </c>
      <c r="BK26" s="87">
        <f t="shared" si="21"/>
        <v>11.912000000000001</v>
      </c>
      <c r="BL26" s="46">
        <f t="shared" si="43"/>
        <v>0</v>
      </c>
      <c r="BM26" s="87">
        <f t="shared" si="22"/>
        <v>0.192</v>
      </c>
      <c r="BN26" s="16">
        <f t="shared" si="48"/>
        <v>0</v>
      </c>
      <c r="BO26" s="16"/>
      <c r="BP26" s="46">
        <f t="shared" si="23"/>
        <v>0</v>
      </c>
      <c r="BR26" s="46">
        <f t="shared" si="49"/>
        <v>0</v>
      </c>
      <c r="BS26" s="46"/>
      <c r="BT26" s="46">
        <f t="shared" si="35"/>
        <v>0</v>
      </c>
      <c r="BW26" s="7">
        <f t="shared" si="36"/>
        <v>2037</v>
      </c>
      <c r="BX26" s="46">
        <f t="shared" si="24"/>
        <v>0</v>
      </c>
      <c r="BY26" s="16">
        <f t="shared" si="37"/>
        <v>0</v>
      </c>
      <c r="BZ26" s="116">
        <f t="shared" si="38"/>
        <v>0</v>
      </c>
      <c r="CA26" s="46">
        <f t="shared" si="39"/>
        <v>0</v>
      </c>
      <c r="CC26" s="46">
        <f t="shared" si="40"/>
        <v>0</v>
      </c>
      <c r="CD26" s="46">
        <f t="shared" si="40"/>
        <v>0</v>
      </c>
      <c r="CE26" s="46">
        <f t="shared" si="41"/>
        <v>0</v>
      </c>
      <c r="CF26" s="46"/>
      <c r="CG26" s="46">
        <f t="shared" si="44"/>
        <v>0</v>
      </c>
    </row>
    <row r="27" spans="1:106">
      <c r="A27" s="3"/>
      <c r="C27" s="15"/>
      <c r="E27" s="3" t="s">
        <v>70</v>
      </c>
      <c r="F27" s="250">
        <f>+'Database Inputs'!H13</f>
        <v>41</v>
      </c>
      <c r="G27" s="142"/>
      <c r="H27" s="142"/>
      <c r="J27" s="2">
        <f t="shared" si="25"/>
        <v>13</v>
      </c>
      <c r="L27" s="7">
        <f t="shared" si="26"/>
        <v>2038</v>
      </c>
      <c r="M27" s="16">
        <f t="shared" si="45"/>
        <v>0</v>
      </c>
      <c r="N27" s="53">
        <f t="shared" si="0"/>
        <v>5.0170000000000003</v>
      </c>
      <c r="O27" s="32">
        <f t="shared" si="1"/>
        <v>0</v>
      </c>
      <c r="P27" s="53">
        <f t="shared" si="2"/>
        <v>0</v>
      </c>
      <c r="Q27" s="46">
        <f t="shared" si="27"/>
        <v>0</v>
      </c>
      <c r="R27" s="43">
        <f t="shared" si="3"/>
        <v>0</v>
      </c>
      <c r="S27" s="42">
        <f t="shared" si="4"/>
        <v>0</v>
      </c>
      <c r="T27" s="46">
        <f t="shared" si="5"/>
        <v>200</v>
      </c>
      <c r="U27" s="44">
        <f t="shared" si="46"/>
        <v>0</v>
      </c>
      <c r="V27" s="16">
        <f t="shared" si="28"/>
        <v>0</v>
      </c>
      <c r="W27" s="45">
        <f t="shared" si="6"/>
        <v>3.718</v>
      </c>
      <c r="X27" s="46">
        <f t="shared" si="7"/>
        <v>0</v>
      </c>
      <c r="Y27" s="46">
        <v>0</v>
      </c>
      <c r="Z27" s="46">
        <v>0</v>
      </c>
      <c r="AA27" s="46">
        <f t="shared" si="8"/>
        <v>0</v>
      </c>
      <c r="AB27" s="46">
        <f t="shared" si="9"/>
        <v>0</v>
      </c>
      <c r="AE27" s="7">
        <f t="shared" si="29"/>
        <v>2038</v>
      </c>
      <c r="AF27" s="46">
        <f t="shared" si="10"/>
        <v>0</v>
      </c>
      <c r="AG27" s="16">
        <f t="shared" si="11"/>
        <v>0</v>
      </c>
      <c r="AH27" s="46">
        <f t="shared" si="42"/>
        <v>0</v>
      </c>
      <c r="AJ27" s="32">
        <f t="shared" si="30"/>
        <v>0</v>
      </c>
      <c r="AK27" s="32">
        <f t="shared" si="30"/>
        <v>0</v>
      </c>
      <c r="AL27" s="32">
        <f t="shared" si="12"/>
        <v>0</v>
      </c>
      <c r="AN27" s="77">
        <f t="shared" si="13"/>
        <v>0</v>
      </c>
      <c r="AQ27" s="7">
        <f t="shared" si="31"/>
        <v>2038</v>
      </c>
      <c r="AR27" s="46">
        <f t="shared" si="14"/>
        <v>0</v>
      </c>
      <c r="AS27" s="46">
        <f t="shared" si="15"/>
        <v>0</v>
      </c>
      <c r="AT27" s="91">
        <f t="shared" si="16"/>
        <v>4.2999999999999997E-2</v>
      </c>
      <c r="AU27" s="16">
        <f t="shared" si="47"/>
        <v>0</v>
      </c>
      <c r="AV27" s="53">
        <f t="shared" si="17"/>
        <v>2.5739999999999998</v>
      </c>
      <c r="AW27" s="46">
        <f t="shared" si="18"/>
        <v>0</v>
      </c>
      <c r="AX27" s="91"/>
      <c r="AY27" s="92"/>
      <c r="AZ27" s="46">
        <f t="shared" si="32"/>
        <v>0</v>
      </c>
      <c r="BA27" s="17"/>
      <c r="BB27" s="46">
        <v>0</v>
      </c>
      <c r="BC27" s="46">
        <v>0</v>
      </c>
      <c r="BD27" s="47">
        <f t="shared" si="33"/>
        <v>0</v>
      </c>
      <c r="BE27" s="46">
        <f t="shared" si="19"/>
        <v>0</v>
      </c>
      <c r="BH27" s="7">
        <f t="shared" si="34"/>
        <v>2038</v>
      </c>
      <c r="BI27" s="46">
        <v>0</v>
      </c>
      <c r="BJ27" s="16">
        <f t="shared" si="20"/>
        <v>0</v>
      </c>
      <c r="BK27" s="87">
        <f t="shared" si="21"/>
        <v>12.27</v>
      </c>
      <c r="BL27" s="46">
        <f t="shared" si="43"/>
        <v>0</v>
      </c>
      <c r="BM27" s="87">
        <f t="shared" si="22"/>
        <v>0.19800000000000001</v>
      </c>
      <c r="BN27" s="16">
        <f t="shared" si="48"/>
        <v>0</v>
      </c>
      <c r="BO27" s="16"/>
      <c r="BP27" s="46">
        <f t="shared" si="23"/>
        <v>0</v>
      </c>
      <c r="BR27" s="46">
        <f t="shared" si="49"/>
        <v>0</v>
      </c>
      <c r="BS27" s="46"/>
      <c r="BT27" s="46">
        <f t="shared" si="35"/>
        <v>0</v>
      </c>
      <c r="BW27" s="7">
        <f t="shared" si="36"/>
        <v>2038</v>
      </c>
      <c r="BX27" s="46">
        <f t="shared" si="24"/>
        <v>0</v>
      </c>
      <c r="BY27" s="16">
        <f t="shared" si="37"/>
        <v>0</v>
      </c>
      <c r="BZ27" s="116">
        <f t="shared" si="38"/>
        <v>0</v>
      </c>
      <c r="CA27" s="46">
        <f t="shared" si="39"/>
        <v>0</v>
      </c>
      <c r="CC27" s="46">
        <f t="shared" si="40"/>
        <v>0</v>
      </c>
      <c r="CD27" s="46">
        <f t="shared" si="40"/>
        <v>0</v>
      </c>
      <c r="CE27" s="46">
        <f t="shared" si="41"/>
        <v>0</v>
      </c>
      <c r="CF27" s="46"/>
      <c r="CG27" s="46">
        <f t="shared" si="44"/>
        <v>0</v>
      </c>
    </row>
    <row r="28" spans="1:106">
      <c r="A28" s="3" t="s">
        <v>71</v>
      </c>
      <c r="C28" s="140">
        <f>+'Gas Input Table Summary'!$D$19</f>
        <v>2.7300000000000001E-2</v>
      </c>
      <c r="E28" s="3" t="s">
        <v>72</v>
      </c>
      <c r="F28" s="250">
        <v>0</v>
      </c>
      <c r="G28" s="142"/>
      <c r="H28" s="142"/>
      <c r="J28" s="2">
        <f t="shared" si="25"/>
        <v>14</v>
      </c>
      <c r="L28" s="7">
        <f t="shared" si="26"/>
        <v>2039</v>
      </c>
      <c r="M28" s="16">
        <f t="shared" si="45"/>
        <v>0</v>
      </c>
      <c r="N28" s="53">
        <f t="shared" si="0"/>
        <v>5.1669999999999998</v>
      </c>
      <c r="O28" s="32">
        <f t="shared" si="1"/>
        <v>0</v>
      </c>
      <c r="P28" s="53">
        <f t="shared" si="2"/>
        <v>0</v>
      </c>
      <c r="Q28" s="46">
        <f t="shared" si="27"/>
        <v>0</v>
      </c>
      <c r="R28" s="43">
        <f t="shared" si="3"/>
        <v>0</v>
      </c>
      <c r="S28" s="42">
        <f t="shared" si="4"/>
        <v>0</v>
      </c>
      <c r="T28" s="46">
        <f t="shared" si="5"/>
        <v>202</v>
      </c>
      <c r="U28" s="44">
        <f t="shared" si="46"/>
        <v>0</v>
      </c>
      <c r="V28" s="16">
        <f t="shared" si="28"/>
        <v>0</v>
      </c>
      <c r="W28" s="45">
        <f t="shared" si="6"/>
        <v>3.83</v>
      </c>
      <c r="X28" s="46">
        <f t="shared" si="7"/>
        <v>0</v>
      </c>
      <c r="Y28" s="46">
        <v>0</v>
      </c>
      <c r="Z28" s="46">
        <v>0</v>
      </c>
      <c r="AA28" s="46">
        <f t="shared" si="8"/>
        <v>0</v>
      </c>
      <c r="AB28" s="46">
        <f t="shared" si="9"/>
        <v>0</v>
      </c>
      <c r="AE28" s="7">
        <f t="shared" si="29"/>
        <v>2039</v>
      </c>
      <c r="AF28" s="46">
        <f t="shared" si="10"/>
        <v>0</v>
      </c>
      <c r="AG28" s="16">
        <f t="shared" si="11"/>
        <v>0</v>
      </c>
      <c r="AH28" s="46">
        <f t="shared" si="42"/>
        <v>0</v>
      </c>
      <c r="AJ28" s="32">
        <f t="shared" si="30"/>
        <v>0</v>
      </c>
      <c r="AK28" s="32">
        <f t="shared" si="30"/>
        <v>0</v>
      </c>
      <c r="AL28" s="32">
        <f t="shared" si="12"/>
        <v>0</v>
      </c>
      <c r="AN28" s="77">
        <f t="shared" si="13"/>
        <v>0</v>
      </c>
      <c r="AQ28" s="7">
        <f t="shared" si="31"/>
        <v>2039</v>
      </c>
      <c r="AR28" s="46">
        <f t="shared" si="14"/>
        <v>0</v>
      </c>
      <c r="AS28" s="46">
        <f t="shared" si="15"/>
        <v>0</v>
      </c>
      <c r="AT28" s="91">
        <f t="shared" si="16"/>
        <v>4.4999999999999998E-2</v>
      </c>
      <c r="AU28" s="16">
        <f t="shared" si="47"/>
        <v>0</v>
      </c>
      <c r="AV28" s="53">
        <f t="shared" si="17"/>
        <v>2.617</v>
      </c>
      <c r="AW28" s="46">
        <f t="shared" si="18"/>
        <v>0</v>
      </c>
      <c r="AX28" s="91"/>
      <c r="AY28" s="92"/>
      <c r="AZ28" s="46">
        <f t="shared" si="32"/>
        <v>0</v>
      </c>
      <c r="BA28" s="17"/>
      <c r="BB28" s="46">
        <v>0</v>
      </c>
      <c r="BC28" s="46">
        <v>0</v>
      </c>
      <c r="BD28" s="47">
        <f t="shared" si="33"/>
        <v>0</v>
      </c>
      <c r="BE28" s="46">
        <f t="shared" si="19"/>
        <v>0</v>
      </c>
      <c r="BH28" s="7">
        <f t="shared" si="34"/>
        <v>2039</v>
      </c>
      <c r="BI28" s="46">
        <v>0</v>
      </c>
      <c r="BJ28" s="16">
        <f t="shared" si="20"/>
        <v>0</v>
      </c>
      <c r="BK28" s="87">
        <f t="shared" si="21"/>
        <v>12.638</v>
      </c>
      <c r="BL28" s="46">
        <f t="shared" si="43"/>
        <v>0</v>
      </c>
      <c r="BM28" s="87">
        <f t="shared" si="22"/>
        <v>0.20399999999999999</v>
      </c>
      <c r="BN28" s="16">
        <f t="shared" si="48"/>
        <v>0</v>
      </c>
      <c r="BO28" s="16"/>
      <c r="BP28" s="46">
        <f t="shared" si="23"/>
        <v>0</v>
      </c>
      <c r="BR28" s="46">
        <f t="shared" si="49"/>
        <v>0</v>
      </c>
      <c r="BS28" s="46"/>
      <c r="BT28" s="46">
        <f t="shared" si="35"/>
        <v>0</v>
      </c>
      <c r="BW28" s="7">
        <f t="shared" si="36"/>
        <v>2039</v>
      </c>
      <c r="BX28" s="46">
        <f t="shared" si="24"/>
        <v>0</v>
      </c>
      <c r="BY28" s="16">
        <f t="shared" si="37"/>
        <v>0</v>
      </c>
      <c r="BZ28" s="116">
        <f t="shared" si="38"/>
        <v>0</v>
      </c>
      <c r="CA28" s="46">
        <f t="shared" si="39"/>
        <v>0</v>
      </c>
      <c r="CC28" s="46">
        <f t="shared" si="40"/>
        <v>0</v>
      </c>
      <c r="CD28" s="46">
        <f t="shared" si="40"/>
        <v>0</v>
      </c>
      <c r="CE28" s="46">
        <f t="shared" si="41"/>
        <v>0</v>
      </c>
      <c r="CF28" s="46"/>
      <c r="CG28" s="46">
        <f t="shared" si="44"/>
        <v>0</v>
      </c>
    </row>
    <row r="29" spans="1:106">
      <c r="A29" s="3" t="s">
        <v>47</v>
      </c>
      <c r="C29" s="15">
        <f>+'Gas Input Table Summary'!$D$20</f>
        <v>0.03</v>
      </c>
      <c r="E29" s="3"/>
      <c r="F29" s="250"/>
      <c r="G29" s="16"/>
      <c r="H29" s="16"/>
      <c r="J29" s="2">
        <f t="shared" si="25"/>
        <v>15</v>
      </c>
      <c r="L29" s="7">
        <f t="shared" si="26"/>
        <v>2040</v>
      </c>
      <c r="M29" s="16">
        <f t="shared" si="45"/>
        <v>0</v>
      </c>
      <c r="N29" s="53">
        <f t="shared" si="0"/>
        <v>5.3220000000000001</v>
      </c>
      <c r="O29" s="32">
        <f t="shared" si="1"/>
        <v>0</v>
      </c>
      <c r="P29" s="53">
        <f t="shared" si="2"/>
        <v>0</v>
      </c>
      <c r="Q29" s="46">
        <f t="shared" si="27"/>
        <v>0</v>
      </c>
      <c r="R29" s="43">
        <f t="shared" si="3"/>
        <v>0</v>
      </c>
      <c r="S29" s="42">
        <f t="shared" si="4"/>
        <v>0</v>
      </c>
      <c r="T29" s="46">
        <f t="shared" si="5"/>
        <v>204</v>
      </c>
      <c r="U29" s="44">
        <f t="shared" si="46"/>
        <v>0</v>
      </c>
      <c r="V29" s="16">
        <f t="shared" si="28"/>
        <v>0</v>
      </c>
      <c r="W29" s="45">
        <f t="shared" si="6"/>
        <v>3.9449999999999998</v>
      </c>
      <c r="X29" s="46">
        <f t="shared" si="7"/>
        <v>0</v>
      </c>
      <c r="Y29" s="49">
        <v>0</v>
      </c>
      <c r="Z29" s="49">
        <v>0</v>
      </c>
      <c r="AA29" s="49">
        <f t="shared" si="8"/>
        <v>0</v>
      </c>
      <c r="AB29" s="49">
        <f t="shared" si="9"/>
        <v>0</v>
      </c>
      <c r="AE29" s="7">
        <f t="shared" si="29"/>
        <v>2040</v>
      </c>
      <c r="AF29" s="46">
        <f t="shared" si="10"/>
        <v>0</v>
      </c>
      <c r="AG29" s="16">
        <f t="shared" si="11"/>
        <v>0</v>
      </c>
      <c r="AH29" s="46">
        <f t="shared" si="42"/>
        <v>0</v>
      </c>
      <c r="AJ29" s="32">
        <f t="shared" si="30"/>
        <v>0</v>
      </c>
      <c r="AK29" s="32">
        <f t="shared" si="30"/>
        <v>0</v>
      </c>
      <c r="AL29" s="32">
        <f t="shared" si="12"/>
        <v>0</v>
      </c>
      <c r="AN29" s="77">
        <f t="shared" si="13"/>
        <v>0</v>
      </c>
      <c r="AQ29" s="7">
        <f t="shared" si="31"/>
        <v>2040</v>
      </c>
      <c r="AR29" s="49">
        <f t="shared" si="14"/>
        <v>0</v>
      </c>
      <c r="AS29" s="46">
        <f t="shared" si="15"/>
        <v>0</v>
      </c>
      <c r="AT29" s="91">
        <f t="shared" si="16"/>
        <v>4.5999999999999999E-2</v>
      </c>
      <c r="AU29" s="16">
        <f t="shared" si="47"/>
        <v>0</v>
      </c>
      <c r="AV29" s="53">
        <f t="shared" si="17"/>
        <v>2.6619999999999999</v>
      </c>
      <c r="AW29" s="46">
        <f t="shared" si="18"/>
        <v>0</v>
      </c>
      <c r="AX29" s="91"/>
      <c r="AY29" s="92"/>
      <c r="AZ29" s="49">
        <f t="shared" si="32"/>
        <v>0</v>
      </c>
      <c r="BA29" s="17"/>
      <c r="BB29" s="49">
        <v>0</v>
      </c>
      <c r="BC29" s="46">
        <v>0</v>
      </c>
      <c r="BD29" s="47">
        <f t="shared" si="33"/>
        <v>0</v>
      </c>
      <c r="BE29" s="49">
        <f t="shared" si="19"/>
        <v>0</v>
      </c>
      <c r="BH29" s="7">
        <f t="shared" si="34"/>
        <v>2040</v>
      </c>
      <c r="BI29" s="46">
        <v>0</v>
      </c>
      <c r="BJ29" s="16">
        <f t="shared" si="20"/>
        <v>0</v>
      </c>
      <c r="BK29" s="87">
        <f t="shared" si="21"/>
        <v>13.016999999999999</v>
      </c>
      <c r="BL29" s="46">
        <f t="shared" si="43"/>
        <v>0</v>
      </c>
      <c r="BM29" s="87">
        <f t="shared" si="22"/>
        <v>0.21</v>
      </c>
      <c r="BN29" s="16">
        <f t="shared" si="48"/>
        <v>0</v>
      </c>
      <c r="BO29" s="16"/>
      <c r="BP29" s="46">
        <f t="shared" si="23"/>
        <v>0</v>
      </c>
      <c r="BR29" s="46">
        <f t="shared" si="49"/>
        <v>0</v>
      </c>
      <c r="BS29" s="46"/>
      <c r="BT29" s="46">
        <f t="shared" si="35"/>
        <v>0</v>
      </c>
      <c r="BW29" s="7">
        <f t="shared" si="36"/>
        <v>2040</v>
      </c>
      <c r="BX29" s="46">
        <f t="shared" si="24"/>
        <v>0</v>
      </c>
      <c r="BY29" s="16">
        <f t="shared" si="37"/>
        <v>0</v>
      </c>
      <c r="BZ29" s="116">
        <f t="shared" si="38"/>
        <v>0</v>
      </c>
      <c r="CA29" s="46">
        <f t="shared" si="39"/>
        <v>0</v>
      </c>
      <c r="CC29" s="46">
        <f t="shared" si="40"/>
        <v>0</v>
      </c>
      <c r="CD29" s="46">
        <f t="shared" si="40"/>
        <v>0</v>
      </c>
      <c r="CE29" s="46">
        <f t="shared" si="41"/>
        <v>0</v>
      </c>
      <c r="CF29" s="46"/>
      <c r="CG29" s="46">
        <f t="shared" si="44"/>
        <v>0</v>
      </c>
    </row>
    <row r="30" spans="1:106">
      <c r="E30" s="3" t="s">
        <v>73</v>
      </c>
      <c r="F30" s="138">
        <f>ROUND('Database Inputs'!C13,0)</f>
        <v>123</v>
      </c>
      <c r="G30" s="132"/>
      <c r="H30" s="132"/>
      <c r="J30" s="2">
        <f t="shared" si="25"/>
        <v>16</v>
      </c>
      <c r="L30" s="7">
        <f t="shared" si="26"/>
        <v>2041</v>
      </c>
      <c r="M30" s="16">
        <f t="shared" si="45"/>
        <v>0</v>
      </c>
      <c r="N30" s="53">
        <f t="shared" si="0"/>
        <v>5.4820000000000002</v>
      </c>
      <c r="O30" s="32">
        <f t="shared" si="1"/>
        <v>0</v>
      </c>
      <c r="P30" s="53">
        <f t="shared" si="2"/>
        <v>0</v>
      </c>
      <c r="Q30" s="46">
        <f t="shared" si="27"/>
        <v>0</v>
      </c>
      <c r="R30" s="43">
        <f t="shared" si="3"/>
        <v>0</v>
      </c>
      <c r="S30" s="42">
        <f t="shared" si="4"/>
        <v>0</v>
      </c>
      <c r="T30" s="46">
        <f t="shared" si="5"/>
        <v>206</v>
      </c>
      <c r="U30" s="44">
        <f t="shared" si="46"/>
        <v>0</v>
      </c>
      <c r="V30" s="16">
        <f t="shared" si="28"/>
        <v>0</v>
      </c>
      <c r="W30" s="45">
        <f t="shared" si="6"/>
        <v>4.0629999999999997</v>
      </c>
      <c r="X30" s="46">
        <f t="shared" si="7"/>
        <v>0</v>
      </c>
      <c r="Y30" s="49">
        <v>0</v>
      </c>
      <c r="Z30" s="49">
        <v>0</v>
      </c>
      <c r="AA30" s="49">
        <f t="shared" si="8"/>
        <v>0</v>
      </c>
      <c r="AB30" s="49">
        <f t="shared" si="9"/>
        <v>0</v>
      </c>
      <c r="AE30" s="7">
        <f t="shared" si="29"/>
        <v>2041</v>
      </c>
      <c r="AF30" s="46">
        <f t="shared" si="10"/>
        <v>0</v>
      </c>
      <c r="AG30" s="16">
        <f t="shared" si="11"/>
        <v>0</v>
      </c>
      <c r="AH30" s="46">
        <f t="shared" si="42"/>
        <v>0</v>
      </c>
      <c r="AJ30" s="32">
        <f t="shared" si="30"/>
        <v>0</v>
      </c>
      <c r="AK30" s="32">
        <f t="shared" si="30"/>
        <v>0</v>
      </c>
      <c r="AL30" s="32">
        <f t="shared" si="12"/>
        <v>0</v>
      </c>
      <c r="AN30" s="77">
        <f t="shared" si="13"/>
        <v>0</v>
      </c>
      <c r="AQ30" s="7">
        <f t="shared" si="31"/>
        <v>2041</v>
      </c>
      <c r="AR30" s="49">
        <f t="shared" si="14"/>
        <v>0</v>
      </c>
      <c r="AS30" s="46">
        <f t="shared" si="15"/>
        <v>0</v>
      </c>
      <c r="AT30" s="91">
        <f t="shared" si="16"/>
        <v>4.7E-2</v>
      </c>
      <c r="AU30" s="16">
        <f t="shared" si="47"/>
        <v>0</v>
      </c>
      <c r="AV30" s="53">
        <f t="shared" si="17"/>
        <v>2.7069999999999999</v>
      </c>
      <c r="AW30" s="46">
        <f t="shared" si="18"/>
        <v>0</v>
      </c>
      <c r="AX30" s="91"/>
      <c r="AY30" s="92"/>
      <c r="AZ30" s="49">
        <f t="shared" si="32"/>
        <v>0</v>
      </c>
      <c r="BA30" s="17"/>
      <c r="BB30" s="49">
        <v>0</v>
      </c>
      <c r="BC30" s="46">
        <v>0</v>
      </c>
      <c r="BD30" s="47">
        <f t="shared" si="33"/>
        <v>0</v>
      </c>
      <c r="BE30" s="49">
        <f t="shared" si="19"/>
        <v>0</v>
      </c>
      <c r="BH30" s="7">
        <f t="shared" si="34"/>
        <v>2041</v>
      </c>
      <c r="BI30" s="46">
        <v>0</v>
      </c>
      <c r="BJ30" s="16">
        <f t="shared" si="20"/>
        <v>0</v>
      </c>
      <c r="BK30" s="87">
        <f t="shared" si="21"/>
        <v>13.407</v>
      </c>
      <c r="BL30" s="46">
        <f t="shared" si="43"/>
        <v>0</v>
      </c>
      <c r="BM30" s="87">
        <f t="shared" si="22"/>
        <v>0.217</v>
      </c>
      <c r="BN30" s="16">
        <f t="shared" si="48"/>
        <v>0</v>
      </c>
      <c r="BO30" s="16"/>
      <c r="BP30" s="46">
        <f t="shared" si="23"/>
        <v>0</v>
      </c>
      <c r="BR30" s="46">
        <f t="shared" si="49"/>
        <v>0</v>
      </c>
      <c r="BS30" s="46"/>
      <c r="BT30" s="46">
        <f t="shared" si="35"/>
        <v>0</v>
      </c>
      <c r="BW30" s="7">
        <f t="shared" si="36"/>
        <v>2041</v>
      </c>
      <c r="BX30" s="46">
        <f t="shared" si="24"/>
        <v>0</v>
      </c>
      <c r="BY30" s="16">
        <f t="shared" si="37"/>
        <v>0</v>
      </c>
      <c r="BZ30" s="116">
        <f t="shared" si="38"/>
        <v>0</v>
      </c>
      <c r="CA30" s="46">
        <f t="shared" si="39"/>
        <v>0</v>
      </c>
      <c r="CC30" s="46">
        <f t="shared" si="40"/>
        <v>0</v>
      </c>
      <c r="CD30" s="46">
        <f t="shared" si="40"/>
        <v>0</v>
      </c>
      <c r="CE30" s="46">
        <f t="shared" si="41"/>
        <v>0</v>
      </c>
      <c r="CF30" s="46"/>
      <c r="CG30" s="46">
        <f t="shared" si="44"/>
        <v>0</v>
      </c>
    </row>
    <row r="31" spans="1:106">
      <c r="A31" s="2" t="s">
        <v>74</v>
      </c>
      <c r="C31" s="13">
        <f>+'Gas Input Table Summary'!$D$21</f>
        <v>7.7189999999999995E-2</v>
      </c>
      <c r="F31" s="250"/>
      <c r="G31" s="16"/>
      <c r="H31" s="16"/>
      <c r="J31" s="2">
        <f t="shared" si="25"/>
        <v>17</v>
      </c>
      <c r="L31" s="7">
        <f t="shared" si="26"/>
        <v>2042</v>
      </c>
      <c r="M31" s="16">
        <f t="shared" si="45"/>
        <v>0</v>
      </c>
      <c r="N31" s="53">
        <f t="shared" si="0"/>
        <v>5.6459999999999999</v>
      </c>
      <c r="O31" s="32">
        <f t="shared" si="1"/>
        <v>0</v>
      </c>
      <c r="P31" s="53">
        <f t="shared" si="2"/>
        <v>0</v>
      </c>
      <c r="Q31" s="46">
        <f t="shared" si="27"/>
        <v>0</v>
      </c>
      <c r="R31" s="43">
        <f t="shared" si="3"/>
        <v>0</v>
      </c>
      <c r="S31" s="42">
        <f t="shared" si="4"/>
        <v>0</v>
      </c>
      <c r="T31" s="46">
        <f t="shared" si="5"/>
        <v>208</v>
      </c>
      <c r="U31" s="44">
        <f t="shared" si="46"/>
        <v>0</v>
      </c>
      <c r="V31" s="16">
        <f t="shared" si="28"/>
        <v>0</v>
      </c>
      <c r="W31" s="45">
        <f t="shared" si="6"/>
        <v>4.1849999999999996</v>
      </c>
      <c r="X31" s="46">
        <f t="shared" si="7"/>
        <v>0</v>
      </c>
      <c r="Y31" s="49">
        <v>0</v>
      </c>
      <c r="Z31" s="49">
        <v>0</v>
      </c>
      <c r="AA31" s="49">
        <f t="shared" si="8"/>
        <v>0</v>
      </c>
      <c r="AB31" s="49">
        <f t="shared" si="9"/>
        <v>0</v>
      </c>
      <c r="AE31" s="7">
        <f t="shared" si="29"/>
        <v>2042</v>
      </c>
      <c r="AF31" s="46">
        <f t="shared" si="10"/>
        <v>0</v>
      </c>
      <c r="AG31" s="16">
        <f t="shared" si="11"/>
        <v>0</v>
      </c>
      <c r="AH31" s="46">
        <f t="shared" si="42"/>
        <v>0</v>
      </c>
      <c r="AJ31" s="32">
        <f t="shared" si="30"/>
        <v>0</v>
      </c>
      <c r="AK31" s="32">
        <f t="shared" si="30"/>
        <v>0</v>
      </c>
      <c r="AL31" s="32">
        <f t="shared" si="12"/>
        <v>0</v>
      </c>
      <c r="AN31" s="77">
        <f t="shared" si="13"/>
        <v>0</v>
      </c>
      <c r="AQ31" s="7">
        <f t="shared" si="31"/>
        <v>2042</v>
      </c>
      <c r="AR31" s="49">
        <f t="shared" si="14"/>
        <v>0</v>
      </c>
      <c r="AS31" s="46">
        <f t="shared" si="15"/>
        <v>0</v>
      </c>
      <c r="AT31" s="91">
        <f t="shared" si="16"/>
        <v>4.9000000000000002E-2</v>
      </c>
      <c r="AU31" s="16">
        <f t="shared" si="47"/>
        <v>0</v>
      </c>
      <c r="AV31" s="53">
        <f t="shared" si="17"/>
        <v>2.7519999999999998</v>
      </c>
      <c r="AW31" s="46">
        <f t="shared" si="18"/>
        <v>0</v>
      </c>
      <c r="AX31" s="91"/>
      <c r="AY31" s="92"/>
      <c r="AZ31" s="49">
        <f t="shared" si="32"/>
        <v>0</v>
      </c>
      <c r="BA31" s="17"/>
      <c r="BB31" s="49">
        <v>0</v>
      </c>
      <c r="BC31" s="46">
        <v>0</v>
      </c>
      <c r="BD31" s="47">
        <f t="shared" si="33"/>
        <v>0</v>
      </c>
      <c r="BE31" s="49">
        <f t="shared" si="19"/>
        <v>0</v>
      </c>
      <c r="BH31" s="7">
        <f t="shared" si="34"/>
        <v>2042</v>
      </c>
      <c r="BI31" s="46">
        <v>0</v>
      </c>
      <c r="BJ31" s="16">
        <f t="shared" si="20"/>
        <v>0</v>
      </c>
      <c r="BK31" s="87">
        <f t="shared" si="21"/>
        <v>13.81</v>
      </c>
      <c r="BL31" s="46">
        <f t="shared" si="43"/>
        <v>0</v>
      </c>
      <c r="BM31" s="87">
        <f t="shared" si="22"/>
        <v>0.223</v>
      </c>
      <c r="BN31" s="16">
        <f t="shared" si="48"/>
        <v>0</v>
      </c>
      <c r="BO31" s="16"/>
      <c r="BP31" s="46">
        <f t="shared" si="23"/>
        <v>0</v>
      </c>
      <c r="BR31" s="46">
        <f t="shared" si="49"/>
        <v>0</v>
      </c>
      <c r="BS31" s="46"/>
      <c r="BT31" s="46">
        <f t="shared" si="35"/>
        <v>0</v>
      </c>
      <c r="BW31" s="7">
        <f t="shared" si="36"/>
        <v>2042</v>
      </c>
      <c r="BX31" s="46">
        <f t="shared" si="24"/>
        <v>0</v>
      </c>
      <c r="BY31" s="16">
        <f t="shared" si="37"/>
        <v>0</v>
      </c>
      <c r="BZ31" s="116">
        <f t="shared" si="38"/>
        <v>0</v>
      </c>
      <c r="CA31" s="46">
        <f t="shared" si="39"/>
        <v>0</v>
      </c>
      <c r="CC31" s="46">
        <f t="shared" si="40"/>
        <v>0</v>
      </c>
      <c r="CD31" s="46">
        <f t="shared" si="40"/>
        <v>0</v>
      </c>
      <c r="CE31" s="46">
        <f t="shared" si="41"/>
        <v>0</v>
      </c>
      <c r="CF31" s="46"/>
      <c r="CG31" s="46">
        <f t="shared" si="44"/>
        <v>0</v>
      </c>
    </row>
    <row r="32" spans="1:106">
      <c r="E32" s="48" t="s">
        <v>103</v>
      </c>
      <c r="F32" s="138">
        <f>+'Total Program Inputs'!G14</f>
        <v>780</v>
      </c>
      <c r="G32" s="22"/>
      <c r="H32" s="22"/>
      <c r="J32" s="2">
        <f t="shared" si="25"/>
        <v>18</v>
      </c>
      <c r="L32" s="7">
        <f t="shared" si="26"/>
        <v>2043</v>
      </c>
      <c r="M32" s="16">
        <f t="shared" si="45"/>
        <v>0</v>
      </c>
      <c r="N32" s="53">
        <f t="shared" si="0"/>
        <v>5.8159999999999998</v>
      </c>
      <c r="O32" s="32">
        <f t="shared" si="1"/>
        <v>0</v>
      </c>
      <c r="P32" s="53">
        <f t="shared" si="2"/>
        <v>0</v>
      </c>
      <c r="Q32" s="46">
        <f t="shared" si="27"/>
        <v>0</v>
      </c>
      <c r="R32" s="43">
        <f t="shared" si="3"/>
        <v>0</v>
      </c>
      <c r="S32" s="42">
        <f t="shared" si="4"/>
        <v>0</v>
      </c>
      <c r="T32" s="46">
        <f t="shared" si="5"/>
        <v>210</v>
      </c>
      <c r="U32" s="44">
        <f t="shared" si="46"/>
        <v>0</v>
      </c>
      <c r="V32" s="16">
        <f t="shared" si="28"/>
        <v>0</v>
      </c>
      <c r="W32" s="45">
        <f t="shared" si="6"/>
        <v>4.3109999999999999</v>
      </c>
      <c r="X32" s="46">
        <f t="shared" si="7"/>
        <v>0</v>
      </c>
      <c r="Y32" s="49">
        <v>0</v>
      </c>
      <c r="Z32" s="49">
        <v>0</v>
      </c>
      <c r="AA32" s="49">
        <f t="shared" si="8"/>
        <v>0</v>
      </c>
      <c r="AB32" s="49">
        <f t="shared" si="9"/>
        <v>0</v>
      </c>
      <c r="AE32" s="7">
        <f t="shared" si="29"/>
        <v>2043</v>
      </c>
      <c r="AF32" s="46">
        <f t="shared" si="10"/>
        <v>0</v>
      </c>
      <c r="AG32" s="16">
        <f t="shared" si="11"/>
        <v>0</v>
      </c>
      <c r="AH32" s="46">
        <f t="shared" si="42"/>
        <v>0</v>
      </c>
      <c r="AJ32" s="32">
        <f t="shared" si="30"/>
        <v>0</v>
      </c>
      <c r="AK32" s="32">
        <f t="shared" si="30"/>
        <v>0</v>
      </c>
      <c r="AL32" s="32">
        <f t="shared" si="12"/>
        <v>0</v>
      </c>
      <c r="AN32" s="77">
        <f t="shared" si="13"/>
        <v>0</v>
      </c>
      <c r="AQ32" s="7">
        <f t="shared" si="31"/>
        <v>2043</v>
      </c>
      <c r="AR32" s="49">
        <f t="shared" si="14"/>
        <v>0</v>
      </c>
      <c r="AS32" s="46">
        <f t="shared" si="15"/>
        <v>0</v>
      </c>
      <c r="AT32" s="91">
        <f t="shared" si="16"/>
        <v>0.05</v>
      </c>
      <c r="AU32" s="16">
        <f t="shared" si="47"/>
        <v>0</v>
      </c>
      <c r="AV32" s="53">
        <f t="shared" si="17"/>
        <v>2.7989999999999999</v>
      </c>
      <c r="AW32" s="46">
        <f t="shared" si="18"/>
        <v>0</v>
      </c>
      <c r="AX32" s="91"/>
      <c r="AY32" s="92"/>
      <c r="AZ32" s="49">
        <f t="shared" si="32"/>
        <v>0</v>
      </c>
      <c r="BA32" s="17"/>
      <c r="BB32" s="49">
        <v>0</v>
      </c>
      <c r="BC32" s="46">
        <v>0</v>
      </c>
      <c r="BD32" s="47">
        <f t="shared" si="33"/>
        <v>0</v>
      </c>
      <c r="BE32" s="49">
        <f t="shared" si="19"/>
        <v>0</v>
      </c>
      <c r="BH32" s="7">
        <f t="shared" si="34"/>
        <v>2043</v>
      </c>
      <c r="BI32" s="46">
        <v>0</v>
      </c>
      <c r="BJ32" s="16">
        <f t="shared" si="20"/>
        <v>0</v>
      </c>
      <c r="BK32" s="87">
        <f t="shared" si="21"/>
        <v>14.224</v>
      </c>
      <c r="BL32" s="46">
        <f t="shared" si="43"/>
        <v>0</v>
      </c>
      <c r="BM32" s="87">
        <f t="shared" si="22"/>
        <v>0.23</v>
      </c>
      <c r="BN32" s="16">
        <f t="shared" si="48"/>
        <v>0</v>
      </c>
      <c r="BO32" s="16"/>
      <c r="BP32" s="46">
        <f t="shared" si="23"/>
        <v>0</v>
      </c>
      <c r="BR32" s="46">
        <f t="shared" si="49"/>
        <v>0</v>
      </c>
      <c r="BS32" s="46"/>
      <c r="BT32" s="46">
        <f t="shared" si="35"/>
        <v>0</v>
      </c>
      <c r="BW32" s="7">
        <f t="shared" si="36"/>
        <v>2043</v>
      </c>
      <c r="BX32" s="46">
        <f t="shared" si="24"/>
        <v>0</v>
      </c>
      <c r="BY32" s="16">
        <f t="shared" si="37"/>
        <v>0</v>
      </c>
      <c r="BZ32" s="116">
        <f t="shared" si="38"/>
        <v>0</v>
      </c>
      <c r="CA32" s="46">
        <f t="shared" si="39"/>
        <v>0</v>
      </c>
      <c r="CC32" s="46">
        <f t="shared" si="40"/>
        <v>0</v>
      </c>
      <c r="CD32" s="46">
        <f t="shared" si="40"/>
        <v>0</v>
      </c>
      <c r="CE32" s="46">
        <f t="shared" si="41"/>
        <v>0</v>
      </c>
      <c r="CF32" s="46"/>
      <c r="CG32" s="46">
        <f t="shared" si="44"/>
        <v>0</v>
      </c>
    </row>
    <row r="33" spans="1:87">
      <c r="A33" s="2" t="s">
        <v>75</v>
      </c>
      <c r="C33" s="11">
        <f>+'Gas Input Table Summary'!$D$22</f>
        <v>2.0699999999999998</v>
      </c>
      <c r="F33" s="250"/>
      <c r="G33" s="16"/>
      <c r="H33" s="16"/>
      <c r="J33" s="2">
        <f t="shared" si="25"/>
        <v>19</v>
      </c>
      <c r="L33" s="7">
        <f t="shared" si="26"/>
        <v>2044</v>
      </c>
      <c r="M33" s="16">
        <f t="shared" si="45"/>
        <v>0</v>
      </c>
      <c r="N33" s="53">
        <f t="shared" si="0"/>
        <v>5.99</v>
      </c>
      <c r="O33" s="32">
        <f t="shared" si="1"/>
        <v>0</v>
      </c>
      <c r="P33" s="53">
        <f t="shared" si="2"/>
        <v>0</v>
      </c>
      <c r="Q33" s="46">
        <f t="shared" si="27"/>
        <v>0</v>
      </c>
      <c r="R33" s="43">
        <f t="shared" si="3"/>
        <v>0</v>
      </c>
      <c r="S33" s="42">
        <f t="shared" si="4"/>
        <v>0</v>
      </c>
      <c r="T33" s="46">
        <f t="shared" si="5"/>
        <v>212</v>
      </c>
      <c r="U33" s="44">
        <f t="shared" si="46"/>
        <v>0</v>
      </c>
      <c r="V33" s="16">
        <f t="shared" si="28"/>
        <v>0</v>
      </c>
      <c r="W33" s="45">
        <f t="shared" si="6"/>
        <v>4.4400000000000004</v>
      </c>
      <c r="X33" s="46">
        <f t="shared" si="7"/>
        <v>0</v>
      </c>
      <c r="Y33" s="49">
        <v>0</v>
      </c>
      <c r="Z33" s="49">
        <v>0</v>
      </c>
      <c r="AA33" s="49">
        <f t="shared" si="8"/>
        <v>0</v>
      </c>
      <c r="AB33" s="49">
        <f t="shared" si="9"/>
        <v>0</v>
      </c>
      <c r="AE33" s="7">
        <f t="shared" si="29"/>
        <v>2044</v>
      </c>
      <c r="AF33" s="46">
        <f t="shared" si="10"/>
        <v>0</v>
      </c>
      <c r="AG33" s="16">
        <f t="shared" si="11"/>
        <v>0</v>
      </c>
      <c r="AH33" s="46">
        <f t="shared" si="42"/>
        <v>0</v>
      </c>
      <c r="AJ33" s="32">
        <f t="shared" si="30"/>
        <v>0</v>
      </c>
      <c r="AK33" s="32">
        <f t="shared" si="30"/>
        <v>0</v>
      </c>
      <c r="AL33" s="32">
        <f t="shared" si="12"/>
        <v>0</v>
      </c>
      <c r="AN33" s="77">
        <f t="shared" si="13"/>
        <v>0</v>
      </c>
      <c r="AQ33" s="7">
        <f t="shared" si="31"/>
        <v>2044</v>
      </c>
      <c r="AR33" s="49">
        <f t="shared" si="14"/>
        <v>0</v>
      </c>
      <c r="AS33" s="46">
        <f t="shared" si="15"/>
        <v>0</v>
      </c>
      <c r="AT33" s="91">
        <f t="shared" si="16"/>
        <v>5.1999999999999998E-2</v>
      </c>
      <c r="AU33" s="16">
        <f t="shared" si="47"/>
        <v>0</v>
      </c>
      <c r="AV33" s="53">
        <f t="shared" si="17"/>
        <v>2.8460000000000001</v>
      </c>
      <c r="AW33" s="46">
        <f t="shared" si="18"/>
        <v>0</v>
      </c>
      <c r="AX33" s="91"/>
      <c r="AY33" s="92"/>
      <c r="AZ33" s="49">
        <f t="shared" si="32"/>
        <v>0</v>
      </c>
      <c r="BA33" s="17"/>
      <c r="BB33" s="49">
        <v>0</v>
      </c>
      <c r="BC33" s="46">
        <v>0</v>
      </c>
      <c r="BD33" s="47">
        <f t="shared" si="33"/>
        <v>0</v>
      </c>
      <c r="BE33" s="49">
        <f t="shared" si="19"/>
        <v>0</v>
      </c>
      <c r="BH33" s="7">
        <f t="shared" si="34"/>
        <v>2044</v>
      </c>
      <c r="BI33" s="46">
        <v>0</v>
      </c>
      <c r="BJ33" s="16">
        <f t="shared" si="20"/>
        <v>0</v>
      </c>
      <c r="BK33" s="87">
        <f t="shared" si="21"/>
        <v>14.651</v>
      </c>
      <c r="BL33" s="46">
        <f t="shared" si="43"/>
        <v>0</v>
      </c>
      <c r="BM33" s="87">
        <f t="shared" si="22"/>
        <v>0.23699999999999999</v>
      </c>
      <c r="BN33" s="16">
        <f t="shared" si="48"/>
        <v>0</v>
      </c>
      <c r="BO33" s="16"/>
      <c r="BP33" s="46">
        <f t="shared" si="23"/>
        <v>0</v>
      </c>
      <c r="BR33" s="46">
        <f t="shared" si="49"/>
        <v>0</v>
      </c>
      <c r="BS33" s="46"/>
      <c r="BT33" s="46">
        <f t="shared" si="35"/>
        <v>0</v>
      </c>
      <c r="BW33" s="7">
        <f t="shared" si="36"/>
        <v>2044</v>
      </c>
      <c r="BX33" s="46">
        <f t="shared" si="24"/>
        <v>0</v>
      </c>
      <c r="BY33" s="16">
        <f t="shared" si="37"/>
        <v>0</v>
      </c>
      <c r="BZ33" s="116">
        <f t="shared" si="38"/>
        <v>0</v>
      </c>
      <c r="CA33" s="46">
        <f t="shared" si="39"/>
        <v>0</v>
      </c>
      <c r="CC33" s="46">
        <f t="shared" si="40"/>
        <v>0</v>
      </c>
      <c r="CD33" s="46">
        <f t="shared" si="40"/>
        <v>0</v>
      </c>
      <c r="CE33" s="46">
        <f t="shared" si="41"/>
        <v>0</v>
      </c>
      <c r="CF33" s="46"/>
      <c r="CG33" s="46">
        <f t="shared" si="44"/>
        <v>0</v>
      </c>
    </row>
    <row r="34" spans="1:87">
      <c r="A34" s="3" t="s">
        <v>18</v>
      </c>
      <c r="C34" s="15">
        <f>+'Gas Input Table Summary'!$D$23</f>
        <v>1.6899999999999998E-2</v>
      </c>
      <c r="E34" s="2" t="s">
        <v>76</v>
      </c>
      <c r="F34" s="259">
        <f>ROUND('Database Inputs'!L13,0)</f>
        <v>60</v>
      </c>
      <c r="G34" s="135"/>
      <c r="H34" s="135"/>
      <c r="J34" s="2">
        <f t="shared" si="25"/>
        <v>20</v>
      </c>
      <c r="L34" s="7">
        <f t="shared" si="26"/>
        <v>2045</v>
      </c>
      <c r="M34" s="16">
        <f t="shared" si="45"/>
        <v>0</v>
      </c>
      <c r="N34" s="95">
        <f t="shared" si="0"/>
        <v>6.17</v>
      </c>
      <c r="O34" s="32">
        <f t="shared" si="1"/>
        <v>0</v>
      </c>
      <c r="P34" s="95">
        <f t="shared" si="2"/>
        <v>0</v>
      </c>
      <c r="Q34" s="49">
        <f t="shared" si="27"/>
        <v>0</v>
      </c>
      <c r="R34" s="96">
        <f t="shared" si="3"/>
        <v>0</v>
      </c>
      <c r="S34" s="97">
        <f t="shared" si="4"/>
        <v>0</v>
      </c>
      <c r="T34" s="49">
        <f t="shared" si="5"/>
        <v>214</v>
      </c>
      <c r="U34" s="99">
        <f t="shared" si="46"/>
        <v>0</v>
      </c>
      <c r="V34" s="16">
        <f t="shared" si="28"/>
        <v>0</v>
      </c>
      <c r="W34" s="87">
        <f t="shared" si="6"/>
        <v>4.5730000000000004</v>
      </c>
      <c r="X34" s="49">
        <f t="shared" si="7"/>
        <v>0</v>
      </c>
      <c r="Y34" s="49">
        <v>0</v>
      </c>
      <c r="Z34" s="49">
        <v>0</v>
      </c>
      <c r="AA34" s="49">
        <f t="shared" si="8"/>
        <v>0</v>
      </c>
      <c r="AB34" s="49">
        <f t="shared" si="9"/>
        <v>0</v>
      </c>
      <c r="AE34" s="7">
        <f t="shared" si="29"/>
        <v>2045</v>
      </c>
      <c r="AF34" s="49">
        <f t="shared" si="10"/>
        <v>0</v>
      </c>
      <c r="AG34" s="16">
        <f t="shared" si="11"/>
        <v>0</v>
      </c>
      <c r="AH34" s="49">
        <f t="shared" si="42"/>
        <v>0</v>
      </c>
      <c r="AJ34" s="32">
        <f t="shared" si="30"/>
        <v>0</v>
      </c>
      <c r="AK34" s="32">
        <f t="shared" si="30"/>
        <v>0</v>
      </c>
      <c r="AL34" s="32">
        <f t="shared" si="12"/>
        <v>0</v>
      </c>
      <c r="AN34" s="179">
        <f t="shared" si="13"/>
        <v>0</v>
      </c>
      <c r="AQ34" s="7">
        <f t="shared" si="31"/>
        <v>2045</v>
      </c>
      <c r="AR34" s="49">
        <f t="shared" si="14"/>
        <v>0</v>
      </c>
      <c r="AS34" s="49">
        <f t="shared" si="15"/>
        <v>0</v>
      </c>
      <c r="AT34" s="98">
        <f t="shared" si="16"/>
        <v>5.2999999999999999E-2</v>
      </c>
      <c r="AU34" s="16">
        <f t="shared" si="47"/>
        <v>0</v>
      </c>
      <c r="AV34" s="95">
        <f t="shared" si="17"/>
        <v>2.8940000000000001</v>
      </c>
      <c r="AW34" s="49">
        <f t="shared" si="18"/>
        <v>0</v>
      </c>
      <c r="AX34" s="98"/>
      <c r="AY34" s="180"/>
      <c r="AZ34" s="49">
        <f t="shared" si="32"/>
        <v>0</v>
      </c>
      <c r="BA34" s="17"/>
      <c r="BB34" s="49">
        <v>0</v>
      </c>
      <c r="BC34" s="49">
        <v>0</v>
      </c>
      <c r="BD34" s="181">
        <f t="shared" si="33"/>
        <v>0</v>
      </c>
      <c r="BE34" s="49">
        <f t="shared" si="19"/>
        <v>0</v>
      </c>
      <c r="BH34" s="7">
        <f t="shared" si="34"/>
        <v>2045</v>
      </c>
      <c r="BI34" s="49">
        <v>0</v>
      </c>
      <c r="BJ34" s="16">
        <f t="shared" si="20"/>
        <v>0</v>
      </c>
      <c r="BK34" s="87">
        <f t="shared" si="21"/>
        <v>15.09</v>
      </c>
      <c r="BL34" s="49">
        <f t="shared" si="43"/>
        <v>0</v>
      </c>
      <c r="BM34" s="87">
        <f t="shared" si="22"/>
        <v>0.24399999999999999</v>
      </c>
      <c r="BN34" s="16">
        <f t="shared" si="48"/>
        <v>0</v>
      </c>
      <c r="BO34" s="16"/>
      <c r="BP34" s="49">
        <f t="shared" si="23"/>
        <v>0</v>
      </c>
      <c r="BR34" s="49">
        <f t="shared" si="49"/>
        <v>0</v>
      </c>
      <c r="BS34" s="49"/>
      <c r="BT34" s="49">
        <f t="shared" si="35"/>
        <v>0</v>
      </c>
      <c r="BW34" s="7">
        <f t="shared" si="36"/>
        <v>2045</v>
      </c>
      <c r="BX34" s="49">
        <f t="shared" si="24"/>
        <v>0</v>
      </c>
      <c r="BY34" s="16">
        <f t="shared" si="37"/>
        <v>0</v>
      </c>
      <c r="BZ34" s="116">
        <f t="shared" si="38"/>
        <v>0</v>
      </c>
      <c r="CA34" s="49">
        <f t="shared" si="39"/>
        <v>0</v>
      </c>
      <c r="CC34" s="49">
        <f t="shared" si="40"/>
        <v>0</v>
      </c>
      <c r="CD34" s="49">
        <f t="shared" si="40"/>
        <v>0</v>
      </c>
      <c r="CE34" s="49">
        <f t="shared" si="41"/>
        <v>0</v>
      </c>
      <c r="CF34" s="49"/>
      <c r="CG34" s="49">
        <f t="shared" si="44"/>
        <v>0</v>
      </c>
    </row>
    <row r="35" spans="1:87">
      <c r="A35" s="3"/>
      <c r="C35" s="15"/>
      <c r="E35" s="3"/>
      <c r="F35" s="22"/>
      <c r="G35" s="50"/>
      <c r="H35" s="50"/>
      <c r="J35" s="2">
        <f t="shared" si="25"/>
        <v>21</v>
      </c>
      <c r="L35" s="7">
        <f t="shared" si="26"/>
        <v>2046</v>
      </c>
      <c r="M35" s="16">
        <f t="shared" ref="M35:M36" si="50">ROUND(IF($C$47+$F$23&gt;L35,$F$25*$F$30,0)+IF($C$48+$G$23&gt;L35,$G$25*$G$30,0)+IF($C$49+$H$23&gt;L35,$H$25*$H$30,0),0)</f>
        <v>0</v>
      </c>
      <c r="N35" s="95">
        <f t="shared" ref="N35:N36" si="51">ROUND($C$17*(1+$C$18)^J35,3)</f>
        <v>6.3550000000000004</v>
      </c>
      <c r="O35" s="32">
        <f t="shared" ref="O35:O36" si="52">ROUND(M35*N35,0)</f>
        <v>0</v>
      </c>
      <c r="P35" s="95">
        <f t="shared" ref="P35:P36" si="53">ROUND($C$25*(1+$C$26)^J35,3)</f>
        <v>0</v>
      </c>
      <c r="Q35" s="49">
        <f t="shared" ref="Q35:Q36" si="54">ROUND(M35*P35,0)</f>
        <v>0</v>
      </c>
      <c r="R35" s="96">
        <f t="shared" ref="R35:R36" si="55">O35+Q35</f>
        <v>0</v>
      </c>
      <c r="S35" s="97">
        <f t="shared" ref="S35:S36" si="56">ROUND(M35*$C$23,1)</f>
        <v>0</v>
      </c>
      <c r="T35" s="49">
        <f t="shared" ref="T35:T36" si="57">ROUND($C$20*(1+$C$21)^J35,0)</f>
        <v>216</v>
      </c>
      <c r="U35" s="99">
        <f t="shared" ref="U35:U36" si="58">ROUND(S35*T35,0)</f>
        <v>0</v>
      </c>
      <c r="V35" s="16">
        <f t="shared" ref="V35:V36" si="59">ROUND(+U35+R35,0)</f>
        <v>0</v>
      </c>
      <c r="W35" s="87">
        <f t="shared" ref="W35:W36" si="60">ROUND($H$36*(1+$C$11)^J35,3)</f>
        <v>4.71</v>
      </c>
      <c r="X35" s="49">
        <f t="shared" ref="X35:X36" si="61">ROUND((1-$H$38)*(W35*M35),0)</f>
        <v>0</v>
      </c>
      <c r="Y35" s="49">
        <v>0</v>
      </c>
      <c r="Z35" s="49">
        <v>0</v>
      </c>
      <c r="AA35" s="49">
        <f t="shared" ref="AA35:AA36" si="62">SUM(X35:Z35)</f>
        <v>0</v>
      </c>
      <c r="AB35" s="49">
        <f t="shared" ref="AB35:AB36" si="63">V35-AA35</f>
        <v>0</v>
      </c>
      <c r="AE35" s="7">
        <f t="shared" si="29"/>
        <v>2046</v>
      </c>
      <c r="AF35" s="49">
        <f t="shared" ref="AF35:AF36" si="64">+R35</f>
        <v>0</v>
      </c>
      <c r="AG35" s="16">
        <f t="shared" ref="AG35:AG36" si="65">+U35</f>
        <v>0</v>
      </c>
      <c r="AH35" s="49">
        <f t="shared" ref="AH35:AH36" si="66">+AG35+AF35</f>
        <v>0</v>
      </c>
      <c r="AJ35" s="32">
        <f t="shared" ref="AJ35:AJ36" si="67">ROUND(Y35,0)</f>
        <v>0</v>
      </c>
      <c r="AK35" s="32">
        <f t="shared" ref="AK35:AK36" si="68">ROUND(Z35,0)</f>
        <v>0</v>
      </c>
      <c r="AL35" s="32">
        <f t="shared" ref="AL35:AL36" si="69">SUM(AJ35:AK35)</f>
        <v>0</v>
      </c>
      <c r="AN35" s="179">
        <f t="shared" ref="AN35:AN36" si="70">+AH35-AL35</f>
        <v>0</v>
      </c>
      <c r="AQ35" s="7">
        <f t="shared" si="31"/>
        <v>2046</v>
      </c>
      <c r="AR35" s="49">
        <f t="shared" ref="AR35:AR36" si="71">AF35</f>
        <v>0</v>
      </c>
      <c r="AS35" s="49">
        <f t="shared" ref="AS35:AS36" si="72">+AG35</f>
        <v>0</v>
      </c>
      <c r="AT35" s="98">
        <f t="shared" ref="AT35:AT36" si="73">ROUND(($C$28/(1-$C$31))*(1+$C$29)^J35,3)</f>
        <v>5.5E-2</v>
      </c>
      <c r="AU35" s="16">
        <f t="shared" ref="AU35:AU36" si="74">ROUND((IF($C$47+$F$23&gt;$AQ35,$F$27*$F$30,0)+IF($C$48+$G$23&gt;AQ35,$G$27*$G$30,0)+IF($C$49+$H$23&gt;AQ35,$H$27*$H$30,0))*AT35,0)</f>
        <v>0</v>
      </c>
      <c r="AV35" s="95">
        <f t="shared" ref="AV35:AV36" si="75">ROUND($C$33*(1+$C$34)^J35,3)</f>
        <v>2.9430000000000001</v>
      </c>
      <c r="AW35" s="49">
        <f t="shared" ref="AW35:AW36" si="76">ROUND(AV35*M35,0)</f>
        <v>0</v>
      </c>
      <c r="AX35" s="98"/>
      <c r="AY35" s="180"/>
      <c r="AZ35" s="49">
        <f t="shared" ref="AZ35:AZ36" si="77">ROUND(AR35+AS35+AU35+AW35+AY35,0)</f>
        <v>0</v>
      </c>
      <c r="BA35" s="17"/>
      <c r="BB35" s="49">
        <v>0</v>
      </c>
      <c r="BC35" s="49">
        <v>0</v>
      </c>
      <c r="BD35" s="181">
        <f t="shared" ref="BD35:BD36" si="78">BB35+BC35</f>
        <v>0</v>
      </c>
      <c r="BE35" s="49">
        <f t="shared" ref="BE35:BE36" si="79">AZ35-BD35</f>
        <v>0</v>
      </c>
      <c r="BH35" s="7">
        <f t="shared" si="34"/>
        <v>2046</v>
      </c>
      <c r="BI35" s="49">
        <v>0</v>
      </c>
      <c r="BJ35" s="16">
        <f t="shared" ref="BJ35:BJ36" si="80">+M35</f>
        <v>0</v>
      </c>
      <c r="BK35" s="87">
        <f t="shared" ref="BK35:BK36" si="81">ROUND($C$10*(1+$C$11)^J35,3)</f>
        <v>15.542999999999999</v>
      </c>
      <c r="BL35" s="49">
        <f t="shared" ref="BL35:BL36" si="82">ROUND(BJ35*BK35,0)</f>
        <v>0</v>
      </c>
      <c r="BM35" s="87">
        <f t="shared" ref="BM35:BM36" si="83">ROUND($C$13*(1+$C$14)^J35,3)</f>
        <v>0.251</v>
      </c>
      <c r="BN35" s="16">
        <f t="shared" ref="BN35:BN36" si="84">ROUND((IF($C$47+$F$23&gt;BH35,$F$27*$F$30,0)+IF($C$49+$H$23&gt;BH35,$H$27*$H$30,0)+IF($C$48+$G$23&gt;BH35,$G$27*$G$30,0))*BM35,0)</f>
        <v>0</v>
      </c>
      <c r="BO35" s="16"/>
      <c r="BP35" s="49">
        <f t="shared" ref="BP35:BP36" si="85">BI35+BL35+BN35+BO35</f>
        <v>0</v>
      </c>
      <c r="BR35" s="49">
        <f t="shared" ref="BR35:BR36" si="86">+BC35</f>
        <v>0</v>
      </c>
      <c r="BS35" s="49"/>
      <c r="BT35" s="49">
        <f t="shared" ref="BT35:BT36" si="87">BP35-BR35</f>
        <v>0</v>
      </c>
      <c r="BW35" s="7">
        <f t="shared" si="36"/>
        <v>2046</v>
      </c>
      <c r="BX35" s="49">
        <f t="shared" si="24"/>
        <v>0</v>
      </c>
      <c r="BY35" s="16">
        <f t="shared" ref="BY35:BY36" si="88">U35</f>
        <v>0</v>
      </c>
      <c r="BZ35" s="116">
        <f t="shared" ref="BZ35:BZ36" si="89">AU35</f>
        <v>0</v>
      </c>
      <c r="CA35" s="49">
        <f t="shared" ref="CA35:CA36" si="90">SUM(BX35:BZ35)</f>
        <v>0</v>
      </c>
      <c r="CC35" s="49">
        <f t="shared" ref="CC35:CC36" si="91">BB35</f>
        <v>0</v>
      </c>
      <c r="CD35" s="49">
        <f t="shared" ref="CD35:CD36" si="92">BC35</f>
        <v>0</v>
      </c>
      <c r="CE35" s="49">
        <f t="shared" ref="CE35:CE36" si="93">SUM(CC35:CD35)</f>
        <v>0</v>
      </c>
      <c r="CF35" s="49"/>
      <c r="CG35" s="49">
        <f t="shared" ref="CG35:CG36" si="94">CA35-CE35</f>
        <v>0</v>
      </c>
    </row>
    <row r="36" spans="1:87">
      <c r="A36" s="3" t="s">
        <v>77</v>
      </c>
      <c r="C36" s="11">
        <f>+'Gas Input Table Summary'!$D$24</f>
        <v>0</v>
      </c>
      <c r="E36" s="3" t="s">
        <v>91</v>
      </c>
      <c r="F36" s="27"/>
      <c r="H36" s="30">
        <f>+'Gas Input Table Summary'!D58</f>
        <v>2.532</v>
      </c>
      <c r="J36" s="2">
        <f t="shared" si="25"/>
        <v>22</v>
      </c>
      <c r="L36" s="7">
        <f t="shared" si="26"/>
        <v>2047</v>
      </c>
      <c r="M36" s="33">
        <f t="shared" si="50"/>
        <v>0</v>
      </c>
      <c r="N36" s="53">
        <f t="shared" si="51"/>
        <v>6.5449999999999999</v>
      </c>
      <c r="O36" s="32">
        <f t="shared" si="52"/>
        <v>0</v>
      </c>
      <c r="P36" s="95">
        <f t="shared" si="53"/>
        <v>0</v>
      </c>
      <c r="Q36" s="49">
        <f t="shared" si="54"/>
        <v>0</v>
      </c>
      <c r="R36" s="96">
        <f t="shared" si="55"/>
        <v>0</v>
      </c>
      <c r="S36" s="97">
        <f t="shared" si="56"/>
        <v>0</v>
      </c>
      <c r="T36" s="49">
        <f t="shared" si="57"/>
        <v>218</v>
      </c>
      <c r="U36" s="99">
        <f t="shared" si="58"/>
        <v>0</v>
      </c>
      <c r="V36" s="33">
        <f t="shared" si="59"/>
        <v>0</v>
      </c>
      <c r="W36" s="45">
        <f t="shared" si="60"/>
        <v>4.8520000000000003</v>
      </c>
      <c r="X36" s="49">
        <f t="shared" si="61"/>
        <v>0</v>
      </c>
      <c r="Y36" s="49">
        <v>0</v>
      </c>
      <c r="Z36" s="49">
        <v>0</v>
      </c>
      <c r="AA36" s="54">
        <f t="shared" si="62"/>
        <v>0</v>
      </c>
      <c r="AB36" s="54">
        <f t="shared" si="63"/>
        <v>0</v>
      </c>
      <c r="AE36" s="7">
        <f t="shared" si="29"/>
        <v>2047</v>
      </c>
      <c r="AF36" s="49">
        <f t="shared" si="64"/>
        <v>0</v>
      </c>
      <c r="AG36" s="16">
        <f t="shared" si="65"/>
        <v>0</v>
      </c>
      <c r="AH36" s="54">
        <f t="shared" si="66"/>
        <v>0</v>
      </c>
      <c r="AJ36" s="32">
        <f t="shared" si="67"/>
        <v>0</v>
      </c>
      <c r="AK36" s="32">
        <f t="shared" si="68"/>
        <v>0</v>
      </c>
      <c r="AL36" s="34">
        <f t="shared" si="69"/>
        <v>0</v>
      </c>
      <c r="AN36" s="78">
        <f t="shared" si="70"/>
        <v>0</v>
      </c>
      <c r="AQ36" s="7">
        <f t="shared" si="31"/>
        <v>2047</v>
      </c>
      <c r="AR36" s="49">
        <f t="shared" si="71"/>
        <v>0</v>
      </c>
      <c r="AS36" s="49">
        <f t="shared" si="72"/>
        <v>0</v>
      </c>
      <c r="AT36" s="98">
        <f t="shared" si="73"/>
        <v>5.7000000000000002E-2</v>
      </c>
      <c r="AU36" s="16">
        <f t="shared" si="74"/>
        <v>0</v>
      </c>
      <c r="AV36" s="95">
        <f t="shared" si="75"/>
        <v>2.9929999999999999</v>
      </c>
      <c r="AW36" s="49">
        <f t="shared" si="76"/>
        <v>0</v>
      </c>
      <c r="AX36" s="91"/>
      <c r="AY36" s="93"/>
      <c r="AZ36" s="54">
        <f t="shared" si="77"/>
        <v>0</v>
      </c>
      <c r="BA36" s="17"/>
      <c r="BB36" s="49">
        <v>0</v>
      </c>
      <c r="BC36" s="49">
        <v>0</v>
      </c>
      <c r="BD36" s="55">
        <f t="shared" si="78"/>
        <v>0</v>
      </c>
      <c r="BE36" s="54">
        <f t="shared" si="79"/>
        <v>0</v>
      </c>
      <c r="BH36" s="7">
        <f t="shared" si="34"/>
        <v>2047</v>
      </c>
      <c r="BI36" s="49">
        <v>0</v>
      </c>
      <c r="BJ36" s="33">
        <f t="shared" si="80"/>
        <v>0</v>
      </c>
      <c r="BK36" s="87">
        <f t="shared" si="81"/>
        <v>16.009</v>
      </c>
      <c r="BL36" s="49">
        <f t="shared" si="82"/>
        <v>0</v>
      </c>
      <c r="BM36" s="87">
        <f t="shared" si="83"/>
        <v>0.25900000000000001</v>
      </c>
      <c r="BN36" s="16">
        <f t="shared" si="84"/>
        <v>0</v>
      </c>
      <c r="BO36" s="33"/>
      <c r="BP36" s="54">
        <f t="shared" si="85"/>
        <v>0</v>
      </c>
      <c r="BR36" s="54">
        <f t="shared" si="86"/>
        <v>0</v>
      </c>
      <c r="BS36" s="54"/>
      <c r="BT36" s="54">
        <f t="shared" si="87"/>
        <v>0</v>
      </c>
      <c r="BW36" s="7">
        <f t="shared" si="36"/>
        <v>2047</v>
      </c>
      <c r="BX36" s="49">
        <f t="shared" si="24"/>
        <v>0</v>
      </c>
      <c r="BY36" s="16">
        <f t="shared" si="88"/>
        <v>0</v>
      </c>
      <c r="BZ36" s="116">
        <f t="shared" si="89"/>
        <v>0</v>
      </c>
      <c r="CA36" s="54">
        <f t="shared" si="90"/>
        <v>0</v>
      </c>
      <c r="CC36" s="54">
        <f t="shared" si="91"/>
        <v>0</v>
      </c>
      <c r="CD36" s="54">
        <f t="shared" si="92"/>
        <v>0</v>
      </c>
      <c r="CE36" s="54">
        <f t="shared" si="93"/>
        <v>0</v>
      </c>
      <c r="CF36" s="54"/>
      <c r="CG36" s="54">
        <f t="shared" si="94"/>
        <v>0</v>
      </c>
    </row>
    <row r="37" spans="1:87">
      <c r="A37" s="2" t="s">
        <v>47</v>
      </c>
      <c r="C37" s="15">
        <f>+'Gas Input Table Summary'!$D$25</f>
        <v>0</v>
      </c>
      <c r="F37" s="16"/>
      <c r="M37" s="5"/>
      <c r="N37" s="2"/>
      <c r="R37" s="24"/>
      <c r="T37" s="18"/>
      <c r="V37" s="5"/>
      <c r="AA37" s="5"/>
      <c r="AB37" s="5"/>
      <c r="AF37" s="5"/>
      <c r="AH37" s="5"/>
      <c r="AN37" s="5"/>
      <c r="AR37" s="5"/>
      <c r="AU37" s="47"/>
      <c r="AW37" s="47"/>
      <c r="AY37" s="47"/>
      <c r="AZ37" s="47"/>
      <c r="BC37" s="16"/>
      <c r="BG37" s="7"/>
      <c r="BJ37" s="23"/>
      <c r="BP37" s="5"/>
      <c r="BT37" s="5"/>
      <c r="BV37" s="7"/>
      <c r="BY37" s="23"/>
      <c r="CA37" s="5"/>
      <c r="CG37" s="5"/>
    </row>
    <row r="38" spans="1:87">
      <c r="C38" s="15"/>
      <c r="E38" s="51" t="s">
        <v>98</v>
      </c>
      <c r="H38" s="128">
        <f>+'Gas Input Table Summary'!D59</f>
        <v>0.21</v>
      </c>
      <c r="J38" s="24"/>
      <c r="K38" s="2" t="s">
        <v>212</v>
      </c>
      <c r="M38" s="16">
        <f>SUM(M14:M36)</f>
        <v>7800</v>
      </c>
      <c r="N38" s="2"/>
      <c r="R38" s="24"/>
      <c r="S38" s="12"/>
      <c r="T38" s="18"/>
      <c r="V38" s="12">
        <f>SUM(V14:V36)</f>
        <v>44851</v>
      </c>
      <c r="X38" s="12"/>
      <c r="Y38" s="12"/>
      <c r="Z38" s="12"/>
      <c r="AA38" s="12">
        <f>SUM(AA14:AA36)</f>
        <v>27721</v>
      </c>
      <c r="AB38" s="12">
        <f>SUM(AB14:AB36)</f>
        <v>17130</v>
      </c>
      <c r="AD38" s="3" t="s">
        <v>78</v>
      </c>
      <c r="AE38" s="16"/>
      <c r="AF38" s="12"/>
      <c r="AG38" s="12"/>
      <c r="AH38" s="12">
        <f>SUM(AH14:AH36)</f>
        <v>44851</v>
      </c>
      <c r="AL38" s="12">
        <f>SUM(AL14:AL36)</f>
        <v>9835</v>
      </c>
      <c r="AN38" s="12">
        <f>SUM(AN14:AN36)</f>
        <v>35016</v>
      </c>
      <c r="AP38" s="3" t="s">
        <v>78</v>
      </c>
      <c r="AQ38" s="16"/>
      <c r="AR38" s="12"/>
      <c r="AS38" s="12"/>
      <c r="AU38" s="46"/>
      <c r="AW38" s="46"/>
      <c r="AY38" s="46"/>
      <c r="AZ38" s="94">
        <f>SUM(AZ14:AZ36)</f>
        <v>63982</v>
      </c>
      <c r="BB38" s="12"/>
      <c r="BC38" s="12"/>
      <c r="BD38" s="12">
        <f>SUM(BD14:BD36)</f>
        <v>21549</v>
      </c>
      <c r="BE38" s="12">
        <f>SUM(BE14:BE36)</f>
        <v>42433</v>
      </c>
      <c r="BG38" s="3" t="s">
        <v>212</v>
      </c>
      <c r="BI38" s="12"/>
      <c r="BJ38" s="16">
        <f>SUM(BJ14:BJ36)</f>
        <v>7800</v>
      </c>
      <c r="BK38" s="18"/>
      <c r="BL38" s="12"/>
      <c r="BN38" s="12"/>
      <c r="BO38" s="12"/>
      <c r="BP38" s="12">
        <f>SUM(BP14:BP36)</f>
        <v>89858</v>
      </c>
      <c r="BR38" s="12">
        <f>SUM(BR14:BR36)</f>
        <v>19065</v>
      </c>
      <c r="BS38" s="12"/>
      <c r="BT38" s="12">
        <f>SUM(BT14:BT36)</f>
        <v>70793</v>
      </c>
      <c r="BX38" s="12"/>
      <c r="BY38" s="16"/>
      <c r="BZ38" s="3" t="s">
        <v>212</v>
      </c>
      <c r="CA38" s="12">
        <f>SUM(CA14:CA36)</f>
        <v>46550</v>
      </c>
      <c r="CC38" s="12"/>
      <c r="CD38" s="12"/>
      <c r="CE38" s="12">
        <f>SUM(CE14:CE36)</f>
        <v>21549</v>
      </c>
      <c r="CF38" s="12"/>
      <c r="CG38" s="12">
        <f>SUM(CG14:CG36)</f>
        <v>25001</v>
      </c>
    </row>
    <row r="39" spans="1:87">
      <c r="A39" s="3" t="s">
        <v>79</v>
      </c>
      <c r="C39" s="13">
        <f>+'Gas Input Table Summary'!$D$26</f>
        <v>9.8699999999999996E-2</v>
      </c>
      <c r="E39" s="119" t="s">
        <v>227</v>
      </c>
      <c r="M39" s="16"/>
      <c r="N39" s="2"/>
      <c r="R39" s="24"/>
      <c r="S39" s="52"/>
      <c r="T39" s="5" t="s">
        <v>80</v>
      </c>
      <c r="V39" s="52">
        <f>ROUND(V14+NPV($C$41,V15:V36),0)</f>
        <v>33259</v>
      </c>
      <c r="X39" s="12"/>
      <c r="Y39" s="12"/>
      <c r="Z39" s="12"/>
      <c r="AA39" s="12">
        <f>ROUND(AA14+NPV($C$41,AA15:AA36),0)</f>
        <v>23052</v>
      </c>
      <c r="AB39" s="12">
        <f>ROUND(AB14+NPV($C$41,AB15:AB36),0)</f>
        <v>10207</v>
      </c>
      <c r="AF39" s="12"/>
      <c r="AG39" s="3" t="s">
        <v>80</v>
      </c>
      <c r="AH39" s="12">
        <f>ROUND(AH14+NPV($C$41,AH15:AH36),0)</f>
        <v>33259</v>
      </c>
      <c r="AL39" s="12">
        <f>ROUND(AL14+NPV($C$41,AL15:AL36),0)</f>
        <v>9835</v>
      </c>
      <c r="AN39" s="12">
        <f>+AH39-AL39</f>
        <v>23424</v>
      </c>
      <c r="AR39" s="12"/>
      <c r="AS39" s="12"/>
      <c r="AU39" s="46"/>
      <c r="AW39" s="3" t="s">
        <v>80</v>
      </c>
      <c r="AY39" s="46"/>
      <c r="AZ39" s="12">
        <f>ROUND(AZ14+NPV($C$43,AZ15:AZ36),0)</f>
        <v>57672</v>
      </c>
      <c r="BB39" s="12"/>
      <c r="BC39" s="12"/>
      <c r="BD39" s="12">
        <f>ROUND(BD14+NPV($C$43,BD15:BD36),0)</f>
        <v>21549</v>
      </c>
      <c r="BE39" s="12">
        <f>AZ39-BD39</f>
        <v>36123</v>
      </c>
      <c r="BG39" s="7"/>
      <c r="BI39" s="12"/>
      <c r="BL39" s="12"/>
      <c r="BN39" s="12" t="s">
        <v>205</v>
      </c>
      <c r="BO39" s="12"/>
      <c r="BP39" s="12">
        <f>ROUND(BP14+NPV($C$39,BP15:BP36),0)</f>
        <v>62105</v>
      </c>
      <c r="BR39" s="12">
        <f>ROUND(BR14+NPV($C$39,BR15:BR36),0)</f>
        <v>19065</v>
      </c>
      <c r="BS39" s="12"/>
      <c r="BT39" s="16">
        <f>ROUND(BT14+NPV($C$39,BT15:BT36),0)</f>
        <v>43040</v>
      </c>
      <c r="BV39" s="7"/>
      <c r="BX39" s="12"/>
      <c r="BZ39" s="12" t="s">
        <v>205</v>
      </c>
      <c r="CA39" s="12">
        <f>ROUND(CA14+NPV($C$41,CA15:CA36),0)</f>
        <v>34515</v>
      </c>
      <c r="CC39" s="12"/>
      <c r="CD39" s="12"/>
      <c r="CE39" s="12">
        <f>ROUND(CE14+NPV($C$41,CE15:CE36),0)</f>
        <v>21549</v>
      </c>
      <c r="CF39" s="12"/>
      <c r="CG39" s="16">
        <f>ROUND(CG14+NPV($C$41,CG15:CG36),0)</f>
        <v>12966</v>
      </c>
    </row>
    <row r="40" spans="1:87">
      <c r="A40" s="3"/>
      <c r="C40" s="13"/>
      <c r="F40" s="16"/>
      <c r="M40" s="16"/>
      <c r="N40" s="2"/>
      <c r="R40" s="24"/>
      <c r="T40" s="18"/>
      <c r="V40" s="16"/>
      <c r="X40" s="3" t="s">
        <v>81</v>
      </c>
      <c r="Z40" s="16"/>
      <c r="AA40" s="250"/>
      <c r="AB40" s="16"/>
      <c r="AF40" s="16"/>
      <c r="AH40" s="16"/>
      <c r="AI40" s="16"/>
      <c r="AR40" s="16"/>
      <c r="AY40" s="16"/>
      <c r="AZ40" s="16"/>
      <c r="BA40" s="16"/>
      <c r="BB40" s="16"/>
      <c r="BC40" s="16"/>
      <c r="BD40" s="16"/>
      <c r="BE40" s="16"/>
      <c r="BF40" s="16"/>
      <c r="BG40" s="7"/>
      <c r="BI40" s="12"/>
      <c r="BP40" s="16"/>
      <c r="BS40" s="16"/>
      <c r="BU40" s="16"/>
      <c r="BV40" s="7"/>
      <c r="BX40" s="12"/>
      <c r="CA40" s="16"/>
      <c r="CF40" s="16"/>
    </row>
    <row r="41" spans="1:87">
      <c r="A41" s="3" t="s">
        <v>82</v>
      </c>
      <c r="C41" s="13">
        <f>+'Gas Input Table Summary'!$D$27</f>
        <v>7.0099999999999996E-2</v>
      </c>
      <c r="E41" s="39" t="s">
        <v>88</v>
      </c>
      <c r="F41" s="40" t="s">
        <v>89</v>
      </c>
      <c r="G41" s="41" t="s">
        <v>90</v>
      </c>
      <c r="K41" s="3" t="s">
        <v>83</v>
      </c>
      <c r="M41" s="16"/>
      <c r="N41" s="12">
        <f>AB39</f>
        <v>10207</v>
      </c>
      <c r="Q41" s="12"/>
      <c r="R41" s="24"/>
      <c r="T41" s="18"/>
      <c r="U41" s="18"/>
      <c r="V41" s="16"/>
      <c r="X41" s="3" t="s">
        <v>81</v>
      </c>
      <c r="Z41" s="16"/>
      <c r="AA41" s="16"/>
      <c r="AB41" s="16"/>
      <c r="AD41" s="3" t="s">
        <v>83</v>
      </c>
      <c r="AF41" s="16"/>
      <c r="AG41" s="12">
        <f>AN39</f>
        <v>23424</v>
      </c>
      <c r="AH41" s="12"/>
      <c r="AI41" s="16"/>
      <c r="AM41" s="16"/>
      <c r="AP41" s="3" t="s">
        <v>83</v>
      </c>
      <c r="AR41" s="16"/>
      <c r="AS41" s="12">
        <f>BE39</f>
        <v>36123</v>
      </c>
      <c r="AU41" s="12"/>
      <c r="AW41" s="12"/>
      <c r="AY41" s="16"/>
      <c r="AZ41" s="16"/>
      <c r="BA41" s="25"/>
      <c r="BB41" s="16"/>
      <c r="BC41" s="16"/>
      <c r="BD41" s="16"/>
      <c r="BF41" s="16"/>
      <c r="BG41" s="3" t="s">
        <v>83</v>
      </c>
      <c r="BJ41" s="12">
        <f>BT39</f>
        <v>43040</v>
      </c>
      <c r="BK41" s="12"/>
      <c r="BP41" s="16"/>
      <c r="BS41" s="16"/>
      <c r="BT41" s="16"/>
      <c r="BU41" s="16"/>
      <c r="BV41" s="3" t="s">
        <v>83</v>
      </c>
      <c r="BY41" s="12">
        <f>CG39</f>
        <v>12966</v>
      </c>
      <c r="BZ41" s="12"/>
      <c r="CA41" s="16"/>
      <c r="CF41" s="16"/>
      <c r="CG41" s="16"/>
    </row>
    <row r="42" spans="1:87" ht="13.5" thickBot="1">
      <c r="E42" s="121" t="s">
        <v>5</v>
      </c>
      <c r="F42" s="122">
        <f>N41</f>
        <v>10207</v>
      </c>
      <c r="G42" s="123">
        <f>N42</f>
        <v>1.44</v>
      </c>
      <c r="K42" s="3" t="s">
        <v>84</v>
      </c>
      <c r="N42" s="90">
        <f>ROUND(V39/AA39,2)</f>
        <v>1.44</v>
      </c>
      <c r="Q42" s="18"/>
      <c r="R42" s="24"/>
      <c r="AB42" s="16"/>
      <c r="AD42" s="3" t="s">
        <v>84</v>
      </c>
      <c r="AF42" s="18"/>
      <c r="AG42" s="35">
        <f>ROUND(AH39/AL39,2)</f>
        <v>3.38</v>
      </c>
      <c r="AH42" s="18"/>
      <c r="AP42" s="3" t="s">
        <v>84</v>
      </c>
      <c r="AR42" s="18"/>
      <c r="AS42" s="35">
        <f>ROUND(AZ39/BD39,2)</f>
        <v>2.68</v>
      </c>
      <c r="AU42" s="18"/>
      <c r="AW42" s="18"/>
      <c r="AZ42" s="2"/>
      <c r="BD42" s="16"/>
      <c r="BG42" s="3" t="s">
        <v>84</v>
      </c>
      <c r="BJ42" s="35">
        <f>ROUND(BP39/BR39,2)</f>
        <v>3.26</v>
      </c>
      <c r="BK42" s="18"/>
      <c r="BV42" s="3" t="s">
        <v>84</v>
      </c>
      <c r="BY42" s="35">
        <f>ROUND(CA39/CE39,2)</f>
        <v>1.6</v>
      </c>
      <c r="BZ42" s="18"/>
    </row>
    <row r="43" spans="1:87" ht="13.5" thickTop="1">
      <c r="A43" s="2" t="s">
        <v>85</v>
      </c>
      <c r="C43" s="13">
        <f>+'Gas Input Table Summary'!$D$28</f>
        <v>2.29E-2</v>
      </c>
      <c r="E43" s="37" t="s">
        <v>6</v>
      </c>
      <c r="F43" s="12">
        <f>AG41</f>
        <v>23424</v>
      </c>
      <c r="G43" s="120">
        <f>AG42</f>
        <v>3.38</v>
      </c>
      <c r="J43" s="74"/>
      <c r="K43" s="75"/>
      <c r="L43" s="74"/>
      <c r="M43" s="74"/>
      <c r="N43" s="74"/>
      <c r="O43" s="74"/>
      <c r="Q43" s="74"/>
      <c r="R43" s="76"/>
      <c r="S43" s="74"/>
      <c r="T43" s="74"/>
      <c r="U43" s="74"/>
      <c r="V43" s="74"/>
      <c r="W43" s="74"/>
      <c r="X43" s="74"/>
      <c r="AB43" s="16"/>
      <c r="AD43" s="3"/>
      <c r="AM43" s="26"/>
      <c r="AN43" s="3"/>
      <c r="AP43" s="3"/>
      <c r="AZ43" s="2"/>
      <c r="BB43" s="26"/>
      <c r="BE43" s="3"/>
      <c r="BG43" s="7"/>
      <c r="BV43" s="7"/>
      <c r="CI43" s="17"/>
    </row>
    <row r="44" spans="1:87">
      <c r="E44" s="38" t="s">
        <v>7</v>
      </c>
      <c r="F44" s="12">
        <f>AS41</f>
        <v>36123</v>
      </c>
      <c r="G44" s="120">
        <f>AS42</f>
        <v>2.68</v>
      </c>
      <c r="J44" s="57" t="s">
        <v>125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AB44" s="16"/>
      <c r="AZ44" s="2"/>
      <c r="BD44" s="7"/>
      <c r="BV44" s="57" t="s">
        <v>125</v>
      </c>
      <c r="BW44" s="58"/>
      <c r="BX44" s="66"/>
      <c r="BY44" s="66"/>
      <c r="BZ44" s="67"/>
      <c r="CI44" s="17"/>
    </row>
    <row r="45" spans="1:87">
      <c r="A45" s="3" t="s">
        <v>86</v>
      </c>
      <c r="C45" s="136">
        <f>+'Gas Input Table Summary'!$D$29</f>
        <v>2025</v>
      </c>
      <c r="E45" s="37" t="s">
        <v>8</v>
      </c>
      <c r="F45" s="12">
        <f>BJ41</f>
        <v>43040</v>
      </c>
      <c r="G45" s="120">
        <f>BJ42</f>
        <v>3.26</v>
      </c>
      <c r="J45" s="68" t="s">
        <v>48</v>
      </c>
      <c r="K45" s="69" t="s">
        <v>122</v>
      </c>
      <c r="L45" s="70"/>
      <c r="M45" s="70"/>
      <c r="N45" s="70"/>
      <c r="O45" s="70"/>
      <c r="P45" s="70"/>
      <c r="Q45" s="70"/>
      <c r="R45" s="70"/>
      <c r="S45" s="70"/>
      <c r="T45" s="71" t="s">
        <v>56</v>
      </c>
      <c r="U45" s="69" t="s">
        <v>143</v>
      </c>
      <c r="V45" s="70"/>
      <c r="W45" s="70"/>
      <c r="X45" s="72"/>
      <c r="AB45" s="16"/>
      <c r="AD45" s="57" t="s">
        <v>125</v>
      </c>
      <c r="AE45" s="58"/>
      <c r="AF45" s="66"/>
      <c r="AG45" s="66"/>
      <c r="AH45" s="67"/>
      <c r="AI45" s="67"/>
      <c r="AJ45" s="67"/>
      <c r="AK45" s="67"/>
      <c r="AN45" s="3"/>
      <c r="AP45" s="57" t="s">
        <v>125</v>
      </c>
      <c r="AQ45" s="58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7"/>
      <c r="BG45" s="57" t="s">
        <v>125</v>
      </c>
      <c r="BH45" s="58"/>
      <c r="BI45" s="66"/>
      <c r="BJ45" s="66"/>
      <c r="BK45" s="66"/>
      <c r="BL45" s="66"/>
      <c r="BM45" s="66"/>
      <c r="BN45" s="66"/>
      <c r="BO45" s="249"/>
      <c r="BP45" s="66"/>
      <c r="BQ45" s="66"/>
      <c r="BR45" s="66"/>
      <c r="BS45" s="66"/>
      <c r="BT45" s="67"/>
      <c r="BV45" s="85" t="s">
        <v>48</v>
      </c>
      <c r="BW45" s="118" t="s">
        <v>163</v>
      </c>
      <c r="BX45" s="70"/>
      <c r="BY45" s="70"/>
      <c r="BZ45" s="72"/>
      <c r="CA45" s="56" t="s">
        <v>81</v>
      </c>
      <c r="CB45" s="56"/>
      <c r="CC45" s="56"/>
      <c r="CD45" s="56"/>
      <c r="CE45" s="56"/>
      <c r="CI45" s="17"/>
    </row>
    <row r="46" spans="1:87">
      <c r="C46" s="7"/>
      <c r="E46" s="124" t="s">
        <v>218</v>
      </c>
      <c r="F46" s="125">
        <f>BY41</f>
        <v>12966</v>
      </c>
      <c r="G46" s="126">
        <f>BY42</f>
        <v>1.6</v>
      </c>
      <c r="J46" s="38" t="s">
        <v>49</v>
      </c>
      <c r="K46" s="48" t="s">
        <v>140</v>
      </c>
      <c r="N46" s="2"/>
      <c r="T46" s="5" t="s">
        <v>57</v>
      </c>
      <c r="U46" s="48" t="s">
        <v>144</v>
      </c>
      <c r="X46" s="60"/>
      <c r="AB46" s="5"/>
      <c r="AD46" s="68" t="s">
        <v>48</v>
      </c>
      <c r="AE46" s="69" t="s">
        <v>163</v>
      </c>
      <c r="AF46" s="70"/>
      <c r="AG46" s="70"/>
      <c r="AH46" s="70"/>
      <c r="AI46" s="70"/>
      <c r="AJ46" s="70"/>
      <c r="AK46" s="72"/>
      <c r="AN46" s="3"/>
      <c r="AP46" s="82" t="s">
        <v>48</v>
      </c>
      <c r="AQ46" s="69" t="s">
        <v>163</v>
      </c>
      <c r="AR46" s="70"/>
      <c r="AS46" s="70"/>
      <c r="AU46" s="70"/>
      <c r="AW46" s="5" t="s">
        <v>55</v>
      </c>
      <c r="AZ46" s="48" t="s">
        <v>153</v>
      </c>
      <c r="BD46" s="70"/>
      <c r="BE46" s="72"/>
      <c r="BG46" s="85" t="s">
        <v>48</v>
      </c>
      <c r="BH46" s="69" t="s">
        <v>157</v>
      </c>
      <c r="BI46" s="70"/>
      <c r="BJ46" s="70"/>
      <c r="BK46" s="70"/>
      <c r="BL46" s="246" t="s">
        <v>54</v>
      </c>
      <c r="BM46" s="69" t="s">
        <v>158</v>
      </c>
      <c r="BN46" s="70"/>
      <c r="BO46" s="70"/>
      <c r="BP46" s="70"/>
      <c r="BQ46" s="70"/>
      <c r="BR46" s="70"/>
      <c r="BS46" s="70"/>
      <c r="BT46" s="72"/>
      <c r="BV46" s="86" t="s">
        <v>49</v>
      </c>
      <c r="BW46" s="119" t="s">
        <v>164</v>
      </c>
      <c r="BZ46" s="60"/>
      <c r="CI46" s="17"/>
    </row>
    <row r="47" spans="1:87">
      <c r="A47" s="3" t="s">
        <v>87</v>
      </c>
      <c r="C47" s="136">
        <f>+'Total Program Inputs'!C6</f>
        <v>2025</v>
      </c>
      <c r="J47" s="38" t="s">
        <v>50</v>
      </c>
      <c r="K47" s="19" t="s">
        <v>121</v>
      </c>
      <c r="N47" s="2"/>
      <c r="T47" s="5" t="s">
        <v>58</v>
      </c>
      <c r="U47" s="48" t="s">
        <v>160</v>
      </c>
      <c r="X47" s="60"/>
      <c r="AB47" s="12"/>
      <c r="AD47" s="38" t="s">
        <v>49</v>
      </c>
      <c r="AE47" s="19" t="s">
        <v>164</v>
      </c>
      <c r="AK47" s="60"/>
      <c r="AP47" s="83" t="s">
        <v>54</v>
      </c>
      <c r="AQ47" s="48" t="s">
        <v>164</v>
      </c>
      <c r="AW47" s="5" t="s">
        <v>56</v>
      </c>
      <c r="AZ47" s="19" t="s">
        <v>154</v>
      </c>
      <c r="BE47" s="60"/>
      <c r="BG47" s="86" t="s">
        <v>49</v>
      </c>
      <c r="BH47" s="48" t="s">
        <v>126</v>
      </c>
      <c r="BL47" s="7" t="s">
        <v>55</v>
      </c>
      <c r="BM47" s="19" t="s">
        <v>167</v>
      </c>
      <c r="BO47" s="56"/>
      <c r="BP47" s="56"/>
      <c r="BQ47" s="56"/>
      <c r="BR47" s="56"/>
      <c r="BT47" s="60"/>
      <c r="BV47" s="86" t="s">
        <v>50</v>
      </c>
      <c r="BW47" s="119" t="s">
        <v>220</v>
      </c>
      <c r="BZ47" s="60"/>
      <c r="CI47" s="17"/>
    </row>
    <row r="48" spans="1:87">
      <c r="A48" s="127"/>
      <c r="C48" s="7"/>
      <c r="J48" s="38" t="s">
        <v>51</v>
      </c>
      <c r="K48" s="48" t="s">
        <v>139</v>
      </c>
      <c r="N48" s="2"/>
      <c r="T48" s="5" t="s">
        <v>59</v>
      </c>
      <c r="U48" s="19" t="s">
        <v>161</v>
      </c>
      <c r="X48" s="60"/>
      <c r="AB48" s="16"/>
      <c r="AD48" s="38" t="s">
        <v>50</v>
      </c>
      <c r="AE48" s="19" t="s">
        <v>165</v>
      </c>
      <c r="AK48" s="60"/>
      <c r="AP48" s="83" t="s">
        <v>50</v>
      </c>
      <c r="AQ48" s="48" t="s">
        <v>201</v>
      </c>
      <c r="AW48" s="5" t="s">
        <v>57</v>
      </c>
      <c r="AZ48" s="19" t="s">
        <v>155</v>
      </c>
      <c r="BE48" s="60"/>
      <c r="BG48" s="86" t="s">
        <v>50</v>
      </c>
      <c r="BH48" s="19" t="s">
        <v>130</v>
      </c>
      <c r="BL48" s="7" t="s">
        <v>56</v>
      </c>
      <c r="BM48" s="19" t="s">
        <v>159</v>
      </c>
      <c r="BT48" s="60"/>
      <c r="BV48" s="86" t="s">
        <v>51</v>
      </c>
      <c r="BW48" s="119" t="s">
        <v>128</v>
      </c>
      <c r="BZ48" s="60"/>
      <c r="CI48" s="17"/>
    </row>
    <row r="49" spans="1:108">
      <c r="A49" s="127"/>
      <c r="C49" s="7"/>
      <c r="J49" s="38" t="s">
        <v>52</v>
      </c>
      <c r="K49" s="19" t="s">
        <v>141</v>
      </c>
      <c r="N49" s="2"/>
      <c r="O49" s="24"/>
      <c r="T49" s="5" t="s">
        <v>60</v>
      </c>
      <c r="U49" s="48" t="s">
        <v>147</v>
      </c>
      <c r="X49" s="60"/>
      <c r="AB49" s="16"/>
      <c r="AD49" s="38" t="s">
        <v>51</v>
      </c>
      <c r="AE49" s="48" t="s">
        <v>127</v>
      </c>
      <c r="AK49" s="60"/>
      <c r="AO49" s="3"/>
      <c r="AP49" s="83" t="s">
        <v>51</v>
      </c>
      <c r="AQ49" s="48" t="s">
        <v>152</v>
      </c>
      <c r="AW49" s="5" t="s">
        <v>58</v>
      </c>
      <c r="AZ49" s="19" t="s">
        <v>156</v>
      </c>
      <c r="BE49" s="60"/>
      <c r="BG49" s="86" t="s">
        <v>51</v>
      </c>
      <c r="BH49" s="48" t="s">
        <v>131</v>
      </c>
      <c r="BT49" s="60"/>
      <c r="BV49" s="86" t="s">
        <v>52</v>
      </c>
      <c r="BW49" s="119" t="s">
        <v>224</v>
      </c>
      <c r="BZ49" s="60"/>
    </row>
    <row r="50" spans="1:108">
      <c r="J50" s="38" t="s">
        <v>53</v>
      </c>
      <c r="K50" s="48" t="s">
        <v>142</v>
      </c>
      <c r="N50" s="2"/>
      <c r="T50" s="5" t="s">
        <v>61</v>
      </c>
      <c r="U50" s="19" t="s">
        <v>129</v>
      </c>
      <c r="X50" s="60"/>
      <c r="AD50" s="38" t="s">
        <v>52</v>
      </c>
      <c r="AE50" s="48" t="s">
        <v>157</v>
      </c>
      <c r="AK50" s="60"/>
      <c r="AP50" s="83" t="s">
        <v>52</v>
      </c>
      <c r="AQ50" s="48" t="s">
        <v>135</v>
      </c>
      <c r="AW50" s="5"/>
      <c r="AZ50" s="2"/>
      <c r="BE50" s="60"/>
      <c r="BG50" s="86" t="s">
        <v>52</v>
      </c>
      <c r="BH50" s="48" t="s">
        <v>166</v>
      </c>
      <c r="BT50" s="60"/>
      <c r="BV50" s="86" t="s">
        <v>53</v>
      </c>
      <c r="BW50" s="119" t="s">
        <v>225</v>
      </c>
      <c r="BZ50" s="60"/>
    </row>
    <row r="51" spans="1:108" ht="14.1" customHeight="1">
      <c r="J51" s="38" t="s">
        <v>54</v>
      </c>
      <c r="K51" s="48" t="s">
        <v>123</v>
      </c>
      <c r="N51" s="2"/>
      <c r="T51" s="5" t="s">
        <v>138</v>
      </c>
      <c r="U51" s="19" t="s">
        <v>162</v>
      </c>
      <c r="X51" s="60"/>
      <c r="AD51" s="38" t="s">
        <v>53</v>
      </c>
      <c r="AE51" s="19" t="s">
        <v>149</v>
      </c>
      <c r="AK51" s="60"/>
      <c r="AP51" s="83" t="s">
        <v>53</v>
      </c>
      <c r="AQ51" s="48" t="s">
        <v>136</v>
      </c>
      <c r="AW51" s="5"/>
      <c r="AZ51" s="2"/>
      <c r="BE51" s="60"/>
      <c r="BG51" s="247" t="s">
        <v>53</v>
      </c>
      <c r="BH51" s="251" t="s">
        <v>330</v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64"/>
      <c r="BV51" s="86" t="s">
        <v>54</v>
      </c>
      <c r="BW51" s="119" t="s">
        <v>221</v>
      </c>
      <c r="BZ51" s="60"/>
    </row>
    <row r="52" spans="1:108" ht="14.1" customHeight="1">
      <c r="A52" s="3"/>
      <c r="C52" s="13"/>
      <c r="J52" s="89" t="s">
        <v>55</v>
      </c>
      <c r="K52" s="62" t="s">
        <v>124</v>
      </c>
      <c r="L52" s="10"/>
      <c r="M52" s="10"/>
      <c r="N52" s="10"/>
      <c r="O52" s="10"/>
      <c r="P52" s="10"/>
      <c r="Q52" s="10"/>
      <c r="R52" s="10"/>
      <c r="S52" s="10"/>
      <c r="T52" s="63" t="s">
        <v>146</v>
      </c>
      <c r="U52" s="62" t="s">
        <v>148</v>
      </c>
      <c r="V52" s="10"/>
      <c r="W52" s="10"/>
      <c r="X52" s="64"/>
      <c r="AD52" s="61" t="s">
        <v>54</v>
      </c>
      <c r="AE52" s="73" t="s">
        <v>150</v>
      </c>
      <c r="AF52" s="10"/>
      <c r="AG52" s="10"/>
      <c r="AH52" s="10"/>
      <c r="AI52" s="10"/>
      <c r="AJ52" s="10"/>
      <c r="AK52" s="64"/>
      <c r="AP52" s="84" t="s">
        <v>54</v>
      </c>
      <c r="AQ52" s="73" t="s">
        <v>151</v>
      </c>
      <c r="AR52" s="10"/>
      <c r="AS52" s="10"/>
      <c r="AT52" s="10"/>
      <c r="AU52" s="10"/>
      <c r="AV52" s="10"/>
      <c r="AW52" s="63"/>
      <c r="AX52" s="63"/>
      <c r="AY52" s="63"/>
      <c r="AZ52" s="63"/>
      <c r="BA52" s="10"/>
      <c r="BB52" s="10"/>
      <c r="BC52" s="10"/>
      <c r="BD52" s="10"/>
      <c r="BE52" s="64"/>
      <c r="BG52" s="7"/>
      <c r="BH52" s="48"/>
      <c r="BM52" s="5"/>
      <c r="BV52" s="247" t="s">
        <v>55</v>
      </c>
      <c r="BW52" s="248" t="s">
        <v>222</v>
      </c>
      <c r="BX52" s="10"/>
      <c r="BY52" s="10"/>
      <c r="BZ52" s="64"/>
      <c r="CL52" s="18"/>
      <c r="DB52" s="16"/>
    </row>
    <row r="53" spans="1:108" ht="14.1" customHeight="1">
      <c r="C53" s="3"/>
      <c r="AD53" s="5"/>
      <c r="AZ53" s="2"/>
      <c r="BG53" s="7"/>
      <c r="BH53" s="19"/>
      <c r="BV53" s="7"/>
      <c r="CL53" s="12"/>
      <c r="DD53" s="16"/>
    </row>
    <row r="54" spans="1:108" ht="14.1" customHeight="1">
      <c r="C54" s="17"/>
      <c r="K54" s="48"/>
      <c r="N54" s="2"/>
      <c r="R54" s="24"/>
      <c r="AZ54" s="2"/>
      <c r="BG54" s="7"/>
      <c r="BH54" s="19"/>
    </row>
    <row r="55" spans="1:108" ht="14.1" customHeight="1">
      <c r="C55" s="17"/>
      <c r="K55" s="48"/>
      <c r="N55" s="2"/>
      <c r="R55" s="24"/>
      <c r="AB55" s="16"/>
      <c r="AP55" s="5"/>
      <c r="AZ55" s="2"/>
      <c r="BG55" s="7"/>
      <c r="BV55" s="7"/>
    </row>
    <row r="56" spans="1:108">
      <c r="C56" s="17"/>
      <c r="K56" s="48"/>
      <c r="N56" s="2"/>
      <c r="R56" s="24"/>
      <c r="AP56" s="3"/>
      <c r="AZ56" s="2"/>
      <c r="BH56" s="7"/>
      <c r="BW56" s="7"/>
    </row>
    <row r="57" spans="1:108">
      <c r="C57" s="28"/>
      <c r="N57" s="2"/>
      <c r="R57" s="24"/>
      <c r="AP57" s="3"/>
      <c r="AZ57" s="2"/>
      <c r="BW57" s="7"/>
    </row>
    <row r="58" spans="1:108">
      <c r="C58" s="28"/>
      <c r="N58" s="2"/>
      <c r="Q58" s="24"/>
      <c r="AO58" s="3"/>
      <c r="AZ58" s="2"/>
      <c r="BV58" s="7"/>
    </row>
    <row r="59" spans="1:108">
      <c r="C59" s="17"/>
      <c r="N59" s="2"/>
      <c r="Q59" s="24"/>
      <c r="AZ59" s="2"/>
      <c r="BV59" s="7"/>
    </row>
    <row r="60" spans="1:108">
      <c r="N60" s="2"/>
      <c r="Q60" s="24"/>
      <c r="AZ60" s="2"/>
      <c r="BV60" s="7"/>
    </row>
    <row r="61" spans="1:108">
      <c r="N61" s="2"/>
      <c r="Q61" s="24"/>
      <c r="AZ61" s="2"/>
      <c r="BV61" s="7"/>
    </row>
    <row r="62" spans="1:108" ht="12" customHeight="1">
      <c r="N62" s="2"/>
      <c r="Q62" s="24"/>
      <c r="AZ62" s="2"/>
      <c r="BV62" s="7"/>
    </row>
    <row r="63" spans="1:108">
      <c r="N63" s="2"/>
      <c r="Q63" s="24"/>
      <c r="AZ63" s="2"/>
      <c r="BV63" s="7"/>
    </row>
    <row r="64" spans="1:108">
      <c r="N64" s="2"/>
      <c r="Q64" s="24"/>
      <c r="AZ64" s="2"/>
      <c r="BG64" s="7"/>
      <c r="BV64" s="7"/>
    </row>
    <row r="65" spans="1:74">
      <c r="C65" s="12"/>
      <c r="N65" s="2"/>
      <c r="Q65" s="24"/>
      <c r="AZ65" s="2"/>
      <c r="BG65" s="7"/>
      <c r="BV65" s="7"/>
    </row>
    <row r="66" spans="1:74">
      <c r="A66" s="9"/>
      <c r="B66" s="3"/>
      <c r="N66" s="2"/>
      <c r="Q66" s="24"/>
      <c r="AZ66" s="2"/>
      <c r="BG66" s="7"/>
      <c r="BV66" s="7"/>
    </row>
    <row r="67" spans="1:74">
      <c r="A67" s="9"/>
      <c r="B67" s="3"/>
      <c r="N67" s="2"/>
      <c r="Q67" s="24"/>
      <c r="AZ67" s="2"/>
      <c r="BG67" s="7"/>
      <c r="BV67" s="7"/>
    </row>
    <row r="68" spans="1:74">
      <c r="N68" s="2"/>
      <c r="Q68" s="24"/>
      <c r="AZ68" s="2"/>
      <c r="BG68" s="7"/>
      <c r="BV68" s="7"/>
    </row>
    <row r="69" spans="1:74">
      <c r="N69" s="2"/>
      <c r="Q69" s="24"/>
      <c r="AZ69" s="2"/>
      <c r="BG69" s="7"/>
      <c r="BV69" s="7"/>
    </row>
    <row r="70" spans="1:74">
      <c r="N70" s="2"/>
      <c r="Q70" s="24"/>
      <c r="AZ70" s="2"/>
      <c r="BG70" s="7"/>
      <c r="BV70" s="7"/>
    </row>
    <row r="71" spans="1:74">
      <c r="N71" s="2"/>
      <c r="Q71" s="24"/>
      <c r="AZ71" s="2"/>
      <c r="BG71" s="7"/>
      <c r="BV71" s="7"/>
    </row>
    <row r="72" spans="1:74">
      <c r="N72" s="2"/>
      <c r="Q72" s="24"/>
      <c r="AZ72" s="2"/>
      <c r="BG72" s="7"/>
      <c r="BV72" s="7"/>
    </row>
    <row r="73" spans="1:74">
      <c r="N73" s="2"/>
      <c r="Q73" s="24"/>
      <c r="AZ73" s="2"/>
      <c r="BG73" s="7"/>
      <c r="BV73" s="7"/>
    </row>
    <row r="74" spans="1:74">
      <c r="N74" s="2"/>
      <c r="Q74" s="24"/>
      <c r="AZ74" s="2"/>
      <c r="BG74" s="7"/>
      <c r="BV74" s="7"/>
    </row>
    <row r="75" spans="1:74">
      <c r="N75" s="2"/>
      <c r="Q75" s="24"/>
      <c r="AZ75" s="2"/>
      <c r="BG75" s="7"/>
      <c r="BV75" s="7"/>
    </row>
    <row r="76" spans="1:74">
      <c r="N76" s="2"/>
      <c r="Q76" s="24"/>
      <c r="AZ76" s="2"/>
      <c r="BG76" s="7"/>
      <c r="BV76" s="7"/>
    </row>
    <row r="77" spans="1:74">
      <c r="N77" s="2"/>
      <c r="Q77" s="24"/>
      <c r="AZ77" s="2"/>
      <c r="BG77" s="7"/>
      <c r="BV77" s="7"/>
    </row>
    <row r="78" spans="1:74">
      <c r="N78" s="2"/>
      <c r="Q78" s="24"/>
      <c r="AZ78" s="2"/>
      <c r="BG78" s="7"/>
      <c r="BV78" s="7"/>
    </row>
    <row r="79" spans="1:74">
      <c r="N79" s="2"/>
      <c r="Q79" s="24"/>
      <c r="AZ79" s="2"/>
      <c r="BG79" s="7"/>
      <c r="BV79" s="7"/>
    </row>
    <row r="80" spans="1:74">
      <c r="N80" s="2"/>
      <c r="Q80" s="24"/>
      <c r="AZ80" s="2"/>
      <c r="BG80" s="7"/>
      <c r="BV80" s="7"/>
    </row>
    <row r="81" spans="6:74">
      <c r="F81" s="26"/>
      <c r="G81" s="26"/>
      <c r="N81" s="2"/>
      <c r="Q81" s="24"/>
      <c r="AZ81" s="2"/>
      <c r="BG81" s="7"/>
      <c r="BV81" s="7"/>
    </row>
    <row r="82" spans="6:74">
      <c r="N82" s="2"/>
      <c r="Q82" s="24"/>
      <c r="AZ82" s="2"/>
      <c r="BG82" s="7"/>
      <c r="BV82" s="7"/>
    </row>
    <row r="83" spans="6:74">
      <c r="N83" s="2"/>
      <c r="Q83" s="24"/>
      <c r="AZ83" s="2"/>
      <c r="BG83" s="7"/>
      <c r="BV83" s="7"/>
    </row>
    <row r="84" spans="6:74">
      <c r="N84" s="2"/>
      <c r="Q84" s="24"/>
      <c r="AZ84" s="2"/>
      <c r="BG84" s="7"/>
      <c r="BV84" s="7"/>
    </row>
    <row r="85" spans="6:74">
      <c r="N85" s="2"/>
      <c r="Q85" s="24"/>
      <c r="AZ85" s="2"/>
      <c r="BG85" s="7"/>
      <c r="BV85" s="7"/>
    </row>
    <row r="86" spans="6:74">
      <c r="N86" s="2"/>
      <c r="Q86" s="24"/>
      <c r="AZ86" s="2"/>
      <c r="BG86" s="7"/>
      <c r="BV86" s="7"/>
    </row>
    <row r="87" spans="6:74">
      <c r="N87" s="2"/>
      <c r="Q87" s="24"/>
      <c r="AZ87" s="2"/>
      <c r="BG87" s="7"/>
      <c r="BV87" s="7"/>
    </row>
    <row r="88" spans="6:74">
      <c r="N88" s="2"/>
      <c r="Q88" s="24"/>
      <c r="AZ88" s="2"/>
      <c r="BG88" s="7"/>
      <c r="BV88" s="7"/>
    </row>
    <row r="89" spans="6:74">
      <c r="N89" s="2"/>
      <c r="Q89" s="24"/>
      <c r="AZ89" s="2"/>
      <c r="BG89" s="7"/>
      <c r="BV89" s="7"/>
    </row>
    <row r="90" spans="6:74">
      <c r="N90" s="2"/>
      <c r="Q90" s="24"/>
      <c r="AZ90" s="2"/>
      <c r="BG90" s="7"/>
      <c r="BV90" s="7"/>
    </row>
    <row r="91" spans="6:74">
      <c r="N91" s="2"/>
      <c r="Q91" s="24"/>
      <c r="AZ91" s="2"/>
      <c r="BG91" s="7"/>
      <c r="BV91" s="7"/>
    </row>
    <row r="92" spans="6:74">
      <c r="N92" s="2"/>
      <c r="Q92" s="24"/>
      <c r="AZ92" s="2"/>
      <c r="BG92" s="7"/>
      <c r="BV92" s="7"/>
    </row>
    <row r="93" spans="6:74">
      <c r="N93" s="2"/>
      <c r="Q93" s="24"/>
      <c r="AZ93" s="2"/>
      <c r="BG93" s="7"/>
      <c r="BV93" s="7"/>
    </row>
    <row r="94" spans="6:74">
      <c r="N94" s="2"/>
      <c r="Q94" s="24"/>
      <c r="AZ94" s="2"/>
      <c r="BG94" s="7"/>
      <c r="BV94" s="7"/>
    </row>
    <row r="95" spans="6:74">
      <c r="N95" s="2"/>
      <c r="Q95" s="24"/>
      <c r="AZ95" s="2"/>
      <c r="BG95" s="7"/>
      <c r="BV95" s="7"/>
    </row>
    <row r="96" spans="6:74">
      <c r="N96" s="2"/>
      <c r="Q96" s="24"/>
      <c r="AZ96" s="2"/>
      <c r="BG96" s="7"/>
      <c r="BV96" s="7"/>
    </row>
    <row r="97" spans="1:74">
      <c r="N97" s="2"/>
      <c r="Q97" s="24"/>
      <c r="AZ97" s="2"/>
      <c r="BG97" s="7"/>
      <c r="BV97" s="7"/>
    </row>
    <row r="98" spans="1:74">
      <c r="N98" s="2"/>
      <c r="Q98" s="24"/>
      <c r="AZ98" s="2"/>
      <c r="BG98" s="7"/>
      <c r="BV98" s="7"/>
    </row>
    <row r="99" spans="1:74">
      <c r="N99" s="2"/>
      <c r="Q99" s="24"/>
      <c r="AZ99" s="2"/>
      <c r="BG99" s="7"/>
      <c r="BV99" s="7"/>
    </row>
    <row r="100" spans="1:74">
      <c r="N100" s="2"/>
      <c r="Q100" s="24"/>
      <c r="AZ100" s="2"/>
      <c r="BG100" s="7"/>
      <c r="BV100" s="7"/>
    </row>
    <row r="101" spans="1:74">
      <c r="N101" s="2"/>
      <c r="Q101" s="24"/>
      <c r="AZ101" s="2"/>
      <c r="BG101" s="7"/>
      <c r="BV101" s="7"/>
    </row>
    <row r="102" spans="1:74">
      <c r="N102" s="2"/>
      <c r="Q102" s="24"/>
      <c r="AZ102" s="2"/>
      <c r="BG102" s="7"/>
      <c r="BV102" s="7"/>
    </row>
    <row r="103" spans="1:74">
      <c r="N103" s="2"/>
      <c r="Q103" s="24"/>
      <c r="AZ103" s="2"/>
      <c r="BG103" s="7"/>
      <c r="BV103" s="7"/>
    </row>
    <row r="104" spans="1:74">
      <c r="N104" s="2"/>
      <c r="Q104" s="24"/>
      <c r="AZ104" s="2"/>
      <c r="BG104" s="7"/>
      <c r="BV104" s="7"/>
    </row>
    <row r="105" spans="1:74">
      <c r="E105" s="29"/>
      <c r="N105" s="2"/>
      <c r="Q105" s="24"/>
      <c r="AZ105" s="2"/>
      <c r="BG105" s="7"/>
      <c r="BV105" s="7"/>
    </row>
    <row r="106" spans="1:74">
      <c r="N106" s="2"/>
      <c r="Q106" s="24"/>
      <c r="AZ106" s="2"/>
      <c r="BG106" s="7"/>
      <c r="BV106" s="7"/>
    </row>
    <row r="107" spans="1:74">
      <c r="N107" s="2"/>
      <c r="Q107" s="24"/>
      <c r="AZ107" s="2"/>
      <c r="BG107" s="7"/>
      <c r="BV107" s="7"/>
    </row>
    <row r="108" spans="1:74">
      <c r="N108" s="2"/>
      <c r="Q108" s="24"/>
      <c r="AZ108" s="2"/>
      <c r="BG108" s="7"/>
      <c r="BV108" s="7"/>
    </row>
    <row r="109" spans="1:74">
      <c r="N109" s="2"/>
      <c r="Q109" s="24"/>
      <c r="AZ109" s="2"/>
      <c r="BG109" s="7"/>
      <c r="BV109" s="7"/>
    </row>
    <row r="110" spans="1:74">
      <c r="N110" s="2"/>
      <c r="Q110" s="24"/>
      <c r="AZ110" s="2"/>
      <c r="BG110" s="7"/>
      <c r="BV110" s="7"/>
    </row>
    <row r="111" spans="1:74">
      <c r="A111" s="9"/>
      <c r="B111" s="3"/>
      <c r="N111" s="2"/>
      <c r="Q111" s="24"/>
      <c r="AZ111" s="2"/>
      <c r="BG111" s="7"/>
      <c r="BV111" s="7"/>
    </row>
    <row r="112" spans="1:74">
      <c r="N112" s="2"/>
      <c r="Q112" s="24"/>
      <c r="AZ112" s="2"/>
      <c r="BG112" s="7"/>
      <c r="BV112" s="7"/>
    </row>
    <row r="113" spans="1:74">
      <c r="N113" s="2"/>
      <c r="Q113" s="24"/>
      <c r="AZ113" s="2"/>
      <c r="BG113" s="7"/>
      <c r="BV113" s="7"/>
    </row>
    <row r="114" spans="1:74">
      <c r="N114" s="2"/>
      <c r="Q114" s="24"/>
      <c r="AZ114" s="2"/>
      <c r="BG114" s="7"/>
      <c r="BV114" s="7"/>
    </row>
    <row r="115" spans="1:74">
      <c r="N115" s="2"/>
      <c r="Q115" s="24"/>
      <c r="AZ115" s="2"/>
      <c r="BG115" s="7"/>
      <c r="BV115" s="7"/>
    </row>
    <row r="116" spans="1:74">
      <c r="N116" s="2"/>
      <c r="Q116" s="24"/>
      <c r="AZ116" s="2"/>
      <c r="BG116" s="7"/>
      <c r="BV116" s="7"/>
    </row>
    <row r="117" spans="1:74">
      <c r="N117" s="2"/>
      <c r="Q117" s="24"/>
      <c r="AZ117" s="2"/>
      <c r="BG117" s="7"/>
      <c r="BV117" s="7"/>
    </row>
    <row r="118" spans="1:74">
      <c r="N118" s="2"/>
      <c r="Q118" s="24"/>
      <c r="AZ118" s="2"/>
      <c r="BG118" s="7"/>
      <c r="BV118" s="7"/>
    </row>
    <row r="119" spans="1:74">
      <c r="N119" s="2"/>
      <c r="Q119" s="24"/>
      <c r="AZ119" s="2"/>
      <c r="BG119" s="7"/>
      <c r="BV119" s="7"/>
    </row>
    <row r="120" spans="1:74">
      <c r="N120" s="2"/>
      <c r="Q120" s="24"/>
      <c r="AZ120" s="2"/>
      <c r="BG120" s="7"/>
      <c r="BV120" s="7"/>
    </row>
    <row r="121" spans="1:74">
      <c r="N121" s="2"/>
      <c r="Q121" s="24"/>
      <c r="AZ121" s="2"/>
      <c r="BG121" s="7"/>
      <c r="BV121" s="7"/>
    </row>
    <row r="122" spans="1:74">
      <c r="N122" s="2"/>
      <c r="Q122" s="24"/>
      <c r="AZ122" s="2"/>
      <c r="BG122" s="7"/>
      <c r="BV122" s="7"/>
    </row>
    <row r="123" spans="1:74">
      <c r="N123" s="2"/>
      <c r="Q123" s="24"/>
      <c r="AZ123" s="2"/>
      <c r="BG123" s="7"/>
      <c r="BV123" s="7"/>
    </row>
    <row r="124" spans="1:74">
      <c r="N124" s="2"/>
      <c r="Q124" s="24"/>
      <c r="AZ124" s="2"/>
      <c r="BG124" s="7"/>
      <c r="BV124" s="7"/>
    </row>
    <row r="125" spans="1:74">
      <c r="N125" s="2"/>
      <c r="Q125" s="24"/>
      <c r="AZ125" s="2"/>
      <c r="BG125" s="7"/>
      <c r="BV125" s="7"/>
    </row>
    <row r="126" spans="1:74">
      <c r="N126" s="2"/>
      <c r="Q126" s="24"/>
      <c r="AZ126" s="2"/>
      <c r="BG126" s="7"/>
      <c r="BV126" s="7"/>
    </row>
    <row r="127" spans="1:74">
      <c r="N127" s="2"/>
      <c r="Q127" s="24"/>
      <c r="AZ127" s="2"/>
      <c r="BG127" s="7"/>
      <c r="BV127" s="7"/>
    </row>
    <row r="128" spans="1:74">
      <c r="A128" s="3"/>
      <c r="N128" s="2"/>
      <c r="Q128" s="24"/>
      <c r="AZ128" s="2"/>
      <c r="BG128" s="7"/>
      <c r="BV128" s="7"/>
    </row>
    <row r="129" spans="1:74">
      <c r="A129" s="3"/>
      <c r="N129" s="2"/>
      <c r="Q129" s="24"/>
      <c r="AZ129" s="2"/>
      <c r="BG129" s="7"/>
      <c r="BV129" s="7"/>
    </row>
    <row r="130" spans="1:74">
      <c r="A130" s="3"/>
      <c r="B130" s="3"/>
      <c r="N130" s="2"/>
      <c r="Q130" s="24"/>
      <c r="AZ130" s="2"/>
      <c r="BG130" s="7"/>
      <c r="BV130" s="7"/>
    </row>
    <row r="131" spans="1:74">
      <c r="N131" s="2"/>
      <c r="Q131" s="24"/>
      <c r="AZ131" s="2"/>
      <c r="BG131" s="7"/>
      <c r="BV131" s="7"/>
    </row>
    <row r="132" spans="1:74">
      <c r="A132" s="3"/>
      <c r="B132" s="3"/>
      <c r="N132" s="2"/>
      <c r="Q132" s="24"/>
      <c r="AZ132" s="2"/>
      <c r="BG132" s="7"/>
      <c r="BV132" s="7"/>
    </row>
    <row r="133" spans="1:74">
      <c r="N133" s="2"/>
      <c r="Q133" s="24"/>
      <c r="AZ133" s="2"/>
      <c r="BG133" s="7"/>
      <c r="BV133" s="7"/>
    </row>
    <row r="134" spans="1:74">
      <c r="A134" s="3"/>
      <c r="B134" s="3"/>
      <c r="N134" s="2"/>
      <c r="Q134" s="24"/>
      <c r="AZ134" s="2"/>
      <c r="BG134" s="7"/>
      <c r="BV134" s="7"/>
    </row>
    <row r="135" spans="1:74">
      <c r="N135" s="2"/>
      <c r="Q135" s="24"/>
      <c r="AZ135" s="2"/>
      <c r="BG135" s="7"/>
      <c r="BV135" s="7"/>
    </row>
    <row r="136" spans="1:74">
      <c r="A136" s="3"/>
      <c r="B136" s="3"/>
      <c r="N136" s="2"/>
      <c r="Q136" s="24"/>
      <c r="AZ136" s="2"/>
      <c r="BG136" s="7"/>
      <c r="BV136" s="7"/>
    </row>
    <row r="137" spans="1:74">
      <c r="N137" s="2"/>
      <c r="Q137" s="24"/>
      <c r="AZ137" s="2"/>
      <c r="BG137" s="7"/>
      <c r="BV137" s="7"/>
    </row>
    <row r="138" spans="1:74">
      <c r="A138" s="3"/>
      <c r="B138" s="3"/>
      <c r="N138" s="2"/>
      <c r="Q138" s="24"/>
      <c r="AZ138" s="2"/>
      <c r="BG138" s="7"/>
      <c r="BV138" s="7"/>
    </row>
    <row r="139" spans="1:74">
      <c r="N139" s="2"/>
      <c r="Q139" s="24"/>
      <c r="AZ139" s="2"/>
      <c r="BG139" s="7"/>
      <c r="BV139" s="7"/>
    </row>
    <row r="140" spans="1:74">
      <c r="A140" s="3"/>
      <c r="B140" s="3"/>
      <c r="N140" s="2"/>
      <c r="Q140" s="24"/>
      <c r="AZ140" s="2"/>
      <c r="BG140" s="7"/>
      <c r="BV140" s="7"/>
    </row>
    <row r="141" spans="1:74">
      <c r="N141" s="2"/>
      <c r="Q141" s="24"/>
      <c r="AZ141" s="2"/>
      <c r="BG141" s="7"/>
      <c r="BV141" s="7"/>
    </row>
    <row r="142" spans="1:74">
      <c r="A142" s="3"/>
      <c r="B142" s="3"/>
      <c r="N142" s="2"/>
      <c r="Q142" s="24"/>
      <c r="AZ142" s="2"/>
      <c r="BG142" s="7"/>
      <c r="BV142" s="7"/>
    </row>
    <row r="143" spans="1:74">
      <c r="N143" s="2"/>
      <c r="Q143" s="24"/>
      <c r="AZ143" s="2"/>
      <c r="BG143" s="7"/>
      <c r="BV143" s="7"/>
    </row>
    <row r="144" spans="1:74">
      <c r="A144" s="3"/>
      <c r="B144" s="3"/>
      <c r="N144" s="2"/>
      <c r="Q144" s="24"/>
      <c r="AZ144" s="2"/>
      <c r="BG144" s="7"/>
      <c r="BV144" s="7"/>
    </row>
    <row r="145" spans="1:74">
      <c r="N145" s="2"/>
      <c r="Q145" s="24"/>
      <c r="AZ145" s="2"/>
      <c r="BG145" s="7"/>
      <c r="BV145" s="7"/>
    </row>
    <row r="146" spans="1:74">
      <c r="N146" s="2"/>
      <c r="Q146" s="24"/>
      <c r="AZ146" s="2"/>
      <c r="BG146" s="7"/>
      <c r="BV146" s="7"/>
    </row>
    <row r="147" spans="1:74">
      <c r="N147" s="2"/>
      <c r="Q147" s="24"/>
      <c r="AZ147" s="2"/>
      <c r="BG147" s="7"/>
      <c r="BV147" s="7"/>
    </row>
    <row r="148" spans="1:74">
      <c r="A148" s="3"/>
      <c r="N148" s="2"/>
      <c r="Q148" s="24"/>
      <c r="AZ148" s="2"/>
      <c r="BG148" s="7"/>
      <c r="BV148" s="7"/>
    </row>
    <row r="149" spans="1:74">
      <c r="A149" s="3"/>
      <c r="N149" s="2"/>
      <c r="Q149" s="24"/>
      <c r="AZ149" s="2"/>
      <c r="BG149" s="7"/>
      <c r="BV149" s="7"/>
    </row>
    <row r="150" spans="1:74">
      <c r="A150" s="3"/>
      <c r="B150" s="3"/>
      <c r="N150" s="2"/>
      <c r="Q150" s="24"/>
      <c r="AZ150" s="2"/>
      <c r="BG150" s="7"/>
      <c r="BV150" s="7"/>
    </row>
    <row r="151" spans="1:74">
      <c r="B151" s="3"/>
      <c r="N151" s="2"/>
      <c r="Q151" s="24"/>
      <c r="AZ151" s="2"/>
      <c r="BG151" s="7"/>
      <c r="BV151" s="7"/>
    </row>
    <row r="152" spans="1:74">
      <c r="B152" s="3"/>
      <c r="N152" s="2"/>
      <c r="Q152" s="24"/>
      <c r="AZ152" s="2"/>
      <c r="BG152" s="7"/>
      <c r="BV152" s="7"/>
    </row>
    <row r="153" spans="1:74">
      <c r="B153" s="3"/>
      <c r="N153" s="2"/>
      <c r="Q153" s="24"/>
      <c r="AZ153" s="2"/>
      <c r="BG153" s="7"/>
      <c r="BV153" s="7"/>
    </row>
    <row r="154" spans="1:74">
      <c r="B154" s="3"/>
      <c r="N154" s="2"/>
      <c r="Q154" s="24"/>
      <c r="AZ154" s="2"/>
      <c r="BG154" s="7"/>
      <c r="BV154" s="7"/>
    </row>
    <row r="155" spans="1:74">
      <c r="B155" s="3"/>
      <c r="N155" s="2"/>
      <c r="Q155" s="24"/>
      <c r="AZ155" s="2"/>
      <c r="BG155" s="7"/>
      <c r="BV155" s="7"/>
    </row>
    <row r="156" spans="1:74">
      <c r="B156" s="3"/>
      <c r="N156" s="2"/>
      <c r="Q156" s="24"/>
      <c r="AZ156" s="2"/>
      <c r="BG156" s="7"/>
      <c r="BV156" s="7"/>
    </row>
    <row r="157" spans="1:74">
      <c r="B157" s="3"/>
      <c r="N157" s="2"/>
      <c r="Q157" s="24"/>
      <c r="AZ157" s="2"/>
      <c r="BG157" s="7"/>
      <c r="BV157" s="7"/>
    </row>
    <row r="158" spans="1:74">
      <c r="N158" s="2"/>
      <c r="Q158" s="24"/>
      <c r="AZ158" s="2"/>
      <c r="BG158" s="7"/>
      <c r="BV158" s="7"/>
    </row>
    <row r="159" spans="1:74">
      <c r="N159" s="2"/>
      <c r="Q159" s="24"/>
      <c r="AZ159" s="2"/>
      <c r="BG159" s="7"/>
      <c r="BV159" s="7"/>
    </row>
    <row r="160" spans="1:74">
      <c r="N160" s="2"/>
      <c r="Q160" s="24"/>
      <c r="AZ160" s="2"/>
      <c r="BG160" s="7"/>
      <c r="BV160" s="7"/>
    </row>
    <row r="161" spans="1:74">
      <c r="A161" s="3"/>
      <c r="B161" s="3"/>
      <c r="N161" s="2"/>
      <c r="Q161" s="24"/>
      <c r="AZ161" s="2"/>
      <c r="BG161" s="7"/>
      <c r="BV161" s="7"/>
    </row>
    <row r="162" spans="1:74">
      <c r="B162" s="3"/>
      <c r="N162" s="2"/>
      <c r="Q162" s="24"/>
      <c r="AZ162" s="2"/>
      <c r="BG162" s="7"/>
      <c r="BV162" s="7"/>
    </row>
    <row r="163" spans="1:74">
      <c r="N163" s="2"/>
      <c r="Q163" s="24"/>
      <c r="AZ163" s="2"/>
      <c r="BG163" s="7"/>
      <c r="BV163" s="7"/>
    </row>
    <row r="164" spans="1:74">
      <c r="N164" s="2"/>
      <c r="Q164" s="24"/>
      <c r="AZ164" s="2"/>
      <c r="BG164" s="7"/>
      <c r="BV164" s="7"/>
    </row>
    <row r="165" spans="1:74">
      <c r="N165" s="2"/>
      <c r="Q165" s="24"/>
      <c r="AZ165" s="2"/>
      <c r="BG165" s="7"/>
      <c r="BV165" s="7"/>
    </row>
    <row r="166" spans="1:74">
      <c r="N166" s="2"/>
      <c r="Q166" s="24"/>
      <c r="AZ166" s="2"/>
      <c r="BG166" s="7"/>
      <c r="BV166" s="7"/>
    </row>
    <row r="167" spans="1:74">
      <c r="N167" s="2"/>
      <c r="Q167" s="24"/>
      <c r="AZ167" s="2"/>
      <c r="BG167" s="7"/>
      <c r="BV167" s="7"/>
    </row>
    <row r="168" spans="1:74">
      <c r="A168" s="3"/>
      <c r="N168" s="2"/>
      <c r="Q168" s="24"/>
      <c r="AZ168" s="2"/>
      <c r="BG168" s="7"/>
      <c r="BV168" s="7"/>
    </row>
    <row r="169" spans="1:74">
      <c r="A169" s="3"/>
      <c r="N169" s="2"/>
      <c r="Q169" s="24"/>
      <c r="AZ169" s="2"/>
      <c r="BG169" s="7"/>
      <c r="BV169" s="7"/>
    </row>
    <row r="170" spans="1:74">
      <c r="A170" s="3"/>
      <c r="B170" s="3"/>
      <c r="N170" s="2"/>
      <c r="Q170" s="24"/>
      <c r="AZ170" s="2"/>
      <c r="BG170" s="7"/>
      <c r="BV170" s="7"/>
    </row>
    <row r="171" spans="1:74">
      <c r="B171" s="3"/>
      <c r="N171" s="2"/>
      <c r="Q171" s="24"/>
      <c r="AZ171" s="2"/>
      <c r="BG171" s="7"/>
      <c r="BV171" s="7"/>
    </row>
    <row r="172" spans="1:74">
      <c r="A172" s="3"/>
      <c r="B172" s="3"/>
      <c r="N172" s="2"/>
      <c r="Q172" s="24"/>
      <c r="AZ172" s="2"/>
      <c r="BG172" s="7"/>
      <c r="BV172" s="7"/>
    </row>
    <row r="173" spans="1:74">
      <c r="N173" s="2"/>
      <c r="Q173" s="24"/>
      <c r="AZ173" s="2"/>
      <c r="BG173" s="7"/>
      <c r="BV173" s="7"/>
    </row>
    <row r="174" spans="1:74">
      <c r="N174" s="2"/>
      <c r="Q174" s="24"/>
      <c r="AZ174" s="2"/>
      <c r="BG174" s="7"/>
      <c r="BV174" s="7"/>
    </row>
    <row r="175" spans="1:74">
      <c r="AZ175" s="2"/>
      <c r="BC175" s="7"/>
    </row>
    <row r="176" spans="1:74">
      <c r="AZ176" s="2"/>
      <c r="BC176" s="7"/>
    </row>
    <row r="177" spans="52:55">
      <c r="AZ177" s="2"/>
      <c r="BC177" s="7"/>
    </row>
    <row r="178" spans="52:55">
      <c r="AZ178" s="2"/>
      <c r="BC178" s="7"/>
    </row>
    <row r="179" spans="52:55">
      <c r="AZ179" s="2"/>
      <c r="BC179" s="7"/>
    </row>
    <row r="180" spans="52:55">
      <c r="AZ180" s="2"/>
      <c r="BC180" s="7"/>
    </row>
    <row r="181" spans="52:55">
      <c r="AZ181" s="2"/>
      <c r="BC181" s="7"/>
    </row>
    <row r="182" spans="52:55">
      <c r="AZ182" s="2"/>
      <c r="BC182" s="7"/>
    </row>
    <row r="183" spans="52:55">
      <c r="AZ183" s="2"/>
      <c r="BC183" s="7"/>
    </row>
    <row r="184" spans="52:55">
      <c r="AZ184" s="2"/>
      <c r="BC184" s="7"/>
    </row>
    <row r="185" spans="52:55">
      <c r="AZ185" s="2"/>
      <c r="BC185" s="7"/>
    </row>
    <row r="186" spans="52:55">
      <c r="AZ186" s="2"/>
      <c r="BC186" s="7"/>
    </row>
    <row r="187" spans="52:55">
      <c r="AZ187" s="2"/>
      <c r="BC187" s="7"/>
    </row>
    <row r="188" spans="52:55">
      <c r="AZ188" s="2"/>
      <c r="BC188" s="7"/>
    </row>
    <row r="189" spans="52:55">
      <c r="AZ189" s="2"/>
      <c r="BC189" s="7"/>
    </row>
    <row r="190" spans="52:55">
      <c r="AZ190" s="2"/>
      <c r="BC190" s="7"/>
    </row>
    <row r="191" spans="52:55">
      <c r="AZ191" s="2"/>
      <c r="BC191" s="7"/>
    </row>
    <row r="192" spans="52:55">
      <c r="AZ192" s="2"/>
      <c r="BC192" s="7"/>
    </row>
    <row r="193" spans="52:55">
      <c r="AZ193" s="2"/>
      <c r="BC193" s="7"/>
    </row>
    <row r="194" spans="52:55">
      <c r="AZ194" s="2"/>
      <c r="BC194" s="7"/>
    </row>
    <row r="195" spans="52:55">
      <c r="AZ195" s="2"/>
      <c r="BC195" s="7"/>
    </row>
    <row r="196" spans="52:55">
      <c r="AZ196" s="2"/>
      <c r="BC196" s="7"/>
    </row>
    <row r="197" spans="52:55">
      <c r="AZ197" s="2"/>
      <c r="BC197" s="7"/>
    </row>
    <row r="198" spans="52:55">
      <c r="AZ198" s="2"/>
      <c r="BC198" s="7"/>
    </row>
    <row r="199" spans="52:55">
      <c r="AZ199" s="2"/>
      <c r="BC199" s="7"/>
    </row>
    <row r="200" spans="52:55">
      <c r="AZ200" s="2"/>
      <c r="BC200" s="7"/>
    </row>
    <row r="201" spans="52:55">
      <c r="AZ201" s="2"/>
      <c r="BC201" s="7"/>
    </row>
    <row r="202" spans="52:55">
      <c r="AZ202" s="2"/>
      <c r="BC202" s="7"/>
    </row>
    <row r="203" spans="52:55">
      <c r="AZ203" s="2"/>
      <c r="BC203" s="7"/>
    </row>
    <row r="204" spans="52:55">
      <c r="AZ204" s="2"/>
      <c r="BC204" s="7"/>
    </row>
    <row r="205" spans="52:55">
      <c r="AZ205" s="2"/>
      <c r="BC205" s="7"/>
    </row>
    <row r="206" spans="52:55">
      <c r="AZ206" s="2"/>
      <c r="BC206" s="7"/>
    </row>
    <row r="207" spans="52:55">
      <c r="AZ207" s="2"/>
      <c r="BC207" s="7"/>
    </row>
    <row r="208" spans="52:55">
      <c r="AZ208" s="2"/>
      <c r="BC208" s="7"/>
    </row>
    <row r="209" spans="52:55">
      <c r="AZ209" s="2"/>
      <c r="BC209" s="7"/>
    </row>
    <row r="210" spans="52:55">
      <c r="AZ210" s="2"/>
      <c r="BC210" s="7"/>
    </row>
    <row r="211" spans="52:55">
      <c r="AZ211" s="2"/>
      <c r="BC211" s="7"/>
    </row>
    <row r="212" spans="52:55">
      <c r="AZ212" s="2"/>
      <c r="BC212" s="7"/>
    </row>
    <row r="213" spans="52:55">
      <c r="AZ213" s="2"/>
      <c r="BC213" s="7"/>
    </row>
    <row r="214" spans="52:55">
      <c r="AZ214" s="2"/>
      <c r="BC214" s="7"/>
    </row>
    <row r="215" spans="52:55">
      <c r="AZ215" s="2"/>
      <c r="BC215" s="7"/>
    </row>
    <row r="216" spans="52:55">
      <c r="AZ216" s="2"/>
      <c r="BC216" s="7"/>
    </row>
  </sheetData>
  <printOptions horizontalCentered="1" gridLinesSet="0"/>
  <pageMargins left="0.25" right="0.25" top="0.7" bottom="0.37" header="0.5" footer="0.5"/>
  <pageSetup scale="80" orientation="landscape" horizontalDpi="1200" verticalDpi="1200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9.1406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24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28515625" style="2" customWidth="1"/>
    <col min="28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5703125" style="2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4257812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7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8.140625" style="2" bestFit="1" customWidth="1"/>
    <col min="57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85546875" style="2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8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36" t="s">
        <v>109</v>
      </c>
      <c r="B1" s="36"/>
      <c r="C1" s="36"/>
      <c r="D1" s="36"/>
      <c r="E1" s="36"/>
      <c r="F1" s="36"/>
      <c r="G1" s="36"/>
      <c r="H1" s="56"/>
      <c r="K1" s="1" t="s">
        <v>1</v>
      </c>
      <c r="N1" s="2"/>
      <c r="R1" s="24"/>
      <c r="T1" s="3"/>
      <c r="U1" s="3"/>
      <c r="AD1" s="1" t="s">
        <v>2</v>
      </c>
      <c r="AG1" s="3"/>
      <c r="AP1" s="1" t="s">
        <v>3</v>
      </c>
      <c r="AZ1" s="2"/>
      <c r="BC1" s="4"/>
      <c r="BG1" s="1" t="s">
        <v>4</v>
      </c>
      <c r="BJ1" s="3"/>
      <c r="BV1" s="1" t="s">
        <v>217</v>
      </c>
      <c r="BY1" s="3"/>
    </row>
    <row r="2" spans="1:106">
      <c r="A2" s="36" t="s">
        <v>108</v>
      </c>
      <c r="B2" s="36"/>
      <c r="C2" s="36"/>
      <c r="D2" s="36"/>
      <c r="E2" s="36"/>
      <c r="F2" s="36"/>
      <c r="G2" s="36"/>
      <c r="H2" s="56"/>
      <c r="K2" s="1" t="s">
        <v>5</v>
      </c>
      <c r="N2" s="2"/>
      <c r="R2" s="24"/>
      <c r="T2" s="3"/>
      <c r="U2" s="3"/>
      <c r="AD2" s="1" t="s">
        <v>6</v>
      </c>
      <c r="AG2" s="3"/>
      <c r="AP2" s="1" t="s">
        <v>7</v>
      </c>
      <c r="AZ2" s="2"/>
      <c r="BC2" s="4"/>
      <c r="BD2" s="4"/>
      <c r="BG2" s="1" t="s">
        <v>8</v>
      </c>
      <c r="BJ2" s="3"/>
      <c r="BO2" s="3"/>
      <c r="BV2" s="1" t="s">
        <v>218</v>
      </c>
      <c r="BY2" s="3"/>
    </row>
    <row r="3" spans="1:106">
      <c r="N3" s="2"/>
      <c r="R3" s="24"/>
      <c r="AZ3" s="2"/>
      <c r="BD3" s="4"/>
      <c r="BG3" s="7"/>
      <c r="BO3" s="3"/>
      <c r="BV3" s="7"/>
    </row>
    <row r="4" spans="1:106">
      <c r="A4" s="5" t="s">
        <v>9</v>
      </c>
      <c r="B4" s="6" t="s">
        <v>94</v>
      </c>
      <c r="K4" s="3" t="s">
        <v>9</v>
      </c>
      <c r="M4" s="9" t="str">
        <f>B4</f>
        <v>Montana-Dakota Utilities Co.</v>
      </c>
      <c r="N4" s="2"/>
      <c r="R4" s="24"/>
      <c r="S4" s="113"/>
      <c r="AD4" s="3" t="s">
        <v>9</v>
      </c>
      <c r="AF4" s="9" t="str">
        <f>B4</f>
        <v>Montana-Dakota Utilities Co.</v>
      </c>
      <c r="AP4" s="3" t="s">
        <v>11</v>
      </c>
      <c r="AR4" s="9" t="str">
        <f>AF4</f>
        <v>Montana-Dakota Utilities Co.</v>
      </c>
      <c r="AZ4" s="2"/>
      <c r="BH4" s="2" t="s">
        <v>11</v>
      </c>
      <c r="BI4" s="9" t="str">
        <f>AR4</f>
        <v>Montana-Dakota Utilities Co.</v>
      </c>
      <c r="BW4" s="2" t="s">
        <v>11</v>
      </c>
      <c r="BX4" s="9" t="str">
        <f>BI4</f>
        <v>Montana-Dakota Utilities Co.</v>
      </c>
    </row>
    <row r="5" spans="1:106">
      <c r="A5" s="5" t="s">
        <v>10</v>
      </c>
      <c r="B5" s="8" t="s">
        <v>284</v>
      </c>
      <c r="K5" s="3" t="s">
        <v>10</v>
      </c>
      <c r="M5" s="9" t="str">
        <f>$B$5</f>
        <v>Commercial 95+% AFUE Furnace - New</v>
      </c>
      <c r="N5" s="2"/>
      <c r="R5" s="24"/>
      <c r="AD5" s="3" t="s">
        <v>10</v>
      </c>
      <c r="AF5" s="9" t="str">
        <f>$B$5</f>
        <v>Commercial 95+% AFUE Furnace - New</v>
      </c>
      <c r="AP5" s="3" t="s">
        <v>12</v>
      </c>
      <c r="AR5" s="9" t="str">
        <f>$B$5</f>
        <v>Commercial 95+% AFUE Furnace - New</v>
      </c>
      <c r="AZ5" s="2"/>
      <c r="BH5" s="2" t="s">
        <v>12</v>
      </c>
      <c r="BI5" s="9" t="str">
        <f>$B$5</f>
        <v>Commercial 95+% AFUE Furnace - New</v>
      </c>
      <c r="BW5" s="2" t="s">
        <v>12</v>
      </c>
      <c r="BX5" s="9" t="str">
        <f>$B$5</f>
        <v>Commercial 95+% AFUE Furnace - New</v>
      </c>
    </row>
    <row r="6" spans="1:106">
      <c r="A6" s="5" t="s">
        <v>202</v>
      </c>
      <c r="B6" s="6">
        <f>'Total Program'!$B$6</f>
        <v>2025</v>
      </c>
      <c r="N6" s="2"/>
      <c r="R6" s="24"/>
      <c r="AZ6" s="2"/>
      <c r="BG6" s="7"/>
      <c r="BV6" s="7"/>
    </row>
    <row r="7" spans="1:106">
      <c r="N7" s="31" t="s">
        <v>14</v>
      </c>
      <c r="O7" s="31"/>
      <c r="P7" s="31"/>
      <c r="Q7" s="31"/>
      <c r="R7" s="81"/>
      <c r="S7" s="31"/>
      <c r="T7" s="31"/>
      <c r="U7" s="31"/>
      <c r="V7" s="31"/>
      <c r="X7" s="65" t="s">
        <v>15</v>
      </c>
      <c r="Y7" s="65"/>
      <c r="Z7" s="80"/>
      <c r="AA7" s="80"/>
      <c r="AB7" s="7"/>
      <c r="AF7" s="31" t="s">
        <v>14</v>
      </c>
      <c r="AG7" s="79"/>
      <c r="AH7" s="79"/>
      <c r="AJ7" s="65" t="s">
        <v>15</v>
      </c>
      <c r="AK7" s="65"/>
      <c r="AL7" s="65"/>
      <c r="AN7" s="56" t="s">
        <v>81</v>
      </c>
      <c r="AR7" s="31" t="s">
        <v>14</v>
      </c>
      <c r="AS7" s="31"/>
      <c r="AT7" s="31"/>
      <c r="AU7" s="31"/>
      <c r="AV7" s="31"/>
      <c r="AW7" s="31"/>
      <c r="AX7" s="31"/>
      <c r="AY7" s="31"/>
      <c r="AZ7" s="31"/>
      <c r="BB7" s="65" t="s">
        <v>15</v>
      </c>
      <c r="BC7" s="65"/>
      <c r="BD7" s="65"/>
      <c r="BE7" s="36" t="s">
        <v>81</v>
      </c>
      <c r="BG7" s="7"/>
      <c r="BI7" s="31" t="s">
        <v>14</v>
      </c>
      <c r="BJ7" s="79"/>
      <c r="BK7" s="79"/>
      <c r="BL7" s="79"/>
      <c r="BM7" s="79"/>
      <c r="BN7" s="79"/>
      <c r="BO7" s="79"/>
      <c r="BP7" s="79"/>
      <c r="BR7" s="88" t="s">
        <v>15</v>
      </c>
      <c r="BS7" s="36" t="s">
        <v>81</v>
      </c>
      <c r="BV7" s="7"/>
      <c r="BX7" s="31" t="s">
        <v>14</v>
      </c>
      <c r="BY7" s="79"/>
      <c r="BZ7" s="79"/>
      <c r="CA7" s="79"/>
      <c r="CC7" s="65" t="s">
        <v>15</v>
      </c>
      <c r="CD7" s="65"/>
      <c r="CE7" s="65"/>
      <c r="CF7" s="36" t="s">
        <v>81</v>
      </c>
    </row>
    <row r="8" spans="1:106">
      <c r="A8" s="100" t="s">
        <v>13</v>
      </c>
      <c r="B8" s="100"/>
      <c r="C8" s="10"/>
      <c r="E8" s="100"/>
      <c r="F8" s="106">
        <f>+'Total Program Inputs'!C6</f>
        <v>2025</v>
      </c>
      <c r="G8" s="7"/>
      <c r="H8" s="114"/>
      <c r="M8" s="101"/>
      <c r="N8" s="101"/>
      <c r="Q8" s="101"/>
      <c r="R8" s="24"/>
      <c r="S8" s="101"/>
      <c r="T8" s="101"/>
      <c r="U8" s="101"/>
      <c r="V8" s="101"/>
      <c r="W8" s="101"/>
      <c r="X8" s="101"/>
      <c r="Z8" s="101"/>
      <c r="AA8" s="7"/>
      <c r="AB8" s="7" t="s">
        <v>17</v>
      </c>
      <c r="AF8" s="101"/>
      <c r="AG8" s="101"/>
      <c r="AH8" s="101"/>
      <c r="AM8" s="101"/>
      <c r="AN8" s="7" t="s">
        <v>17</v>
      </c>
      <c r="AT8" s="7" t="s">
        <v>24</v>
      </c>
      <c r="AU8" s="101"/>
      <c r="AV8" s="7"/>
      <c r="AW8" s="101"/>
      <c r="AX8" s="7"/>
      <c r="AY8" s="101"/>
      <c r="AZ8" s="101"/>
      <c r="BA8" s="101"/>
      <c r="BB8" s="101"/>
      <c r="BC8" s="101"/>
      <c r="BD8" s="101"/>
      <c r="BE8" s="7" t="s">
        <v>17</v>
      </c>
      <c r="BG8" s="7"/>
      <c r="BH8" s="7"/>
      <c r="BI8" s="7"/>
      <c r="BT8" s="7" t="s">
        <v>17</v>
      </c>
      <c r="BV8" s="7"/>
      <c r="BW8" s="7"/>
      <c r="BX8" s="7"/>
      <c r="CG8" s="7" t="s">
        <v>17</v>
      </c>
      <c r="DA8" s="101"/>
      <c r="DB8" s="101"/>
    </row>
    <row r="9" spans="1:106">
      <c r="A9" s="3"/>
      <c r="E9" s="3"/>
      <c r="M9" s="7" t="s">
        <v>20</v>
      </c>
      <c r="N9" s="7" t="s">
        <v>23</v>
      </c>
      <c r="O9" s="7" t="s">
        <v>23</v>
      </c>
      <c r="P9" s="102" t="s">
        <v>21</v>
      </c>
      <c r="Q9" s="102" t="s">
        <v>21</v>
      </c>
      <c r="R9" s="103" t="s">
        <v>20</v>
      </c>
      <c r="S9" s="104" t="s">
        <v>97</v>
      </c>
      <c r="T9" s="7" t="s">
        <v>31</v>
      </c>
      <c r="U9" s="103" t="s">
        <v>20</v>
      </c>
      <c r="V9" s="7"/>
      <c r="W9" s="104" t="s">
        <v>96</v>
      </c>
      <c r="Y9" s="7" t="s">
        <v>35</v>
      </c>
      <c r="Z9" s="7"/>
      <c r="AA9" s="7" t="s">
        <v>20</v>
      </c>
      <c r="AB9" s="7" t="s">
        <v>14</v>
      </c>
      <c r="AF9" s="104" t="s">
        <v>20</v>
      </c>
      <c r="AG9" s="103" t="s">
        <v>20</v>
      </c>
      <c r="AH9" s="104" t="s">
        <v>17</v>
      </c>
      <c r="AJ9" s="7" t="s">
        <v>35</v>
      </c>
      <c r="AK9" s="7"/>
      <c r="AL9" s="7" t="s">
        <v>22</v>
      </c>
      <c r="AN9" s="7" t="s">
        <v>14</v>
      </c>
      <c r="AR9" s="104" t="s">
        <v>20</v>
      </c>
      <c r="AS9" s="7" t="s">
        <v>20</v>
      </c>
      <c r="AT9" s="7" t="s">
        <v>36</v>
      </c>
      <c r="AU9" s="7" t="s">
        <v>24</v>
      </c>
      <c r="AV9" s="102" t="s">
        <v>37</v>
      </c>
      <c r="AW9" s="102" t="s">
        <v>37</v>
      </c>
      <c r="AX9" s="7"/>
      <c r="AZ9" s="7" t="s">
        <v>17</v>
      </c>
      <c r="BB9" s="7" t="s">
        <v>22</v>
      </c>
      <c r="BC9" s="7" t="s">
        <v>39</v>
      </c>
      <c r="BD9" s="7" t="s">
        <v>17</v>
      </c>
      <c r="BE9" s="7" t="s">
        <v>14</v>
      </c>
      <c r="BG9" s="7"/>
      <c r="BH9" s="7"/>
      <c r="BI9" s="7"/>
      <c r="BJ9" s="7" t="s">
        <v>20</v>
      </c>
      <c r="BL9" s="7" t="s">
        <v>23</v>
      </c>
      <c r="BM9" s="7" t="s">
        <v>24</v>
      </c>
      <c r="BN9" s="7" t="s">
        <v>24</v>
      </c>
      <c r="BO9" s="7"/>
      <c r="BP9" s="7" t="s">
        <v>20</v>
      </c>
      <c r="BR9" s="7" t="s">
        <v>26</v>
      </c>
      <c r="BS9" s="7"/>
      <c r="BT9" s="7" t="s">
        <v>14</v>
      </c>
      <c r="BV9" s="7"/>
      <c r="BW9" s="7"/>
      <c r="BX9" s="7" t="s">
        <v>20</v>
      </c>
      <c r="BY9" s="7" t="s">
        <v>20</v>
      </c>
      <c r="BZ9" s="7" t="s">
        <v>24</v>
      </c>
      <c r="CA9" s="7" t="s">
        <v>20</v>
      </c>
      <c r="CC9" s="7" t="s">
        <v>22</v>
      </c>
      <c r="CD9" s="7" t="s">
        <v>39</v>
      </c>
      <c r="CE9" s="114"/>
      <c r="CF9" s="7"/>
      <c r="CG9" s="7" t="s">
        <v>14</v>
      </c>
    </row>
    <row r="10" spans="1:106">
      <c r="A10" s="3" t="s">
        <v>104</v>
      </c>
      <c r="C10" s="11">
        <f>+'Gas Input Table Summary'!$E$7</f>
        <v>6.9710000000000001</v>
      </c>
      <c r="D10" s="12"/>
      <c r="E10" s="3" t="s">
        <v>16</v>
      </c>
      <c r="J10" s="15"/>
      <c r="M10" s="7" t="s">
        <v>28</v>
      </c>
      <c r="N10" s="7" t="s">
        <v>29</v>
      </c>
      <c r="O10" s="7" t="s">
        <v>29</v>
      </c>
      <c r="P10" s="102" t="s">
        <v>30</v>
      </c>
      <c r="Q10" s="102" t="s">
        <v>30</v>
      </c>
      <c r="R10" s="103" t="s">
        <v>36</v>
      </c>
      <c r="S10" s="7" t="s">
        <v>31</v>
      </c>
      <c r="T10" s="7" t="s">
        <v>38</v>
      </c>
      <c r="U10" s="103" t="s">
        <v>31</v>
      </c>
      <c r="V10" s="7" t="s">
        <v>20</v>
      </c>
      <c r="W10" s="7" t="s">
        <v>119</v>
      </c>
      <c r="X10" s="7" t="s">
        <v>92</v>
      </c>
      <c r="Y10" s="7" t="s">
        <v>145</v>
      </c>
      <c r="Z10" s="7" t="s">
        <v>118</v>
      </c>
      <c r="AA10" s="7" t="s">
        <v>35</v>
      </c>
      <c r="AB10" s="7" t="s">
        <v>34</v>
      </c>
      <c r="AF10" s="104" t="s">
        <v>36</v>
      </c>
      <c r="AG10" s="103" t="s">
        <v>31</v>
      </c>
      <c r="AH10" s="104" t="s">
        <v>20</v>
      </c>
      <c r="AJ10" s="7" t="s">
        <v>145</v>
      </c>
      <c r="AK10" s="7" t="s">
        <v>118</v>
      </c>
      <c r="AL10" s="7" t="s">
        <v>35</v>
      </c>
      <c r="AN10" s="7" t="s">
        <v>34</v>
      </c>
      <c r="AR10" s="7" t="s">
        <v>28</v>
      </c>
      <c r="AS10" s="7" t="s">
        <v>132</v>
      </c>
      <c r="AT10" s="7" t="s">
        <v>38</v>
      </c>
      <c r="AU10" s="7" t="s">
        <v>36</v>
      </c>
      <c r="AV10" s="7" t="s">
        <v>99</v>
      </c>
      <c r="AW10" s="104" t="s">
        <v>99</v>
      </c>
      <c r="AX10" s="7"/>
      <c r="AY10" s="102"/>
      <c r="AZ10" s="7" t="s">
        <v>20</v>
      </c>
      <c r="BB10" s="7" t="s">
        <v>35</v>
      </c>
      <c r="BC10" s="104" t="s">
        <v>100</v>
      </c>
      <c r="BD10" s="7" t="s">
        <v>20</v>
      </c>
      <c r="BE10" s="7" t="s">
        <v>34</v>
      </c>
      <c r="BG10" s="7"/>
      <c r="BH10" s="7"/>
      <c r="BI10" s="7" t="s">
        <v>25</v>
      </c>
      <c r="BJ10" s="7" t="s">
        <v>28</v>
      </c>
      <c r="BK10" s="7" t="s">
        <v>32</v>
      </c>
      <c r="BL10" s="7" t="s">
        <v>33</v>
      </c>
      <c r="BM10" s="7" t="s">
        <v>137</v>
      </c>
      <c r="BN10" s="7" t="s">
        <v>36</v>
      </c>
      <c r="BO10" s="7"/>
      <c r="BP10" s="7" t="s">
        <v>17</v>
      </c>
      <c r="BR10" s="7" t="s">
        <v>112</v>
      </c>
      <c r="BS10" s="7"/>
      <c r="BT10" s="7" t="s">
        <v>34</v>
      </c>
      <c r="BV10" s="7"/>
      <c r="BW10" s="7"/>
      <c r="BX10" s="7" t="s">
        <v>28</v>
      </c>
      <c r="BY10" s="114" t="s">
        <v>31</v>
      </c>
      <c r="BZ10" s="7" t="s">
        <v>36</v>
      </c>
      <c r="CA10" s="7" t="s">
        <v>17</v>
      </c>
      <c r="CC10" s="7" t="s">
        <v>35</v>
      </c>
      <c r="CD10" s="104" t="s">
        <v>100</v>
      </c>
      <c r="CE10" s="114" t="s">
        <v>20</v>
      </c>
      <c r="CF10" s="7"/>
      <c r="CG10" s="7" t="s">
        <v>34</v>
      </c>
    </row>
    <row r="11" spans="1:106">
      <c r="A11" s="3" t="s">
        <v>18</v>
      </c>
      <c r="C11" s="13">
        <f>+'Gas Input Table Summary'!$E$8</f>
        <v>0.03</v>
      </c>
      <c r="E11" s="3" t="s">
        <v>19</v>
      </c>
      <c r="F11" s="137">
        <f>+'Total Program Inputs'!M18</f>
        <v>102</v>
      </c>
      <c r="G11" s="256"/>
      <c r="H11" s="256"/>
      <c r="J11" s="5" t="s">
        <v>42</v>
      </c>
      <c r="M11" s="7" t="s">
        <v>44</v>
      </c>
      <c r="N11" s="7" t="s">
        <v>107</v>
      </c>
      <c r="O11" s="7" t="s">
        <v>38</v>
      </c>
      <c r="P11" s="102" t="s">
        <v>107</v>
      </c>
      <c r="Q11" s="102" t="s">
        <v>38</v>
      </c>
      <c r="R11" s="103" t="s">
        <v>38</v>
      </c>
      <c r="S11" s="7" t="s">
        <v>44</v>
      </c>
      <c r="T11" s="7" t="s">
        <v>95</v>
      </c>
      <c r="U11" s="103" t="s">
        <v>38</v>
      </c>
      <c r="V11" s="7" t="s">
        <v>38</v>
      </c>
      <c r="W11" s="7" t="s">
        <v>120</v>
      </c>
      <c r="X11" s="7" t="s">
        <v>93</v>
      </c>
      <c r="Y11" s="7" t="s">
        <v>15</v>
      </c>
      <c r="Z11" s="7" t="s">
        <v>15</v>
      </c>
      <c r="AA11" s="7" t="s">
        <v>15</v>
      </c>
      <c r="AB11" s="7" t="s">
        <v>15</v>
      </c>
      <c r="AF11" s="7" t="s">
        <v>38</v>
      </c>
      <c r="AG11" s="103" t="s">
        <v>38</v>
      </c>
      <c r="AH11" s="103" t="s">
        <v>38</v>
      </c>
      <c r="AJ11" s="7" t="s">
        <v>15</v>
      </c>
      <c r="AK11" s="7" t="s">
        <v>15</v>
      </c>
      <c r="AL11" s="7" t="s">
        <v>15</v>
      </c>
      <c r="AN11" s="7" t="s">
        <v>15</v>
      </c>
      <c r="AR11" s="7" t="s">
        <v>38</v>
      </c>
      <c r="AS11" s="7" t="s">
        <v>38</v>
      </c>
      <c r="AT11" s="7" t="s">
        <v>134</v>
      </c>
      <c r="AU11" s="7" t="s">
        <v>38</v>
      </c>
      <c r="AV11" s="105" t="s">
        <v>133</v>
      </c>
      <c r="AW11" s="105" t="s">
        <v>38</v>
      </c>
      <c r="AX11" s="7"/>
      <c r="AY11" s="102"/>
      <c r="AZ11" s="104" t="s">
        <v>38</v>
      </c>
      <c r="BB11" s="7" t="s">
        <v>15</v>
      </c>
      <c r="BC11" s="48" t="s">
        <v>101</v>
      </c>
      <c r="BD11" s="104" t="s">
        <v>15</v>
      </c>
      <c r="BE11" s="7" t="s">
        <v>15</v>
      </c>
      <c r="BH11" s="7"/>
      <c r="BI11" s="7" t="s">
        <v>46</v>
      </c>
      <c r="BJ11" s="7" t="s">
        <v>44</v>
      </c>
      <c r="BK11" s="7" t="s">
        <v>45</v>
      </c>
      <c r="BL11" s="7" t="s">
        <v>38</v>
      </c>
      <c r="BM11" s="7" t="s">
        <v>0</v>
      </c>
      <c r="BN11" s="7" t="s">
        <v>38</v>
      </c>
      <c r="BO11" s="7"/>
      <c r="BP11" s="7" t="s">
        <v>14</v>
      </c>
      <c r="BR11" s="7" t="s">
        <v>15</v>
      </c>
      <c r="BS11" s="7"/>
      <c r="BT11" s="7" t="s">
        <v>15</v>
      </c>
      <c r="BW11" s="7"/>
      <c r="BX11" s="114" t="s">
        <v>38</v>
      </c>
      <c r="BY11" s="114" t="s">
        <v>38</v>
      </c>
      <c r="BZ11" s="7" t="s">
        <v>38</v>
      </c>
      <c r="CA11" s="7" t="s">
        <v>14</v>
      </c>
      <c r="CC11" s="7" t="s">
        <v>15</v>
      </c>
      <c r="CD11" s="48" t="s">
        <v>101</v>
      </c>
      <c r="CE11" s="7" t="s">
        <v>15</v>
      </c>
      <c r="CF11" s="7"/>
      <c r="CG11" s="7" t="s">
        <v>15</v>
      </c>
    </row>
    <row r="12" spans="1:106">
      <c r="A12" s="3"/>
      <c r="C12" s="13"/>
      <c r="E12" s="3" t="s">
        <v>27</v>
      </c>
      <c r="F12" s="129">
        <f>+'Total Program Inputs'!I18</f>
        <v>300</v>
      </c>
      <c r="G12" s="22"/>
      <c r="H12" s="22"/>
      <c r="L12" s="106" t="s">
        <v>43</v>
      </c>
      <c r="M12" s="106" t="s">
        <v>48</v>
      </c>
      <c r="N12" s="106" t="s">
        <v>49</v>
      </c>
      <c r="O12" s="106" t="s">
        <v>50</v>
      </c>
      <c r="P12" s="106" t="s">
        <v>51</v>
      </c>
      <c r="Q12" s="106" t="s">
        <v>52</v>
      </c>
      <c r="R12" s="106" t="s">
        <v>53</v>
      </c>
      <c r="S12" s="106" t="s">
        <v>54</v>
      </c>
      <c r="T12" s="106" t="s">
        <v>55</v>
      </c>
      <c r="U12" s="106" t="s">
        <v>56</v>
      </c>
      <c r="V12" s="106" t="s">
        <v>57</v>
      </c>
      <c r="W12" s="106" t="s">
        <v>58</v>
      </c>
      <c r="X12" s="106" t="s">
        <v>59</v>
      </c>
      <c r="Y12" s="106" t="s">
        <v>60</v>
      </c>
      <c r="Z12" s="106" t="s">
        <v>61</v>
      </c>
      <c r="AA12" s="106" t="s">
        <v>138</v>
      </c>
      <c r="AB12" s="106" t="s">
        <v>146</v>
      </c>
      <c r="AE12" s="106" t="s">
        <v>43</v>
      </c>
      <c r="AF12" s="106" t="s">
        <v>48</v>
      </c>
      <c r="AG12" s="106" t="s">
        <v>49</v>
      </c>
      <c r="AH12" s="106" t="s">
        <v>50</v>
      </c>
      <c r="AJ12" s="106" t="s">
        <v>51</v>
      </c>
      <c r="AK12" s="106" t="s">
        <v>52</v>
      </c>
      <c r="AL12" s="106" t="s">
        <v>53</v>
      </c>
      <c r="AN12" s="106" t="s">
        <v>54</v>
      </c>
      <c r="AQ12" s="106" t="s">
        <v>43</v>
      </c>
      <c r="AR12" s="106" t="s">
        <v>48</v>
      </c>
      <c r="AS12" s="106" t="s">
        <v>49</v>
      </c>
      <c r="AT12" s="106" t="s">
        <v>50</v>
      </c>
      <c r="AU12" s="106" t="s">
        <v>51</v>
      </c>
      <c r="AV12" s="106" t="s">
        <v>52</v>
      </c>
      <c r="AW12" s="106" t="s">
        <v>53</v>
      </c>
      <c r="AX12" s="106"/>
      <c r="AY12" s="106"/>
      <c r="AZ12" s="106" t="s">
        <v>54</v>
      </c>
      <c r="BB12" s="106" t="s">
        <v>55</v>
      </c>
      <c r="BC12" s="106" t="s">
        <v>56</v>
      </c>
      <c r="BD12" s="106" t="s">
        <v>57</v>
      </c>
      <c r="BE12" s="106" t="s">
        <v>58</v>
      </c>
      <c r="BH12" s="106" t="s">
        <v>43</v>
      </c>
      <c r="BI12" s="106" t="s">
        <v>48</v>
      </c>
      <c r="BJ12" s="106" t="s">
        <v>49</v>
      </c>
      <c r="BK12" s="106" t="s">
        <v>50</v>
      </c>
      <c r="BL12" s="106" t="s">
        <v>51</v>
      </c>
      <c r="BM12" s="106" t="s">
        <v>52</v>
      </c>
      <c r="BN12" s="106" t="s">
        <v>53</v>
      </c>
      <c r="BO12" s="106"/>
      <c r="BP12" s="106" t="s">
        <v>54</v>
      </c>
      <c r="BR12" s="106" t="s">
        <v>55</v>
      </c>
      <c r="BS12" s="7"/>
      <c r="BT12" s="106" t="s">
        <v>56</v>
      </c>
      <c r="BW12" s="106" t="s">
        <v>43</v>
      </c>
      <c r="BX12" s="106" t="s">
        <v>48</v>
      </c>
      <c r="BY12" s="106" t="s">
        <v>49</v>
      </c>
      <c r="BZ12" s="106" t="s">
        <v>50</v>
      </c>
      <c r="CA12" s="117" t="s">
        <v>51</v>
      </c>
      <c r="CC12" s="117" t="s">
        <v>52</v>
      </c>
      <c r="CD12" s="117" t="s">
        <v>53</v>
      </c>
      <c r="CE12" s="117" t="s">
        <v>54</v>
      </c>
      <c r="CF12" s="7"/>
      <c r="CG12" s="117" t="s">
        <v>55</v>
      </c>
    </row>
    <row r="13" spans="1:106">
      <c r="A13" s="3" t="s">
        <v>40</v>
      </c>
      <c r="C13" s="140">
        <f>+'Gas Input Table Summary'!$E$9</f>
        <v>0.13053000000000001</v>
      </c>
      <c r="E13" s="3" t="s">
        <v>41</v>
      </c>
      <c r="F13" s="12">
        <f>SUM(F11:F12)</f>
        <v>402</v>
      </c>
      <c r="G13" s="12"/>
      <c r="H13" s="12"/>
      <c r="J13" s="7"/>
      <c r="L13" s="7"/>
      <c r="M13" s="7"/>
      <c r="N13" s="7"/>
      <c r="Q13" s="7"/>
      <c r="R13" s="24"/>
      <c r="S13" s="7"/>
      <c r="T13" s="7"/>
      <c r="V13" s="7"/>
      <c r="W13" s="7"/>
      <c r="X13" s="7"/>
      <c r="Z13" s="7"/>
      <c r="AA13" s="7"/>
      <c r="AB13" s="7"/>
      <c r="AE13" s="7"/>
      <c r="AF13" s="7"/>
      <c r="AH13" s="7"/>
      <c r="AL13" s="7"/>
      <c r="AN13" s="7"/>
      <c r="AQ13" s="7"/>
      <c r="AR13" s="7"/>
      <c r="AS13" s="7"/>
      <c r="AU13" s="7"/>
      <c r="AW13" s="4"/>
      <c r="AY13" s="4"/>
      <c r="BB13" s="7"/>
      <c r="BC13" s="7"/>
      <c r="BD13" s="7"/>
      <c r="BE13" s="7"/>
      <c r="BH13" s="7"/>
      <c r="BI13" s="7"/>
      <c r="BJ13" s="7"/>
      <c r="BK13" s="7"/>
      <c r="BL13" s="7"/>
      <c r="BN13" s="7"/>
      <c r="BO13" s="7"/>
      <c r="BP13" s="7"/>
      <c r="BR13" s="7"/>
      <c r="BS13" s="7"/>
      <c r="BT13" s="7"/>
      <c r="BW13" s="7"/>
      <c r="BX13" s="7"/>
      <c r="BY13" s="7"/>
      <c r="BZ13" s="7"/>
      <c r="CA13" s="7"/>
      <c r="CC13" s="7"/>
      <c r="CD13" s="7"/>
      <c r="CE13" s="7"/>
      <c r="CF13" s="7"/>
      <c r="CG13" s="7"/>
    </row>
    <row r="14" spans="1:106">
      <c r="A14" s="3" t="s">
        <v>47</v>
      </c>
      <c r="C14" s="13">
        <f>+'Gas Input Table Summary'!$E$10</f>
        <v>0.03</v>
      </c>
      <c r="F14" s="16"/>
      <c r="G14" s="16"/>
      <c r="H14" s="16"/>
      <c r="J14" s="2">
        <f>$C$47-$C$45</f>
        <v>0</v>
      </c>
      <c r="L14" s="7">
        <f>$C$47</f>
        <v>2025</v>
      </c>
      <c r="M14" s="16">
        <f>ROUND(IF($C$47+$F$23&gt;L14,F25*F30,0),0)</f>
        <v>10</v>
      </c>
      <c r="N14" s="107">
        <f>ROUND($C$17*(1+$C$18)^J14,3)</f>
        <v>3.4159999999999999</v>
      </c>
      <c r="O14" s="12">
        <f>ROUND(M14*N14,0)</f>
        <v>34</v>
      </c>
      <c r="P14" s="107">
        <f t="shared" ref="P14:P34" si="0">ROUND($C$25*(1+$C$26)^J14,3)</f>
        <v>0</v>
      </c>
      <c r="Q14" s="12">
        <f>ROUND(M14*P14,0)</f>
        <v>0</v>
      </c>
      <c r="R14" s="108">
        <f>O14+Q14</f>
        <v>34</v>
      </c>
      <c r="S14" s="42">
        <f>ROUND(M14*$C$23,1)</f>
        <v>0.1</v>
      </c>
      <c r="T14" s="12">
        <f>ROUND($C$20*(1+$C$21)^J14,0)</f>
        <v>175</v>
      </c>
      <c r="U14" s="109">
        <f>ROUND(S14*T14,0)</f>
        <v>18</v>
      </c>
      <c r="V14" s="12">
        <f>ROUND(+U14+R14,0)</f>
        <v>52</v>
      </c>
      <c r="W14" s="110">
        <f t="shared" ref="W14:W34" si="1">ROUND($H$36*(1+$C$11)^J14,3)</f>
        <v>1.1479999999999999</v>
      </c>
      <c r="X14" s="111">
        <f>ROUND((1-$H$38)*(W14*M14),0)</f>
        <v>9</v>
      </c>
      <c r="Y14" s="111">
        <f>ROUND($F$11,0)</f>
        <v>102</v>
      </c>
      <c r="Z14" s="111">
        <f>ROUND($F$12,0)</f>
        <v>300</v>
      </c>
      <c r="AA14" s="111">
        <f>SUM(X14:Z14)</f>
        <v>411</v>
      </c>
      <c r="AB14" s="12">
        <f>V14-AA14</f>
        <v>-359</v>
      </c>
      <c r="AE14" s="7">
        <f>$C$47</f>
        <v>2025</v>
      </c>
      <c r="AF14" s="12">
        <f t="shared" ref="AF14:AF34" si="2">+R14</f>
        <v>34</v>
      </c>
      <c r="AG14" s="12">
        <f t="shared" ref="AG14:AG34" si="3">+U14</f>
        <v>18</v>
      </c>
      <c r="AH14" s="111">
        <f>+AG14+AF14</f>
        <v>52</v>
      </c>
      <c r="AJ14" s="12">
        <f>ROUND(Y14,0)</f>
        <v>102</v>
      </c>
      <c r="AK14" s="12">
        <f>ROUND(Z14,0)</f>
        <v>300</v>
      </c>
      <c r="AL14" s="12">
        <f t="shared" ref="AL14:AL34" si="4">SUM(AJ14:AK14)</f>
        <v>402</v>
      </c>
      <c r="AN14" s="12">
        <f t="shared" ref="AN14:AN34" si="5">+AH14-AL14</f>
        <v>-350</v>
      </c>
      <c r="AQ14" s="7">
        <f>$C$47</f>
        <v>2025</v>
      </c>
      <c r="AR14" s="12">
        <f t="shared" ref="AR14:AR34" si="6">AF14</f>
        <v>34</v>
      </c>
      <c r="AS14" s="12">
        <f t="shared" ref="AS14:AS34" si="7">+AG14</f>
        <v>18</v>
      </c>
      <c r="AT14" s="107">
        <f t="shared" ref="AT14:AT34" si="8">ROUND(($C$28/(1-$C$31))*(1+$C$29)^J14,3)</f>
        <v>0.03</v>
      </c>
      <c r="AU14" s="12">
        <f>ROUND(IF($C$47+$F$23&gt;$AQ14,$F$30*$F$27,0)*AT14,0)</f>
        <v>0</v>
      </c>
      <c r="AV14" s="107">
        <f t="shared" ref="AV14:AV34" si="9">ROUND($C$33*(1+$C$34)^J14,3)</f>
        <v>2.0699999999999998</v>
      </c>
      <c r="AW14" s="12">
        <f t="shared" ref="AW14:AW34" si="10">ROUND(AV14*M14,0)</f>
        <v>21</v>
      </c>
      <c r="AX14" s="107"/>
      <c r="AY14" s="12"/>
      <c r="AZ14" s="12">
        <f>ROUND(AR14+AS14+AU14+AW14+AY14,0)</f>
        <v>73</v>
      </c>
      <c r="BA14" s="17"/>
      <c r="BB14" s="111">
        <f>ROUND($F$13,0)</f>
        <v>402</v>
      </c>
      <c r="BC14" s="111">
        <f>ROUND((F15*F30)-Z14,0)</f>
        <v>30</v>
      </c>
      <c r="BD14" s="109">
        <f>BB14+BC14</f>
        <v>432</v>
      </c>
      <c r="BE14" s="111">
        <f t="shared" ref="BE14:BE34" si="11">AZ14-BD14</f>
        <v>-359</v>
      </c>
      <c r="BH14" s="7">
        <f>$C$47</f>
        <v>2025</v>
      </c>
      <c r="BI14" s="12">
        <f>+F12</f>
        <v>300</v>
      </c>
      <c r="BJ14" s="16">
        <f t="shared" ref="BJ14:BJ34" si="12">+M14</f>
        <v>10</v>
      </c>
      <c r="BK14" s="112">
        <f t="shared" ref="BK14:BK34" si="13">ROUND($C$10*(1+$C$11)^J14,3)</f>
        <v>6.9710000000000001</v>
      </c>
      <c r="BL14" s="12">
        <f>ROUND(BJ14*BK14,0)</f>
        <v>70</v>
      </c>
      <c r="BM14" s="112">
        <f t="shared" ref="BM14:BM34" si="14">ROUND($C$13*(1+$C$14)^J14,3)</f>
        <v>0.13100000000000001</v>
      </c>
      <c r="BN14" s="12">
        <f>ROUND(IF($C$47+$F$23&gt;$BH14,$F$30*$F$27,0)*BM14,0)</f>
        <v>0</v>
      </c>
      <c r="BO14" s="12"/>
      <c r="BP14" s="12">
        <f t="shared" ref="BP14:BP34" si="15">BI14+BL14+BN14+BO14</f>
        <v>370</v>
      </c>
      <c r="BR14" s="12">
        <f>ROUND(F15*F30,0)</f>
        <v>330</v>
      </c>
      <c r="BS14" s="12"/>
      <c r="BT14" s="12">
        <f>BP14-BR14</f>
        <v>40</v>
      </c>
      <c r="BW14" s="7">
        <f>$C$47</f>
        <v>2025</v>
      </c>
      <c r="BX14" s="12">
        <f t="shared" ref="BX14:BX36" si="16">$R14</f>
        <v>34</v>
      </c>
      <c r="BY14" s="12">
        <f>U14</f>
        <v>18</v>
      </c>
      <c r="BZ14" s="115">
        <f>AU14</f>
        <v>0</v>
      </c>
      <c r="CA14" s="12">
        <f>SUM(BX14:BZ14)</f>
        <v>52</v>
      </c>
      <c r="CC14" s="12">
        <f>BB14</f>
        <v>402</v>
      </c>
      <c r="CD14" s="12">
        <f>BC14</f>
        <v>30</v>
      </c>
      <c r="CE14" s="12">
        <f>SUM(CC14:CD14)</f>
        <v>432</v>
      </c>
      <c r="CF14" s="12"/>
      <c r="CG14" s="12">
        <f>CA14-CE14</f>
        <v>-380</v>
      </c>
    </row>
    <row r="15" spans="1:106">
      <c r="A15" s="3" t="s">
        <v>62</v>
      </c>
      <c r="C15" s="131" t="str">
        <f>+'Gas Input Table Summary'!$E$11</f>
        <v>kWh</v>
      </c>
      <c r="E15" s="3" t="s">
        <v>63</v>
      </c>
      <c r="F15" s="258">
        <f>ROUND('Database Inputs'!K16,0)</f>
        <v>165</v>
      </c>
      <c r="G15" s="257"/>
      <c r="H15" s="257"/>
      <c r="J15" s="2">
        <f t="shared" ref="J15:J36" si="17">J14+1</f>
        <v>1</v>
      </c>
      <c r="L15" s="7">
        <f t="shared" ref="L15:L36" si="18">L14+1</f>
        <v>2026</v>
      </c>
      <c r="M15" s="16">
        <f>ROUND(IF($C$47+$F$23&gt;L15,$F$25*$F$30,0)+IF($C$48+$G$23&gt;L15,$G$25*$G$30,0),0)</f>
        <v>10</v>
      </c>
      <c r="N15" s="53">
        <f t="shared" ref="N15:N34" si="19">ROUND($C$17*(1+$C$18)^J15,3)</f>
        <v>3.5179999999999998</v>
      </c>
      <c r="O15" s="32">
        <f t="shared" ref="O15:O34" si="20">ROUND(M15*N15,0)</f>
        <v>35</v>
      </c>
      <c r="P15" s="53">
        <f t="shared" si="0"/>
        <v>0</v>
      </c>
      <c r="Q15" s="46">
        <f t="shared" ref="Q15:Q34" si="21">ROUND(M15*P15,0)</f>
        <v>0</v>
      </c>
      <c r="R15" s="43">
        <f t="shared" ref="R15:R34" si="22">O15+Q15</f>
        <v>35</v>
      </c>
      <c r="S15" s="42">
        <f t="shared" ref="S15:S34" si="23">ROUND(M15*$C$23,1)</f>
        <v>0.1</v>
      </c>
      <c r="T15" s="46">
        <f t="shared" ref="T15:T34" si="24">ROUND($C$20*(1+$C$21)^J15,0)</f>
        <v>177</v>
      </c>
      <c r="U15" s="44">
        <f>ROUND(S15*T15,0)</f>
        <v>18</v>
      </c>
      <c r="V15" s="16">
        <f t="shared" ref="V15:V34" si="25">ROUND(+U15+R15,0)</f>
        <v>53</v>
      </c>
      <c r="W15" s="45">
        <f t="shared" si="1"/>
        <v>1.1819999999999999</v>
      </c>
      <c r="X15" s="46">
        <f t="shared" ref="X15:X34" si="26">ROUND((1-$H$38)*(W15*M15),0)</f>
        <v>9</v>
      </c>
      <c r="Y15" s="46">
        <f>ROUND($G$11,0)</f>
        <v>0</v>
      </c>
      <c r="Z15" s="46">
        <f>ROUND($G$12,0)</f>
        <v>0</v>
      </c>
      <c r="AA15" s="46">
        <f t="shared" ref="AA15:AA34" si="27">SUM(X15:Z15)</f>
        <v>9</v>
      </c>
      <c r="AB15" s="46">
        <f t="shared" ref="AB15:AB34" si="28">V15-AA15</f>
        <v>44</v>
      </c>
      <c r="AE15" s="7">
        <f t="shared" ref="AE15:AE36" si="29">AE14+1</f>
        <v>2026</v>
      </c>
      <c r="AF15" s="46">
        <f t="shared" si="2"/>
        <v>35</v>
      </c>
      <c r="AG15" s="16">
        <f t="shared" si="3"/>
        <v>18</v>
      </c>
      <c r="AH15" s="46">
        <f>+AG15+AF15</f>
        <v>53</v>
      </c>
      <c r="AJ15" s="32">
        <f t="shared" ref="AJ15:AK34" si="30">ROUND(Y15,0)</f>
        <v>0</v>
      </c>
      <c r="AK15" s="32">
        <f t="shared" si="30"/>
        <v>0</v>
      </c>
      <c r="AL15" s="32">
        <f t="shared" si="4"/>
        <v>0</v>
      </c>
      <c r="AN15" s="77">
        <f t="shared" si="5"/>
        <v>53</v>
      </c>
      <c r="AQ15" s="7">
        <f t="shared" ref="AQ15:AQ36" si="31">AQ14+1</f>
        <v>2026</v>
      </c>
      <c r="AR15" s="46">
        <f t="shared" si="6"/>
        <v>35</v>
      </c>
      <c r="AS15" s="46">
        <f t="shared" si="7"/>
        <v>18</v>
      </c>
      <c r="AT15" s="91">
        <f t="shared" si="8"/>
        <v>0.03</v>
      </c>
      <c r="AU15" s="16">
        <f>ROUND((IF($C$47+$F$23&gt;$AQ15,$F$27*$F$30,0)+IF($C$48+$G$23&gt;AQ15,$G$27*$G$30,0))*AT15,0)</f>
        <v>0</v>
      </c>
      <c r="AV15" s="53">
        <f t="shared" si="9"/>
        <v>2.105</v>
      </c>
      <c r="AW15" s="46">
        <f t="shared" si="10"/>
        <v>21</v>
      </c>
      <c r="AX15" s="91"/>
      <c r="AY15" s="92"/>
      <c r="AZ15" s="46">
        <f t="shared" ref="AZ15:AZ34" si="32">ROUND(AR15+AS15+AU15+AW15+AY15,0)</f>
        <v>74</v>
      </c>
      <c r="BA15" s="17"/>
      <c r="BB15" s="46">
        <f>ROUND($G$13,0)</f>
        <v>0</v>
      </c>
      <c r="BC15" s="46">
        <f>ROUND(($G$15*$G$30)-$Z$15,0)</f>
        <v>0</v>
      </c>
      <c r="BD15" s="47">
        <f t="shared" ref="BD15:BD34" si="33">BB15+BC15</f>
        <v>0</v>
      </c>
      <c r="BE15" s="46">
        <f t="shared" si="11"/>
        <v>74</v>
      </c>
      <c r="BH15" s="7">
        <f t="shared" ref="BH15:BH36" si="34">BH14+1</f>
        <v>2026</v>
      </c>
      <c r="BI15" s="46">
        <f>+G12</f>
        <v>0</v>
      </c>
      <c r="BJ15" s="16">
        <f t="shared" si="12"/>
        <v>10</v>
      </c>
      <c r="BK15" s="87">
        <f t="shared" si="13"/>
        <v>7.18</v>
      </c>
      <c r="BL15" s="46">
        <f>ROUND(BJ15*BK15,0)</f>
        <v>72</v>
      </c>
      <c r="BM15" s="87">
        <f t="shared" si="14"/>
        <v>0.13400000000000001</v>
      </c>
      <c r="BN15" s="16">
        <f>ROUND((IF($C$47+$F$23&gt;BH15,$F$27*$F$30,0)+IF($C$48+$G$23&gt;BH15,$G$27*$G$30,0))*BM15,0)</f>
        <v>0</v>
      </c>
      <c r="BO15" s="16"/>
      <c r="BP15" s="46">
        <f t="shared" si="15"/>
        <v>72</v>
      </c>
      <c r="BR15" s="46">
        <f>ROUND($G$15*$G$30,0)</f>
        <v>0</v>
      </c>
      <c r="BS15" s="46"/>
      <c r="BT15" s="46">
        <f t="shared" ref="BT15:BT34" si="35">BP15-BR15</f>
        <v>72</v>
      </c>
      <c r="BW15" s="7">
        <f t="shared" ref="BW15:BW36" si="36">BW14+1</f>
        <v>2026</v>
      </c>
      <c r="BX15" s="46">
        <f t="shared" si="16"/>
        <v>35</v>
      </c>
      <c r="BY15" s="16">
        <f t="shared" ref="BY15:BY34" si="37">U15</f>
        <v>18</v>
      </c>
      <c r="BZ15" s="116">
        <f t="shared" ref="BZ15:BZ34" si="38">AU15</f>
        <v>0</v>
      </c>
      <c r="CA15" s="46">
        <f t="shared" ref="CA15:CA34" si="39">SUM(BX15:BZ15)</f>
        <v>53</v>
      </c>
      <c r="CC15" s="46">
        <f t="shared" ref="CC15:CD34" si="40">BB15</f>
        <v>0</v>
      </c>
      <c r="CD15" s="46">
        <f t="shared" si="40"/>
        <v>0</v>
      </c>
      <c r="CE15" s="46">
        <f t="shared" ref="CE15:CE34" si="41">SUM(CC15:CD15)</f>
        <v>0</v>
      </c>
      <c r="CF15" s="46"/>
      <c r="CG15" s="46">
        <f>CA15-CE15</f>
        <v>53</v>
      </c>
    </row>
    <row r="16" spans="1:106">
      <c r="F16" s="16"/>
      <c r="G16" s="16"/>
      <c r="H16" s="16"/>
      <c r="J16" s="2">
        <f t="shared" si="17"/>
        <v>2</v>
      </c>
      <c r="L16" s="7">
        <f t="shared" si="18"/>
        <v>2027</v>
      </c>
      <c r="M16" s="16">
        <f>ROUND(IF($C$47+$F$23&gt;L16,$F$25*$F$30,0)+IF($C$48+$G$23&gt;L16,$G$25*$G$30,0)+IF($C$49+$H$23&gt;L16,$H$25*$H$30,0),0)</f>
        <v>10</v>
      </c>
      <c r="N16" s="53">
        <f t="shared" si="19"/>
        <v>3.6240000000000001</v>
      </c>
      <c r="O16" s="32">
        <f t="shared" si="20"/>
        <v>36</v>
      </c>
      <c r="P16" s="53">
        <f t="shared" si="0"/>
        <v>0</v>
      </c>
      <c r="Q16" s="46">
        <f t="shared" si="21"/>
        <v>0</v>
      </c>
      <c r="R16" s="43">
        <f t="shared" si="22"/>
        <v>36</v>
      </c>
      <c r="S16" s="42">
        <f t="shared" si="23"/>
        <v>0.1</v>
      </c>
      <c r="T16" s="46">
        <f t="shared" si="24"/>
        <v>179</v>
      </c>
      <c r="U16" s="44">
        <f t="shared" ref="U16:U34" si="42">ROUND(S16*T16,0)</f>
        <v>18</v>
      </c>
      <c r="V16" s="16">
        <f t="shared" si="25"/>
        <v>54</v>
      </c>
      <c r="W16" s="45">
        <f t="shared" si="1"/>
        <v>1.218</v>
      </c>
      <c r="X16" s="46">
        <f t="shared" si="26"/>
        <v>10</v>
      </c>
      <c r="Y16" s="46">
        <f>ROUND($H$11,0)</f>
        <v>0</v>
      </c>
      <c r="Z16" s="46">
        <f>ROUND($H$12,0)</f>
        <v>0</v>
      </c>
      <c r="AA16" s="46">
        <f t="shared" si="27"/>
        <v>10</v>
      </c>
      <c r="AB16" s="46">
        <f t="shared" si="28"/>
        <v>44</v>
      </c>
      <c r="AE16" s="7">
        <f t="shared" si="29"/>
        <v>2027</v>
      </c>
      <c r="AF16" s="46">
        <f t="shared" si="2"/>
        <v>36</v>
      </c>
      <c r="AG16" s="16">
        <f t="shared" si="3"/>
        <v>18</v>
      </c>
      <c r="AH16" s="46">
        <f t="shared" ref="AH16:AH34" si="43">+AG16+AF16</f>
        <v>54</v>
      </c>
      <c r="AJ16" s="32">
        <f t="shared" si="30"/>
        <v>0</v>
      </c>
      <c r="AK16" s="32">
        <f t="shared" si="30"/>
        <v>0</v>
      </c>
      <c r="AL16" s="32">
        <f t="shared" si="4"/>
        <v>0</v>
      </c>
      <c r="AN16" s="77">
        <f t="shared" si="5"/>
        <v>54</v>
      </c>
      <c r="AQ16" s="7">
        <f t="shared" si="31"/>
        <v>2027</v>
      </c>
      <c r="AR16" s="46">
        <f t="shared" si="6"/>
        <v>36</v>
      </c>
      <c r="AS16" s="46">
        <f t="shared" si="7"/>
        <v>18</v>
      </c>
      <c r="AT16" s="91">
        <f t="shared" si="8"/>
        <v>3.1E-2</v>
      </c>
      <c r="AU16" s="16">
        <f>ROUND((IF($C$47+$F$23&gt;$AQ16,$F$27*$F$30,0)+IF($C$48+$G$23&gt;AQ16,$G$27*$G$30,0)+IF($C$49+$H$23&gt;AQ16,$H$27*$H$30,0))*AT16,0)</f>
        <v>0</v>
      </c>
      <c r="AV16" s="53">
        <f t="shared" si="9"/>
        <v>2.141</v>
      </c>
      <c r="AW16" s="46">
        <f t="shared" si="10"/>
        <v>21</v>
      </c>
      <c r="AX16" s="91"/>
      <c r="AY16" s="92"/>
      <c r="AZ16" s="46">
        <f t="shared" si="32"/>
        <v>75</v>
      </c>
      <c r="BA16" s="17"/>
      <c r="BB16" s="46">
        <f>ROUND($H$13,0)</f>
        <v>0</v>
      </c>
      <c r="BC16" s="46">
        <f>ROUND(($H$15*$H$30)-$Z$16,0)</f>
        <v>0</v>
      </c>
      <c r="BD16" s="47">
        <f t="shared" si="33"/>
        <v>0</v>
      </c>
      <c r="BE16" s="46">
        <f t="shared" si="11"/>
        <v>75</v>
      </c>
      <c r="BH16" s="7">
        <f t="shared" si="34"/>
        <v>2027</v>
      </c>
      <c r="BI16" s="46">
        <f>ROUND(H12,0)</f>
        <v>0</v>
      </c>
      <c r="BJ16" s="16">
        <f t="shared" si="12"/>
        <v>10</v>
      </c>
      <c r="BK16" s="87">
        <f t="shared" si="13"/>
        <v>7.3959999999999999</v>
      </c>
      <c r="BL16" s="46">
        <f t="shared" ref="BL16:BL34" si="44">ROUND(BJ16*BK16,0)</f>
        <v>74</v>
      </c>
      <c r="BM16" s="87">
        <f t="shared" si="14"/>
        <v>0.13800000000000001</v>
      </c>
      <c r="BN16" s="16">
        <f>ROUND((IF($C$47+$F$23&gt;BH16,$F$27*$F$30,0)+IF($C$49+$H$23&gt;BH16,$H$27*$H$30,0)+IF($C$48+$G$23&gt;BH16,$G$27*$G$30,0))*BM16,0)</f>
        <v>0</v>
      </c>
      <c r="BO16" s="16"/>
      <c r="BP16" s="46">
        <f t="shared" si="15"/>
        <v>74</v>
      </c>
      <c r="BR16" s="46">
        <f>ROUND($H$15*$H$30,0)</f>
        <v>0</v>
      </c>
      <c r="BS16" s="46"/>
      <c r="BT16" s="46">
        <f t="shared" si="35"/>
        <v>74</v>
      </c>
      <c r="BW16" s="7">
        <f t="shared" si="36"/>
        <v>2027</v>
      </c>
      <c r="BX16" s="46">
        <f t="shared" si="16"/>
        <v>36</v>
      </c>
      <c r="BY16" s="16">
        <f t="shared" si="37"/>
        <v>18</v>
      </c>
      <c r="BZ16" s="116">
        <f t="shared" si="38"/>
        <v>0</v>
      </c>
      <c r="CA16" s="46">
        <f t="shared" si="39"/>
        <v>54</v>
      </c>
      <c r="CC16" s="46">
        <f t="shared" si="40"/>
        <v>0</v>
      </c>
      <c r="CD16" s="46">
        <f t="shared" si="40"/>
        <v>0</v>
      </c>
      <c r="CE16" s="46">
        <f t="shared" si="41"/>
        <v>0</v>
      </c>
      <c r="CF16" s="46"/>
      <c r="CG16" s="46">
        <f t="shared" ref="CG16:CG34" si="45">CA16-CE16</f>
        <v>54</v>
      </c>
    </row>
    <row r="17" spans="1:106">
      <c r="A17" s="3" t="s">
        <v>105</v>
      </c>
      <c r="C17" s="11">
        <f>+'Gas Input Table Summary'!$E$12</f>
        <v>3.4159999999999999</v>
      </c>
      <c r="D17" s="19"/>
      <c r="E17" s="3" t="s">
        <v>64</v>
      </c>
      <c r="F17" s="14">
        <f>+'Gas Input Table Summary'!$E$35</f>
        <v>0</v>
      </c>
      <c r="G17" s="14"/>
      <c r="H17" s="14"/>
      <c r="J17" s="2">
        <f t="shared" si="17"/>
        <v>3</v>
      </c>
      <c r="L17" s="7">
        <f t="shared" si="18"/>
        <v>2028</v>
      </c>
      <c r="M17" s="16">
        <f t="shared" ref="M17:M34" si="46">ROUND(IF($C$47+$F$23&gt;L17,$F$25*$F$30,0)+IF($C$48+$G$23&gt;L17,$G$25*$G$30,0)+IF($C$49+$H$23&gt;L17,$H$25*$H$30,0),0)</f>
        <v>10</v>
      </c>
      <c r="N17" s="53">
        <f t="shared" si="19"/>
        <v>3.7330000000000001</v>
      </c>
      <c r="O17" s="32">
        <f t="shared" si="20"/>
        <v>37</v>
      </c>
      <c r="P17" s="53">
        <f t="shared" si="0"/>
        <v>0</v>
      </c>
      <c r="Q17" s="46">
        <f t="shared" si="21"/>
        <v>0</v>
      </c>
      <c r="R17" s="43">
        <f t="shared" si="22"/>
        <v>37</v>
      </c>
      <c r="S17" s="42">
        <f t="shared" si="23"/>
        <v>0.1</v>
      </c>
      <c r="T17" s="46">
        <f t="shared" si="24"/>
        <v>181</v>
      </c>
      <c r="U17" s="44">
        <f t="shared" si="42"/>
        <v>18</v>
      </c>
      <c r="V17" s="16">
        <f t="shared" si="25"/>
        <v>55</v>
      </c>
      <c r="W17" s="45">
        <f t="shared" si="1"/>
        <v>1.254</v>
      </c>
      <c r="X17" s="46">
        <f t="shared" si="26"/>
        <v>10</v>
      </c>
      <c r="Y17" s="46">
        <v>0</v>
      </c>
      <c r="Z17" s="46">
        <v>0</v>
      </c>
      <c r="AA17" s="46">
        <f t="shared" si="27"/>
        <v>10</v>
      </c>
      <c r="AB17" s="46">
        <f t="shared" si="28"/>
        <v>45</v>
      </c>
      <c r="AE17" s="7">
        <f t="shared" si="29"/>
        <v>2028</v>
      </c>
      <c r="AF17" s="46">
        <f t="shared" si="2"/>
        <v>37</v>
      </c>
      <c r="AG17" s="16">
        <f t="shared" si="3"/>
        <v>18</v>
      </c>
      <c r="AH17" s="46">
        <f t="shared" si="43"/>
        <v>55</v>
      </c>
      <c r="AJ17" s="32">
        <f t="shared" si="30"/>
        <v>0</v>
      </c>
      <c r="AK17" s="32">
        <f t="shared" si="30"/>
        <v>0</v>
      </c>
      <c r="AL17" s="32">
        <f t="shared" si="4"/>
        <v>0</v>
      </c>
      <c r="AN17" s="77">
        <f t="shared" si="5"/>
        <v>55</v>
      </c>
      <c r="AQ17" s="7">
        <f t="shared" si="31"/>
        <v>2028</v>
      </c>
      <c r="AR17" s="46">
        <f t="shared" si="6"/>
        <v>37</v>
      </c>
      <c r="AS17" s="46">
        <f t="shared" si="7"/>
        <v>18</v>
      </c>
      <c r="AT17" s="91">
        <f t="shared" si="8"/>
        <v>3.2000000000000001E-2</v>
      </c>
      <c r="AU17" s="16">
        <f t="shared" ref="AU17:AU34" si="47">ROUND((IF($C$47+$F$23&gt;$AQ17,$F$27*$F$30,0)+IF($C$48+$G$23&gt;AQ17,$G$27*$G$30,0)+IF($C$49+$H$23&gt;AQ17,$H$27*$H$30,0))*AT17,0)</f>
        <v>0</v>
      </c>
      <c r="AV17" s="53">
        <f t="shared" si="9"/>
        <v>2.177</v>
      </c>
      <c r="AW17" s="46">
        <f t="shared" si="10"/>
        <v>22</v>
      </c>
      <c r="AX17" s="91"/>
      <c r="AY17" s="92"/>
      <c r="AZ17" s="46">
        <f t="shared" si="32"/>
        <v>77</v>
      </c>
      <c r="BA17" s="17"/>
      <c r="BB17" s="46">
        <v>0</v>
      </c>
      <c r="BC17" s="46">
        <v>0</v>
      </c>
      <c r="BD17" s="47">
        <f t="shared" si="33"/>
        <v>0</v>
      </c>
      <c r="BE17" s="46">
        <f t="shared" si="11"/>
        <v>77</v>
      </c>
      <c r="BH17" s="7">
        <f t="shared" si="34"/>
        <v>2028</v>
      </c>
      <c r="BI17" s="46">
        <v>0</v>
      </c>
      <c r="BJ17" s="16">
        <f t="shared" si="12"/>
        <v>10</v>
      </c>
      <c r="BK17" s="87">
        <f t="shared" si="13"/>
        <v>7.617</v>
      </c>
      <c r="BL17" s="46">
        <f t="shared" si="44"/>
        <v>76</v>
      </c>
      <c r="BM17" s="87">
        <f t="shared" si="14"/>
        <v>0.14299999999999999</v>
      </c>
      <c r="BN17" s="16">
        <f t="shared" ref="BN17:BN34" si="48">ROUND((IF($C$47+$F$23&gt;BH17,$F$27*$F$30,0)+IF($C$49+$H$23&gt;BH17,$H$27*$H$30,0)+IF($C$48+$G$23&gt;BH17,$G$27*$G$30,0))*BM17,0)</f>
        <v>0</v>
      </c>
      <c r="BO17" s="16"/>
      <c r="BP17" s="46">
        <f t="shared" si="15"/>
        <v>76</v>
      </c>
      <c r="BR17" s="46">
        <f t="shared" ref="BR17:BR34" si="49">+BC17</f>
        <v>0</v>
      </c>
      <c r="BS17" s="46"/>
      <c r="BT17" s="46">
        <f t="shared" si="35"/>
        <v>76</v>
      </c>
      <c r="BW17" s="7">
        <f t="shared" si="36"/>
        <v>2028</v>
      </c>
      <c r="BX17" s="46">
        <f t="shared" si="16"/>
        <v>37</v>
      </c>
      <c r="BY17" s="16">
        <f t="shared" si="37"/>
        <v>18</v>
      </c>
      <c r="BZ17" s="116">
        <f t="shared" si="38"/>
        <v>0</v>
      </c>
      <c r="CA17" s="46">
        <f t="shared" si="39"/>
        <v>55</v>
      </c>
      <c r="CC17" s="46">
        <f t="shared" si="40"/>
        <v>0</v>
      </c>
      <c r="CD17" s="46">
        <f t="shared" si="40"/>
        <v>0</v>
      </c>
      <c r="CE17" s="46">
        <f t="shared" si="41"/>
        <v>0</v>
      </c>
      <c r="CF17" s="46"/>
      <c r="CG17" s="46">
        <f t="shared" si="45"/>
        <v>55</v>
      </c>
    </row>
    <row r="18" spans="1:106">
      <c r="A18" s="3" t="s">
        <v>18</v>
      </c>
      <c r="C18" s="15">
        <f>+'Gas Input Table Summary'!$E$13</f>
        <v>0.03</v>
      </c>
      <c r="E18" s="2" t="s">
        <v>65</v>
      </c>
      <c r="F18" s="15">
        <f>+'Gas Input Table Summary'!$E$38</f>
        <v>0</v>
      </c>
      <c r="G18" s="15"/>
      <c r="H18" s="15"/>
      <c r="J18" s="2">
        <f t="shared" si="17"/>
        <v>4</v>
      </c>
      <c r="L18" s="7">
        <f t="shared" si="18"/>
        <v>2029</v>
      </c>
      <c r="M18" s="16">
        <f t="shared" si="46"/>
        <v>10</v>
      </c>
      <c r="N18" s="53">
        <f t="shared" si="19"/>
        <v>3.8450000000000002</v>
      </c>
      <c r="O18" s="32">
        <f t="shared" si="20"/>
        <v>38</v>
      </c>
      <c r="P18" s="53">
        <f t="shared" si="0"/>
        <v>0</v>
      </c>
      <c r="Q18" s="46">
        <f t="shared" si="21"/>
        <v>0</v>
      </c>
      <c r="R18" s="43">
        <f t="shared" si="22"/>
        <v>38</v>
      </c>
      <c r="S18" s="42">
        <f t="shared" si="23"/>
        <v>0.1</v>
      </c>
      <c r="T18" s="46">
        <f t="shared" si="24"/>
        <v>182</v>
      </c>
      <c r="U18" s="44">
        <f t="shared" si="42"/>
        <v>18</v>
      </c>
      <c r="V18" s="16">
        <f t="shared" si="25"/>
        <v>56</v>
      </c>
      <c r="W18" s="45">
        <f t="shared" si="1"/>
        <v>1.292</v>
      </c>
      <c r="X18" s="46">
        <f t="shared" si="26"/>
        <v>10</v>
      </c>
      <c r="Y18" s="46">
        <v>0</v>
      </c>
      <c r="Z18" s="46">
        <v>0</v>
      </c>
      <c r="AA18" s="46">
        <f t="shared" si="27"/>
        <v>10</v>
      </c>
      <c r="AB18" s="46">
        <f t="shared" si="28"/>
        <v>46</v>
      </c>
      <c r="AE18" s="7">
        <f t="shared" si="29"/>
        <v>2029</v>
      </c>
      <c r="AF18" s="46">
        <f t="shared" si="2"/>
        <v>38</v>
      </c>
      <c r="AG18" s="16">
        <f t="shared" si="3"/>
        <v>18</v>
      </c>
      <c r="AH18" s="46">
        <f t="shared" si="43"/>
        <v>56</v>
      </c>
      <c r="AJ18" s="32">
        <f t="shared" si="30"/>
        <v>0</v>
      </c>
      <c r="AK18" s="32">
        <f t="shared" si="30"/>
        <v>0</v>
      </c>
      <c r="AL18" s="32">
        <f t="shared" si="4"/>
        <v>0</v>
      </c>
      <c r="AN18" s="77">
        <f t="shared" si="5"/>
        <v>56</v>
      </c>
      <c r="AQ18" s="7">
        <f t="shared" si="31"/>
        <v>2029</v>
      </c>
      <c r="AR18" s="46">
        <f t="shared" si="6"/>
        <v>38</v>
      </c>
      <c r="AS18" s="46">
        <f t="shared" si="7"/>
        <v>18</v>
      </c>
      <c r="AT18" s="91">
        <f t="shared" si="8"/>
        <v>3.3000000000000002E-2</v>
      </c>
      <c r="AU18" s="16">
        <f t="shared" si="47"/>
        <v>0</v>
      </c>
      <c r="AV18" s="53">
        <f t="shared" si="9"/>
        <v>2.214</v>
      </c>
      <c r="AW18" s="46">
        <f t="shared" si="10"/>
        <v>22</v>
      </c>
      <c r="AX18" s="91"/>
      <c r="AY18" s="92"/>
      <c r="AZ18" s="46">
        <f t="shared" si="32"/>
        <v>78</v>
      </c>
      <c r="BA18" s="17"/>
      <c r="BB18" s="46">
        <v>0</v>
      </c>
      <c r="BC18" s="46">
        <v>0</v>
      </c>
      <c r="BD18" s="47">
        <f t="shared" si="33"/>
        <v>0</v>
      </c>
      <c r="BE18" s="46">
        <f t="shared" si="11"/>
        <v>78</v>
      </c>
      <c r="BH18" s="7">
        <f t="shared" si="34"/>
        <v>2029</v>
      </c>
      <c r="BI18" s="46">
        <v>0</v>
      </c>
      <c r="BJ18" s="16">
        <f t="shared" si="12"/>
        <v>10</v>
      </c>
      <c r="BK18" s="87">
        <f t="shared" si="13"/>
        <v>7.8460000000000001</v>
      </c>
      <c r="BL18" s="46">
        <f t="shared" si="44"/>
        <v>78</v>
      </c>
      <c r="BM18" s="87">
        <f t="shared" si="14"/>
        <v>0.14699999999999999</v>
      </c>
      <c r="BN18" s="16">
        <f t="shared" si="48"/>
        <v>0</v>
      </c>
      <c r="BO18" s="16"/>
      <c r="BP18" s="46">
        <f t="shared" si="15"/>
        <v>78</v>
      </c>
      <c r="BR18" s="46">
        <f t="shared" si="49"/>
        <v>0</v>
      </c>
      <c r="BS18" s="46"/>
      <c r="BT18" s="46">
        <f t="shared" si="35"/>
        <v>78</v>
      </c>
      <c r="BW18" s="7">
        <f t="shared" si="36"/>
        <v>2029</v>
      </c>
      <c r="BX18" s="46">
        <f t="shared" si="16"/>
        <v>38</v>
      </c>
      <c r="BY18" s="16">
        <f t="shared" si="37"/>
        <v>18</v>
      </c>
      <c r="BZ18" s="116">
        <f t="shared" si="38"/>
        <v>0</v>
      </c>
      <c r="CA18" s="46">
        <f t="shared" si="39"/>
        <v>56</v>
      </c>
      <c r="CC18" s="46">
        <f t="shared" si="40"/>
        <v>0</v>
      </c>
      <c r="CD18" s="46">
        <f t="shared" si="40"/>
        <v>0</v>
      </c>
      <c r="CE18" s="46">
        <f t="shared" si="41"/>
        <v>0</v>
      </c>
      <c r="CF18" s="46"/>
      <c r="CG18" s="46">
        <f t="shared" si="45"/>
        <v>56</v>
      </c>
      <c r="DB18" s="5"/>
    </row>
    <row r="19" spans="1:106">
      <c r="C19" s="3"/>
      <c r="J19" s="2">
        <f t="shared" si="17"/>
        <v>5</v>
      </c>
      <c r="L19" s="7">
        <f t="shared" si="18"/>
        <v>2030</v>
      </c>
      <c r="M19" s="16">
        <f t="shared" si="46"/>
        <v>10</v>
      </c>
      <c r="N19" s="53">
        <f t="shared" si="19"/>
        <v>3.96</v>
      </c>
      <c r="O19" s="32">
        <f t="shared" si="20"/>
        <v>40</v>
      </c>
      <c r="P19" s="53">
        <f t="shared" si="0"/>
        <v>0</v>
      </c>
      <c r="Q19" s="46">
        <f t="shared" si="21"/>
        <v>0</v>
      </c>
      <c r="R19" s="43">
        <f t="shared" si="22"/>
        <v>40</v>
      </c>
      <c r="S19" s="42">
        <f t="shared" si="23"/>
        <v>0.1</v>
      </c>
      <c r="T19" s="46">
        <f t="shared" si="24"/>
        <v>184</v>
      </c>
      <c r="U19" s="44">
        <f t="shared" si="42"/>
        <v>18</v>
      </c>
      <c r="V19" s="16">
        <f t="shared" si="25"/>
        <v>58</v>
      </c>
      <c r="W19" s="45">
        <f t="shared" si="1"/>
        <v>1.331</v>
      </c>
      <c r="X19" s="46">
        <f t="shared" si="26"/>
        <v>11</v>
      </c>
      <c r="Y19" s="46">
        <v>0</v>
      </c>
      <c r="Z19" s="46">
        <v>0</v>
      </c>
      <c r="AA19" s="46">
        <f t="shared" si="27"/>
        <v>11</v>
      </c>
      <c r="AB19" s="46">
        <f t="shared" si="28"/>
        <v>47</v>
      </c>
      <c r="AE19" s="7">
        <f t="shared" si="29"/>
        <v>2030</v>
      </c>
      <c r="AF19" s="46">
        <f t="shared" si="2"/>
        <v>40</v>
      </c>
      <c r="AG19" s="16">
        <f t="shared" si="3"/>
        <v>18</v>
      </c>
      <c r="AH19" s="46">
        <f t="shared" si="43"/>
        <v>58</v>
      </c>
      <c r="AJ19" s="32">
        <f t="shared" si="30"/>
        <v>0</v>
      </c>
      <c r="AK19" s="32">
        <f t="shared" si="30"/>
        <v>0</v>
      </c>
      <c r="AL19" s="32">
        <f t="shared" si="4"/>
        <v>0</v>
      </c>
      <c r="AN19" s="77">
        <f t="shared" si="5"/>
        <v>58</v>
      </c>
      <c r="AQ19" s="7">
        <f t="shared" si="31"/>
        <v>2030</v>
      </c>
      <c r="AR19" s="46">
        <f t="shared" si="6"/>
        <v>40</v>
      </c>
      <c r="AS19" s="46">
        <f t="shared" si="7"/>
        <v>18</v>
      </c>
      <c r="AT19" s="91">
        <f t="shared" si="8"/>
        <v>3.4000000000000002E-2</v>
      </c>
      <c r="AU19" s="16">
        <f t="shared" si="47"/>
        <v>0</v>
      </c>
      <c r="AV19" s="53">
        <f t="shared" si="9"/>
        <v>2.2509999999999999</v>
      </c>
      <c r="AW19" s="46">
        <f t="shared" si="10"/>
        <v>23</v>
      </c>
      <c r="AX19" s="91"/>
      <c r="AY19" s="92"/>
      <c r="AZ19" s="46">
        <f t="shared" si="32"/>
        <v>81</v>
      </c>
      <c r="BA19" s="17"/>
      <c r="BB19" s="46">
        <v>0</v>
      </c>
      <c r="BC19" s="46">
        <v>0</v>
      </c>
      <c r="BD19" s="47">
        <f t="shared" si="33"/>
        <v>0</v>
      </c>
      <c r="BE19" s="46">
        <f t="shared" si="11"/>
        <v>81</v>
      </c>
      <c r="BH19" s="7">
        <f t="shared" si="34"/>
        <v>2030</v>
      </c>
      <c r="BI19" s="46">
        <v>0</v>
      </c>
      <c r="BJ19" s="16">
        <f t="shared" si="12"/>
        <v>10</v>
      </c>
      <c r="BK19" s="87">
        <f t="shared" si="13"/>
        <v>8.0809999999999995</v>
      </c>
      <c r="BL19" s="46">
        <f t="shared" si="44"/>
        <v>81</v>
      </c>
      <c r="BM19" s="87">
        <f t="shared" si="14"/>
        <v>0.151</v>
      </c>
      <c r="BN19" s="16">
        <f t="shared" si="48"/>
        <v>0</v>
      </c>
      <c r="BO19" s="16"/>
      <c r="BP19" s="46">
        <f t="shared" si="15"/>
        <v>81</v>
      </c>
      <c r="BR19" s="46">
        <f t="shared" si="49"/>
        <v>0</v>
      </c>
      <c r="BS19" s="46"/>
      <c r="BT19" s="46">
        <f t="shared" si="35"/>
        <v>81</v>
      </c>
      <c r="BW19" s="7">
        <f t="shared" si="36"/>
        <v>2030</v>
      </c>
      <c r="BX19" s="46">
        <f t="shared" si="16"/>
        <v>40</v>
      </c>
      <c r="BY19" s="16">
        <f t="shared" si="37"/>
        <v>18</v>
      </c>
      <c r="BZ19" s="116">
        <f t="shared" si="38"/>
        <v>0</v>
      </c>
      <c r="CA19" s="46">
        <f t="shared" si="39"/>
        <v>58</v>
      </c>
      <c r="CC19" s="46">
        <f t="shared" si="40"/>
        <v>0</v>
      </c>
      <c r="CD19" s="46">
        <f t="shared" si="40"/>
        <v>0</v>
      </c>
      <c r="CE19" s="46">
        <f t="shared" si="41"/>
        <v>0</v>
      </c>
      <c r="CF19" s="46"/>
      <c r="CG19" s="46">
        <f t="shared" si="45"/>
        <v>58</v>
      </c>
    </row>
    <row r="20" spans="1:106">
      <c r="A20" s="3" t="s">
        <v>66</v>
      </c>
      <c r="C20" s="20">
        <f>+'Gas Input Table Summary'!$E$14</f>
        <v>175.3</v>
      </c>
      <c r="E20" s="3" t="s">
        <v>67</v>
      </c>
      <c r="F20" s="14">
        <f>+'Gas Input Table Summary'!$E$41</f>
        <v>0</v>
      </c>
      <c r="G20" s="14"/>
      <c r="H20" s="14"/>
      <c r="J20" s="2">
        <f t="shared" si="17"/>
        <v>6</v>
      </c>
      <c r="L20" s="7">
        <f t="shared" si="18"/>
        <v>2031</v>
      </c>
      <c r="M20" s="16">
        <f t="shared" si="46"/>
        <v>10</v>
      </c>
      <c r="N20" s="53">
        <f t="shared" si="19"/>
        <v>4.0789999999999997</v>
      </c>
      <c r="O20" s="32">
        <f t="shared" si="20"/>
        <v>41</v>
      </c>
      <c r="P20" s="53">
        <f t="shared" si="0"/>
        <v>0</v>
      </c>
      <c r="Q20" s="46">
        <f t="shared" si="21"/>
        <v>0</v>
      </c>
      <c r="R20" s="43">
        <f t="shared" si="22"/>
        <v>41</v>
      </c>
      <c r="S20" s="42">
        <f t="shared" si="23"/>
        <v>0.1</v>
      </c>
      <c r="T20" s="46">
        <f t="shared" si="24"/>
        <v>186</v>
      </c>
      <c r="U20" s="44">
        <f t="shared" si="42"/>
        <v>19</v>
      </c>
      <c r="V20" s="16">
        <f t="shared" si="25"/>
        <v>60</v>
      </c>
      <c r="W20" s="45">
        <f t="shared" si="1"/>
        <v>1.371</v>
      </c>
      <c r="X20" s="46">
        <f t="shared" si="26"/>
        <v>11</v>
      </c>
      <c r="Y20" s="46">
        <v>0</v>
      </c>
      <c r="Z20" s="46">
        <v>0</v>
      </c>
      <c r="AA20" s="46">
        <f t="shared" si="27"/>
        <v>11</v>
      </c>
      <c r="AB20" s="46">
        <f t="shared" si="28"/>
        <v>49</v>
      </c>
      <c r="AE20" s="7">
        <f t="shared" si="29"/>
        <v>2031</v>
      </c>
      <c r="AF20" s="46">
        <f t="shared" si="2"/>
        <v>41</v>
      </c>
      <c r="AG20" s="16">
        <f t="shared" si="3"/>
        <v>19</v>
      </c>
      <c r="AH20" s="46">
        <f t="shared" si="43"/>
        <v>60</v>
      </c>
      <c r="AJ20" s="32">
        <f t="shared" si="30"/>
        <v>0</v>
      </c>
      <c r="AK20" s="32">
        <f t="shared" si="30"/>
        <v>0</v>
      </c>
      <c r="AL20" s="32">
        <f t="shared" si="4"/>
        <v>0</v>
      </c>
      <c r="AN20" s="77">
        <f t="shared" si="5"/>
        <v>60</v>
      </c>
      <c r="AQ20" s="7">
        <f t="shared" si="31"/>
        <v>2031</v>
      </c>
      <c r="AR20" s="46">
        <f t="shared" si="6"/>
        <v>41</v>
      </c>
      <c r="AS20" s="46">
        <f t="shared" si="7"/>
        <v>19</v>
      </c>
      <c r="AT20" s="91">
        <f t="shared" si="8"/>
        <v>3.5000000000000003E-2</v>
      </c>
      <c r="AU20" s="16">
        <f t="shared" si="47"/>
        <v>0</v>
      </c>
      <c r="AV20" s="53">
        <f t="shared" si="9"/>
        <v>2.2890000000000001</v>
      </c>
      <c r="AW20" s="46">
        <f t="shared" si="10"/>
        <v>23</v>
      </c>
      <c r="AX20" s="91"/>
      <c r="AY20" s="92"/>
      <c r="AZ20" s="46">
        <f t="shared" si="32"/>
        <v>83</v>
      </c>
      <c r="BA20" s="17"/>
      <c r="BB20" s="46">
        <v>0</v>
      </c>
      <c r="BC20" s="46">
        <v>0</v>
      </c>
      <c r="BD20" s="47">
        <f t="shared" si="33"/>
        <v>0</v>
      </c>
      <c r="BE20" s="46">
        <f t="shared" si="11"/>
        <v>83</v>
      </c>
      <c r="BH20" s="7">
        <f t="shared" si="34"/>
        <v>2031</v>
      </c>
      <c r="BI20" s="46">
        <v>0</v>
      </c>
      <c r="BJ20" s="16">
        <f t="shared" si="12"/>
        <v>10</v>
      </c>
      <c r="BK20" s="87">
        <f t="shared" si="13"/>
        <v>8.3239999999999998</v>
      </c>
      <c r="BL20" s="46">
        <f t="shared" si="44"/>
        <v>83</v>
      </c>
      <c r="BM20" s="87">
        <f t="shared" si="14"/>
        <v>0.156</v>
      </c>
      <c r="BN20" s="16">
        <f t="shared" si="48"/>
        <v>0</v>
      </c>
      <c r="BO20" s="16"/>
      <c r="BP20" s="46">
        <f t="shared" si="15"/>
        <v>83</v>
      </c>
      <c r="BR20" s="46">
        <f t="shared" si="49"/>
        <v>0</v>
      </c>
      <c r="BS20" s="46"/>
      <c r="BT20" s="46">
        <f t="shared" si="35"/>
        <v>83</v>
      </c>
      <c r="BW20" s="7">
        <f t="shared" si="36"/>
        <v>2031</v>
      </c>
      <c r="BX20" s="46">
        <f t="shared" si="16"/>
        <v>41</v>
      </c>
      <c r="BY20" s="16">
        <f t="shared" si="37"/>
        <v>19</v>
      </c>
      <c r="BZ20" s="116">
        <f t="shared" si="38"/>
        <v>0</v>
      </c>
      <c r="CA20" s="46">
        <f t="shared" si="39"/>
        <v>60</v>
      </c>
      <c r="CC20" s="46">
        <f t="shared" si="40"/>
        <v>0</v>
      </c>
      <c r="CD20" s="46">
        <f t="shared" si="40"/>
        <v>0</v>
      </c>
      <c r="CE20" s="46">
        <f t="shared" si="41"/>
        <v>0</v>
      </c>
      <c r="CF20" s="46"/>
      <c r="CG20" s="46">
        <f t="shared" si="45"/>
        <v>60</v>
      </c>
      <c r="DB20" s="7"/>
    </row>
    <row r="21" spans="1:106">
      <c r="A21" s="3" t="s">
        <v>18</v>
      </c>
      <c r="C21" s="15">
        <f>+'Gas Input Table Summary'!$E$15</f>
        <v>0.01</v>
      </c>
      <c r="E21" s="2" t="s">
        <v>65</v>
      </c>
      <c r="F21" s="15">
        <f>+'Gas Input Table Summary'!$E$44</f>
        <v>0</v>
      </c>
      <c r="G21" s="15"/>
      <c r="H21" s="15"/>
      <c r="J21" s="2">
        <f t="shared" si="17"/>
        <v>7</v>
      </c>
      <c r="L21" s="7">
        <f t="shared" si="18"/>
        <v>2032</v>
      </c>
      <c r="M21" s="16">
        <f t="shared" si="46"/>
        <v>10</v>
      </c>
      <c r="N21" s="53">
        <f t="shared" si="19"/>
        <v>4.2009999999999996</v>
      </c>
      <c r="O21" s="32">
        <f t="shared" si="20"/>
        <v>42</v>
      </c>
      <c r="P21" s="53">
        <f t="shared" si="0"/>
        <v>0</v>
      </c>
      <c r="Q21" s="46">
        <f t="shared" si="21"/>
        <v>0</v>
      </c>
      <c r="R21" s="43">
        <f t="shared" si="22"/>
        <v>42</v>
      </c>
      <c r="S21" s="42">
        <f t="shared" si="23"/>
        <v>0.1</v>
      </c>
      <c r="T21" s="46">
        <f t="shared" si="24"/>
        <v>188</v>
      </c>
      <c r="U21" s="44">
        <f t="shared" si="42"/>
        <v>19</v>
      </c>
      <c r="V21" s="16">
        <f t="shared" si="25"/>
        <v>61</v>
      </c>
      <c r="W21" s="45">
        <f t="shared" si="1"/>
        <v>1.4119999999999999</v>
      </c>
      <c r="X21" s="46">
        <f t="shared" si="26"/>
        <v>11</v>
      </c>
      <c r="Y21" s="46">
        <v>0</v>
      </c>
      <c r="Z21" s="46">
        <v>0</v>
      </c>
      <c r="AA21" s="46">
        <f t="shared" si="27"/>
        <v>11</v>
      </c>
      <c r="AB21" s="46">
        <f t="shared" si="28"/>
        <v>50</v>
      </c>
      <c r="AE21" s="7">
        <f t="shared" si="29"/>
        <v>2032</v>
      </c>
      <c r="AF21" s="46">
        <f t="shared" si="2"/>
        <v>42</v>
      </c>
      <c r="AG21" s="16">
        <f t="shared" si="3"/>
        <v>19</v>
      </c>
      <c r="AH21" s="46">
        <f t="shared" si="43"/>
        <v>61</v>
      </c>
      <c r="AJ21" s="32">
        <f t="shared" si="30"/>
        <v>0</v>
      </c>
      <c r="AK21" s="32">
        <f t="shared" si="30"/>
        <v>0</v>
      </c>
      <c r="AL21" s="32">
        <f t="shared" si="4"/>
        <v>0</v>
      </c>
      <c r="AN21" s="77">
        <f t="shared" si="5"/>
        <v>61</v>
      </c>
      <c r="AQ21" s="7">
        <f t="shared" si="31"/>
        <v>2032</v>
      </c>
      <c r="AR21" s="46">
        <f t="shared" si="6"/>
        <v>42</v>
      </c>
      <c r="AS21" s="46">
        <f t="shared" si="7"/>
        <v>19</v>
      </c>
      <c r="AT21" s="91">
        <f t="shared" si="8"/>
        <v>3.5999999999999997E-2</v>
      </c>
      <c r="AU21" s="16">
        <f t="shared" si="47"/>
        <v>0</v>
      </c>
      <c r="AV21" s="53">
        <f t="shared" si="9"/>
        <v>2.3279999999999998</v>
      </c>
      <c r="AW21" s="46">
        <f t="shared" si="10"/>
        <v>23</v>
      </c>
      <c r="AX21" s="91"/>
      <c r="AY21" s="92"/>
      <c r="AZ21" s="46">
        <f t="shared" si="32"/>
        <v>84</v>
      </c>
      <c r="BA21" s="17"/>
      <c r="BB21" s="46">
        <v>0</v>
      </c>
      <c r="BC21" s="46">
        <v>0</v>
      </c>
      <c r="BD21" s="47">
        <f t="shared" si="33"/>
        <v>0</v>
      </c>
      <c r="BE21" s="46">
        <f t="shared" si="11"/>
        <v>84</v>
      </c>
      <c r="BH21" s="7">
        <f t="shared" si="34"/>
        <v>2032</v>
      </c>
      <c r="BI21" s="46">
        <v>0</v>
      </c>
      <c r="BJ21" s="16">
        <f t="shared" si="12"/>
        <v>10</v>
      </c>
      <c r="BK21" s="87">
        <f t="shared" si="13"/>
        <v>8.5730000000000004</v>
      </c>
      <c r="BL21" s="46">
        <f t="shared" si="44"/>
        <v>86</v>
      </c>
      <c r="BM21" s="87">
        <f t="shared" si="14"/>
        <v>0.161</v>
      </c>
      <c r="BN21" s="16">
        <f t="shared" si="48"/>
        <v>0</v>
      </c>
      <c r="BO21" s="16"/>
      <c r="BP21" s="46">
        <f t="shared" si="15"/>
        <v>86</v>
      </c>
      <c r="BR21" s="46">
        <f t="shared" si="49"/>
        <v>0</v>
      </c>
      <c r="BS21" s="46"/>
      <c r="BT21" s="46">
        <f t="shared" si="35"/>
        <v>86</v>
      </c>
      <c r="BW21" s="7">
        <f t="shared" si="36"/>
        <v>2032</v>
      </c>
      <c r="BX21" s="46">
        <f t="shared" si="16"/>
        <v>42</v>
      </c>
      <c r="BY21" s="16">
        <f t="shared" si="37"/>
        <v>19</v>
      </c>
      <c r="BZ21" s="116">
        <f t="shared" si="38"/>
        <v>0</v>
      </c>
      <c r="CA21" s="46">
        <f t="shared" si="39"/>
        <v>61</v>
      </c>
      <c r="CC21" s="46">
        <f t="shared" si="40"/>
        <v>0</v>
      </c>
      <c r="CD21" s="46">
        <f t="shared" si="40"/>
        <v>0</v>
      </c>
      <c r="CE21" s="46">
        <f t="shared" si="41"/>
        <v>0</v>
      </c>
      <c r="CF21" s="46"/>
      <c r="CG21" s="46">
        <f t="shared" si="45"/>
        <v>61</v>
      </c>
    </row>
    <row r="22" spans="1:106">
      <c r="F22" s="16"/>
      <c r="G22" s="16"/>
      <c r="H22" s="16"/>
      <c r="J22" s="2">
        <f t="shared" si="17"/>
        <v>8</v>
      </c>
      <c r="L22" s="7">
        <f t="shared" si="18"/>
        <v>2033</v>
      </c>
      <c r="M22" s="16">
        <f t="shared" si="46"/>
        <v>10</v>
      </c>
      <c r="N22" s="53">
        <f t="shared" si="19"/>
        <v>4.327</v>
      </c>
      <c r="O22" s="32">
        <f t="shared" si="20"/>
        <v>43</v>
      </c>
      <c r="P22" s="53">
        <f t="shared" si="0"/>
        <v>0</v>
      </c>
      <c r="Q22" s="46">
        <f t="shared" si="21"/>
        <v>0</v>
      </c>
      <c r="R22" s="43">
        <f t="shared" si="22"/>
        <v>43</v>
      </c>
      <c r="S22" s="42">
        <f t="shared" si="23"/>
        <v>0.1</v>
      </c>
      <c r="T22" s="46">
        <f t="shared" si="24"/>
        <v>190</v>
      </c>
      <c r="U22" s="44">
        <f t="shared" si="42"/>
        <v>19</v>
      </c>
      <c r="V22" s="16">
        <f t="shared" si="25"/>
        <v>62</v>
      </c>
      <c r="W22" s="45">
        <f t="shared" si="1"/>
        <v>1.454</v>
      </c>
      <c r="X22" s="46">
        <f t="shared" si="26"/>
        <v>11</v>
      </c>
      <c r="Y22" s="46">
        <v>0</v>
      </c>
      <c r="Z22" s="46">
        <v>0</v>
      </c>
      <c r="AA22" s="46">
        <f t="shared" si="27"/>
        <v>11</v>
      </c>
      <c r="AB22" s="46">
        <f t="shared" si="28"/>
        <v>51</v>
      </c>
      <c r="AE22" s="7">
        <f t="shared" si="29"/>
        <v>2033</v>
      </c>
      <c r="AF22" s="46">
        <f t="shared" si="2"/>
        <v>43</v>
      </c>
      <c r="AG22" s="16">
        <f t="shared" si="3"/>
        <v>19</v>
      </c>
      <c r="AH22" s="46">
        <f t="shared" si="43"/>
        <v>62</v>
      </c>
      <c r="AJ22" s="32">
        <f t="shared" si="30"/>
        <v>0</v>
      </c>
      <c r="AK22" s="32">
        <f t="shared" si="30"/>
        <v>0</v>
      </c>
      <c r="AL22" s="32">
        <f t="shared" si="4"/>
        <v>0</v>
      </c>
      <c r="AN22" s="77">
        <f t="shared" si="5"/>
        <v>62</v>
      </c>
      <c r="AQ22" s="7">
        <f t="shared" si="31"/>
        <v>2033</v>
      </c>
      <c r="AR22" s="46">
        <f t="shared" si="6"/>
        <v>43</v>
      </c>
      <c r="AS22" s="46">
        <f t="shared" si="7"/>
        <v>19</v>
      </c>
      <c r="AT22" s="91">
        <f t="shared" si="8"/>
        <v>3.6999999999999998E-2</v>
      </c>
      <c r="AU22" s="16">
        <f t="shared" si="47"/>
        <v>0</v>
      </c>
      <c r="AV22" s="53">
        <f t="shared" si="9"/>
        <v>2.367</v>
      </c>
      <c r="AW22" s="46">
        <f t="shared" si="10"/>
        <v>24</v>
      </c>
      <c r="AX22" s="91"/>
      <c r="AY22" s="92"/>
      <c r="AZ22" s="46">
        <f t="shared" si="32"/>
        <v>86</v>
      </c>
      <c r="BA22" s="17"/>
      <c r="BB22" s="46">
        <v>0</v>
      </c>
      <c r="BC22" s="46">
        <v>0</v>
      </c>
      <c r="BD22" s="47">
        <f t="shared" si="33"/>
        <v>0</v>
      </c>
      <c r="BE22" s="46">
        <f t="shared" si="11"/>
        <v>86</v>
      </c>
      <c r="BH22" s="7">
        <f t="shared" si="34"/>
        <v>2033</v>
      </c>
      <c r="BI22" s="46">
        <v>0</v>
      </c>
      <c r="BJ22" s="16">
        <f t="shared" si="12"/>
        <v>10</v>
      </c>
      <c r="BK22" s="87">
        <f t="shared" si="13"/>
        <v>8.8309999999999995</v>
      </c>
      <c r="BL22" s="46">
        <f t="shared" si="44"/>
        <v>88</v>
      </c>
      <c r="BM22" s="87">
        <f t="shared" si="14"/>
        <v>0.16500000000000001</v>
      </c>
      <c r="BN22" s="16">
        <f t="shared" si="48"/>
        <v>0</v>
      </c>
      <c r="BO22" s="16"/>
      <c r="BP22" s="46">
        <f t="shared" si="15"/>
        <v>88</v>
      </c>
      <c r="BR22" s="46">
        <f t="shared" si="49"/>
        <v>0</v>
      </c>
      <c r="BS22" s="46"/>
      <c r="BT22" s="46">
        <f t="shared" si="35"/>
        <v>88</v>
      </c>
      <c r="BW22" s="7">
        <f t="shared" si="36"/>
        <v>2033</v>
      </c>
      <c r="BX22" s="46">
        <f t="shared" si="16"/>
        <v>43</v>
      </c>
      <c r="BY22" s="16">
        <f t="shared" si="37"/>
        <v>19</v>
      </c>
      <c r="BZ22" s="116">
        <f t="shared" si="38"/>
        <v>0</v>
      </c>
      <c r="CA22" s="46">
        <f t="shared" si="39"/>
        <v>62</v>
      </c>
      <c r="CC22" s="46">
        <f t="shared" si="40"/>
        <v>0</v>
      </c>
      <c r="CD22" s="46">
        <f t="shared" si="40"/>
        <v>0</v>
      </c>
      <c r="CE22" s="46">
        <f t="shared" si="41"/>
        <v>0</v>
      </c>
      <c r="CF22" s="46"/>
      <c r="CG22" s="46">
        <f t="shared" si="45"/>
        <v>62</v>
      </c>
    </row>
    <row r="23" spans="1:106">
      <c r="A23" s="3" t="s">
        <v>68</v>
      </c>
      <c r="C23" s="21">
        <f>+'Gas Input Table Summary'!$E$16</f>
        <v>0.01</v>
      </c>
      <c r="E23" s="3" t="s">
        <v>69</v>
      </c>
      <c r="F23" s="138">
        <f>ROUND('Database Inputs'!D16,0)</f>
        <v>20</v>
      </c>
      <c r="G23" s="132"/>
      <c r="H23" s="132"/>
      <c r="J23" s="2">
        <f t="shared" si="17"/>
        <v>9</v>
      </c>
      <c r="L23" s="7">
        <f t="shared" si="18"/>
        <v>2034</v>
      </c>
      <c r="M23" s="16">
        <f t="shared" si="46"/>
        <v>10</v>
      </c>
      <c r="N23" s="53">
        <f t="shared" si="19"/>
        <v>4.4569999999999999</v>
      </c>
      <c r="O23" s="32">
        <f t="shared" si="20"/>
        <v>45</v>
      </c>
      <c r="P23" s="53">
        <f t="shared" si="0"/>
        <v>0</v>
      </c>
      <c r="Q23" s="46">
        <f t="shared" si="21"/>
        <v>0</v>
      </c>
      <c r="R23" s="43">
        <f t="shared" si="22"/>
        <v>45</v>
      </c>
      <c r="S23" s="42">
        <f t="shared" si="23"/>
        <v>0.1</v>
      </c>
      <c r="T23" s="46">
        <f t="shared" si="24"/>
        <v>192</v>
      </c>
      <c r="U23" s="44">
        <f t="shared" si="42"/>
        <v>19</v>
      </c>
      <c r="V23" s="16">
        <f t="shared" si="25"/>
        <v>64</v>
      </c>
      <c r="W23" s="45">
        <f t="shared" si="1"/>
        <v>1.498</v>
      </c>
      <c r="X23" s="46">
        <f t="shared" si="26"/>
        <v>12</v>
      </c>
      <c r="Y23" s="46">
        <v>0</v>
      </c>
      <c r="Z23" s="46">
        <v>0</v>
      </c>
      <c r="AA23" s="46">
        <f t="shared" si="27"/>
        <v>12</v>
      </c>
      <c r="AB23" s="46">
        <f t="shared" si="28"/>
        <v>52</v>
      </c>
      <c r="AE23" s="7">
        <f t="shared" si="29"/>
        <v>2034</v>
      </c>
      <c r="AF23" s="46">
        <f t="shared" si="2"/>
        <v>45</v>
      </c>
      <c r="AG23" s="16">
        <f t="shared" si="3"/>
        <v>19</v>
      </c>
      <c r="AH23" s="46">
        <f t="shared" si="43"/>
        <v>64</v>
      </c>
      <c r="AJ23" s="32">
        <f t="shared" si="30"/>
        <v>0</v>
      </c>
      <c r="AK23" s="32">
        <f t="shared" si="30"/>
        <v>0</v>
      </c>
      <c r="AL23" s="32">
        <f t="shared" si="4"/>
        <v>0</v>
      </c>
      <c r="AN23" s="77">
        <f t="shared" si="5"/>
        <v>64</v>
      </c>
      <c r="AQ23" s="7">
        <f t="shared" si="31"/>
        <v>2034</v>
      </c>
      <c r="AR23" s="46">
        <f t="shared" si="6"/>
        <v>45</v>
      </c>
      <c r="AS23" s="46">
        <f t="shared" si="7"/>
        <v>19</v>
      </c>
      <c r="AT23" s="91">
        <f t="shared" si="8"/>
        <v>3.9E-2</v>
      </c>
      <c r="AU23" s="16">
        <f t="shared" si="47"/>
        <v>0</v>
      </c>
      <c r="AV23" s="53">
        <f t="shared" si="9"/>
        <v>2.407</v>
      </c>
      <c r="AW23" s="46">
        <f t="shared" si="10"/>
        <v>24</v>
      </c>
      <c r="AX23" s="91"/>
      <c r="AY23" s="92"/>
      <c r="AZ23" s="46">
        <f t="shared" si="32"/>
        <v>88</v>
      </c>
      <c r="BA23" s="17"/>
      <c r="BB23" s="46">
        <v>0</v>
      </c>
      <c r="BC23" s="46">
        <v>0</v>
      </c>
      <c r="BD23" s="47">
        <f t="shared" si="33"/>
        <v>0</v>
      </c>
      <c r="BE23" s="46">
        <f t="shared" si="11"/>
        <v>88</v>
      </c>
      <c r="BH23" s="7">
        <f t="shared" si="34"/>
        <v>2034</v>
      </c>
      <c r="BI23" s="46">
        <v>0</v>
      </c>
      <c r="BJ23" s="16">
        <f t="shared" si="12"/>
        <v>10</v>
      </c>
      <c r="BK23" s="87">
        <f t="shared" si="13"/>
        <v>9.0960000000000001</v>
      </c>
      <c r="BL23" s="46">
        <f t="shared" si="44"/>
        <v>91</v>
      </c>
      <c r="BM23" s="87">
        <f t="shared" si="14"/>
        <v>0.17</v>
      </c>
      <c r="BN23" s="16">
        <f t="shared" si="48"/>
        <v>0</v>
      </c>
      <c r="BO23" s="16"/>
      <c r="BP23" s="46">
        <f t="shared" si="15"/>
        <v>91</v>
      </c>
      <c r="BR23" s="46">
        <f t="shared" si="49"/>
        <v>0</v>
      </c>
      <c r="BS23" s="46"/>
      <c r="BT23" s="46">
        <f t="shared" si="35"/>
        <v>91</v>
      </c>
      <c r="BW23" s="7">
        <f t="shared" si="36"/>
        <v>2034</v>
      </c>
      <c r="BX23" s="46">
        <f t="shared" si="16"/>
        <v>45</v>
      </c>
      <c r="BY23" s="16">
        <f t="shared" si="37"/>
        <v>19</v>
      </c>
      <c r="BZ23" s="116">
        <f t="shared" si="38"/>
        <v>0</v>
      </c>
      <c r="CA23" s="46">
        <f t="shared" si="39"/>
        <v>64</v>
      </c>
      <c r="CC23" s="46">
        <f t="shared" si="40"/>
        <v>0</v>
      </c>
      <c r="CD23" s="46">
        <f t="shared" si="40"/>
        <v>0</v>
      </c>
      <c r="CE23" s="46">
        <f t="shared" si="41"/>
        <v>0</v>
      </c>
      <c r="CF23" s="46"/>
      <c r="CG23" s="46">
        <f t="shared" si="45"/>
        <v>64</v>
      </c>
    </row>
    <row r="24" spans="1:106">
      <c r="F24" s="250"/>
      <c r="G24" s="16"/>
      <c r="H24" s="16"/>
      <c r="J24" s="2">
        <f t="shared" si="17"/>
        <v>10</v>
      </c>
      <c r="L24" s="7">
        <f t="shared" si="18"/>
        <v>2035</v>
      </c>
      <c r="M24" s="16">
        <f t="shared" si="46"/>
        <v>10</v>
      </c>
      <c r="N24" s="53">
        <f t="shared" si="19"/>
        <v>4.5910000000000002</v>
      </c>
      <c r="O24" s="32">
        <f t="shared" si="20"/>
        <v>46</v>
      </c>
      <c r="P24" s="53">
        <f t="shared" si="0"/>
        <v>0</v>
      </c>
      <c r="Q24" s="46">
        <f t="shared" si="21"/>
        <v>0</v>
      </c>
      <c r="R24" s="43">
        <f t="shared" si="22"/>
        <v>46</v>
      </c>
      <c r="S24" s="42">
        <f t="shared" si="23"/>
        <v>0.1</v>
      </c>
      <c r="T24" s="46">
        <f t="shared" si="24"/>
        <v>194</v>
      </c>
      <c r="U24" s="44">
        <f t="shared" si="42"/>
        <v>19</v>
      </c>
      <c r="V24" s="16">
        <f t="shared" si="25"/>
        <v>65</v>
      </c>
      <c r="W24" s="45">
        <f t="shared" si="1"/>
        <v>1.5429999999999999</v>
      </c>
      <c r="X24" s="46">
        <f t="shared" si="26"/>
        <v>12</v>
      </c>
      <c r="Y24" s="46">
        <v>0</v>
      </c>
      <c r="Z24" s="46">
        <v>0</v>
      </c>
      <c r="AA24" s="46">
        <f t="shared" si="27"/>
        <v>12</v>
      </c>
      <c r="AB24" s="46">
        <f t="shared" si="28"/>
        <v>53</v>
      </c>
      <c r="AE24" s="7">
        <f t="shared" si="29"/>
        <v>2035</v>
      </c>
      <c r="AF24" s="46">
        <f t="shared" si="2"/>
        <v>46</v>
      </c>
      <c r="AG24" s="16">
        <f t="shared" si="3"/>
        <v>19</v>
      </c>
      <c r="AH24" s="46">
        <f t="shared" si="43"/>
        <v>65</v>
      </c>
      <c r="AJ24" s="32">
        <f t="shared" si="30"/>
        <v>0</v>
      </c>
      <c r="AK24" s="32">
        <f t="shared" si="30"/>
        <v>0</v>
      </c>
      <c r="AL24" s="32">
        <f t="shared" si="4"/>
        <v>0</v>
      </c>
      <c r="AN24" s="77">
        <f t="shared" si="5"/>
        <v>65</v>
      </c>
      <c r="AQ24" s="7">
        <f t="shared" si="31"/>
        <v>2035</v>
      </c>
      <c r="AR24" s="46">
        <f t="shared" si="6"/>
        <v>46</v>
      </c>
      <c r="AS24" s="46">
        <f t="shared" si="7"/>
        <v>19</v>
      </c>
      <c r="AT24" s="91">
        <f t="shared" si="8"/>
        <v>0.04</v>
      </c>
      <c r="AU24" s="16">
        <f t="shared" si="47"/>
        <v>0</v>
      </c>
      <c r="AV24" s="53">
        <f t="shared" si="9"/>
        <v>2.448</v>
      </c>
      <c r="AW24" s="46">
        <f t="shared" si="10"/>
        <v>24</v>
      </c>
      <c r="AX24" s="91"/>
      <c r="AY24" s="92"/>
      <c r="AZ24" s="46">
        <f t="shared" si="32"/>
        <v>89</v>
      </c>
      <c r="BA24" s="17"/>
      <c r="BB24" s="46">
        <v>0</v>
      </c>
      <c r="BC24" s="46">
        <v>0</v>
      </c>
      <c r="BD24" s="47">
        <f t="shared" si="33"/>
        <v>0</v>
      </c>
      <c r="BE24" s="46">
        <f t="shared" si="11"/>
        <v>89</v>
      </c>
      <c r="BH24" s="7">
        <f t="shared" si="34"/>
        <v>2035</v>
      </c>
      <c r="BI24" s="46">
        <v>0</v>
      </c>
      <c r="BJ24" s="16">
        <f t="shared" si="12"/>
        <v>10</v>
      </c>
      <c r="BK24" s="87">
        <f t="shared" si="13"/>
        <v>9.3680000000000003</v>
      </c>
      <c r="BL24" s="46">
        <f t="shared" si="44"/>
        <v>94</v>
      </c>
      <c r="BM24" s="87">
        <f t="shared" si="14"/>
        <v>0.17499999999999999</v>
      </c>
      <c r="BN24" s="16">
        <f t="shared" si="48"/>
        <v>0</v>
      </c>
      <c r="BO24" s="16"/>
      <c r="BP24" s="46">
        <f t="shared" si="15"/>
        <v>94</v>
      </c>
      <c r="BR24" s="46">
        <f t="shared" si="49"/>
        <v>0</v>
      </c>
      <c r="BS24" s="46"/>
      <c r="BT24" s="46">
        <f t="shared" si="35"/>
        <v>94</v>
      </c>
      <c r="BW24" s="7">
        <f t="shared" si="36"/>
        <v>2035</v>
      </c>
      <c r="BX24" s="46">
        <f t="shared" si="16"/>
        <v>46</v>
      </c>
      <c r="BY24" s="16">
        <f t="shared" si="37"/>
        <v>19</v>
      </c>
      <c r="BZ24" s="116">
        <f t="shared" si="38"/>
        <v>0</v>
      </c>
      <c r="CA24" s="46">
        <f t="shared" si="39"/>
        <v>65</v>
      </c>
      <c r="CC24" s="46">
        <f t="shared" si="40"/>
        <v>0</v>
      </c>
      <c r="CD24" s="46">
        <f t="shared" si="40"/>
        <v>0</v>
      </c>
      <c r="CE24" s="46">
        <f t="shared" si="41"/>
        <v>0</v>
      </c>
      <c r="CF24" s="46"/>
      <c r="CG24" s="46">
        <f t="shared" si="45"/>
        <v>65</v>
      </c>
    </row>
    <row r="25" spans="1:106">
      <c r="A25" s="130" t="s">
        <v>106</v>
      </c>
      <c r="C25" s="11">
        <f>+'Gas Input Table Summary'!$E$17</f>
        <v>0</v>
      </c>
      <c r="E25" s="119" t="s">
        <v>102</v>
      </c>
      <c r="F25" s="139">
        <f>+ROUND(F32/F30,3)</f>
        <v>5</v>
      </c>
      <c r="G25" s="133"/>
      <c r="H25" s="133"/>
      <c r="J25" s="2">
        <f t="shared" si="17"/>
        <v>11</v>
      </c>
      <c r="L25" s="7">
        <f t="shared" si="18"/>
        <v>2036</v>
      </c>
      <c r="M25" s="16">
        <f t="shared" si="46"/>
        <v>10</v>
      </c>
      <c r="N25" s="53">
        <f t="shared" si="19"/>
        <v>4.7290000000000001</v>
      </c>
      <c r="O25" s="32">
        <f t="shared" si="20"/>
        <v>47</v>
      </c>
      <c r="P25" s="53">
        <f t="shared" si="0"/>
        <v>0</v>
      </c>
      <c r="Q25" s="46">
        <f t="shared" si="21"/>
        <v>0</v>
      </c>
      <c r="R25" s="43">
        <f t="shared" si="22"/>
        <v>47</v>
      </c>
      <c r="S25" s="42">
        <f t="shared" si="23"/>
        <v>0.1</v>
      </c>
      <c r="T25" s="46">
        <f t="shared" si="24"/>
        <v>196</v>
      </c>
      <c r="U25" s="44">
        <f t="shared" si="42"/>
        <v>20</v>
      </c>
      <c r="V25" s="16">
        <f t="shared" si="25"/>
        <v>67</v>
      </c>
      <c r="W25" s="45">
        <f t="shared" si="1"/>
        <v>1.589</v>
      </c>
      <c r="X25" s="46">
        <f t="shared" si="26"/>
        <v>13</v>
      </c>
      <c r="Y25" s="46">
        <v>0</v>
      </c>
      <c r="Z25" s="46">
        <v>0</v>
      </c>
      <c r="AA25" s="46">
        <f t="shared" si="27"/>
        <v>13</v>
      </c>
      <c r="AB25" s="46">
        <f t="shared" si="28"/>
        <v>54</v>
      </c>
      <c r="AE25" s="7">
        <f t="shared" si="29"/>
        <v>2036</v>
      </c>
      <c r="AF25" s="46">
        <f t="shared" si="2"/>
        <v>47</v>
      </c>
      <c r="AG25" s="16">
        <f t="shared" si="3"/>
        <v>20</v>
      </c>
      <c r="AH25" s="46">
        <f t="shared" si="43"/>
        <v>67</v>
      </c>
      <c r="AJ25" s="32">
        <f t="shared" si="30"/>
        <v>0</v>
      </c>
      <c r="AK25" s="32">
        <f t="shared" si="30"/>
        <v>0</v>
      </c>
      <c r="AL25" s="32">
        <f t="shared" si="4"/>
        <v>0</v>
      </c>
      <c r="AN25" s="77">
        <f t="shared" si="5"/>
        <v>67</v>
      </c>
      <c r="AQ25" s="7">
        <f t="shared" si="31"/>
        <v>2036</v>
      </c>
      <c r="AR25" s="46">
        <f t="shared" si="6"/>
        <v>47</v>
      </c>
      <c r="AS25" s="46">
        <f t="shared" si="7"/>
        <v>20</v>
      </c>
      <c r="AT25" s="91">
        <f t="shared" si="8"/>
        <v>4.1000000000000002E-2</v>
      </c>
      <c r="AU25" s="16">
        <f t="shared" si="47"/>
        <v>0</v>
      </c>
      <c r="AV25" s="53">
        <f t="shared" si="9"/>
        <v>2.4889999999999999</v>
      </c>
      <c r="AW25" s="46">
        <f t="shared" si="10"/>
        <v>25</v>
      </c>
      <c r="AX25" s="91"/>
      <c r="AY25" s="92"/>
      <c r="AZ25" s="46">
        <f t="shared" si="32"/>
        <v>92</v>
      </c>
      <c r="BA25" s="17"/>
      <c r="BB25" s="46">
        <v>0</v>
      </c>
      <c r="BC25" s="46">
        <v>0</v>
      </c>
      <c r="BD25" s="47">
        <f t="shared" si="33"/>
        <v>0</v>
      </c>
      <c r="BE25" s="46">
        <f t="shared" si="11"/>
        <v>92</v>
      </c>
      <c r="BH25" s="7">
        <f t="shared" si="34"/>
        <v>2036</v>
      </c>
      <c r="BI25" s="46">
        <v>0</v>
      </c>
      <c r="BJ25" s="16">
        <f t="shared" si="12"/>
        <v>10</v>
      </c>
      <c r="BK25" s="87">
        <f t="shared" si="13"/>
        <v>9.6489999999999991</v>
      </c>
      <c r="BL25" s="46">
        <f t="shared" si="44"/>
        <v>96</v>
      </c>
      <c r="BM25" s="87">
        <f t="shared" si="14"/>
        <v>0.18099999999999999</v>
      </c>
      <c r="BN25" s="16">
        <f t="shared" si="48"/>
        <v>0</v>
      </c>
      <c r="BO25" s="16"/>
      <c r="BP25" s="46">
        <f t="shared" si="15"/>
        <v>96</v>
      </c>
      <c r="BR25" s="46">
        <f t="shared" si="49"/>
        <v>0</v>
      </c>
      <c r="BS25" s="46"/>
      <c r="BT25" s="46">
        <f t="shared" si="35"/>
        <v>96</v>
      </c>
      <c r="BW25" s="7">
        <f t="shared" si="36"/>
        <v>2036</v>
      </c>
      <c r="BX25" s="46">
        <f t="shared" si="16"/>
        <v>47</v>
      </c>
      <c r="BY25" s="16">
        <f t="shared" si="37"/>
        <v>20</v>
      </c>
      <c r="BZ25" s="116">
        <f t="shared" si="38"/>
        <v>0</v>
      </c>
      <c r="CA25" s="46">
        <f t="shared" si="39"/>
        <v>67</v>
      </c>
      <c r="CC25" s="46">
        <f t="shared" si="40"/>
        <v>0</v>
      </c>
      <c r="CD25" s="46">
        <f t="shared" si="40"/>
        <v>0</v>
      </c>
      <c r="CE25" s="46">
        <f t="shared" si="41"/>
        <v>0</v>
      </c>
      <c r="CF25" s="46"/>
      <c r="CG25" s="46">
        <f t="shared" si="45"/>
        <v>67</v>
      </c>
    </row>
    <row r="26" spans="1:106">
      <c r="A26" s="3" t="s">
        <v>18</v>
      </c>
      <c r="C26" s="15">
        <f>+'Gas Input Table Summary'!$E$18</f>
        <v>0</v>
      </c>
      <c r="F26" s="250"/>
      <c r="G26" s="16"/>
      <c r="H26" s="16"/>
      <c r="J26" s="2">
        <f t="shared" si="17"/>
        <v>12</v>
      </c>
      <c r="L26" s="7">
        <f t="shared" si="18"/>
        <v>2037</v>
      </c>
      <c r="M26" s="16">
        <f t="shared" si="46"/>
        <v>10</v>
      </c>
      <c r="N26" s="53">
        <f t="shared" si="19"/>
        <v>4.87</v>
      </c>
      <c r="O26" s="32">
        <f t="shared" si="20"/>
        <v>49</v>
      </c>
      <c r="P26" s="53">
        <f t="shared" si="0"/>
        <v>0</v>
      </c>
      <c r="Q26" s="46">
        <f t="shared" si="21"/>
        <v>0</v>
      </c>
      <c r="R26" s="43">
        <f t="shared" si="22"/>
        <v>49</v>
      </c>
      <c r="S26" s="42">
        <f t="shared" si="23"/>
        <v>0.1</v>
      </c>
      <c r="T26" s="46">
        <f t="shared" si="24"/>
        <v>198</v>
      </c>
      <c r="U26" s="44">
        <f t="shared" si="42"/>
        <v>20</v>
      </c>
      <c r="V26" s="16">
        <f t="shared" si="25"/>
        <v>69</v>
      </c>
      <c r="W26" s="45">
        <f t="shared" si="1"/>
        <v>1.637</v>
      </c>
      <c r="X26" s="46">
        <f t="shared" si="26"/>
        <v>13</v>
      </c>
      <c r="Y26" s="46">
        <v>0</v>
      </c>
      <c r="Z26" s="46">
        <v>0</v>
      </c>
      <c r="AA26" s="46">
        <f t="shared" si="27"/>
        <v>13</v>
      </c>
      <c r="AB26" s="46">
        <f t="shared" si="28"/>
        <v>56</v>
      </c>
      <c r="AE26" s="7">
        <f t="shared" si="29"/>
        <v>2037</v>
      </c>
      <c r="AF26" s="46">
        <f t="shared" si="2"/>
        <v>49</v>
      </c>
      <c r="AG26" s="16">
        <f t="shared" si="3"/>
        <v>20</v>
      </c>
      <c r="AH26" s="46">
        <f t="shared" si="43"/>
        <v>69</v>
      </c>
      <c r="AJ26" s="32">
        <f t="shared" si="30"/>
        <v>0</v>
      </c>
      <c r="AK26" s="32">
        <f t="shared" si="30"/>
        <v>0</v>
      </c>
      <c r="AL26" s="32">
        <f t="shared" si="4"/>
        <v>0</v>
      </c>
      <c r="AN26" s="77">
        <f t="shared" si="5"/>
        <v>69</v>
      </c>
      <c r="AQ26" s="7">
        <f t="shared" si="31"/>
        <v>2037</v>
      </c>
      <c r="AR26" s="46">
        <f t="shared" si="6"/>
        <v>49</v>
      </c>
      <c r="AS26" s="46">
        <f t="shared" si="7"/>
        <v>20</v>
      </c>
      <c r="AT26" s="91">
        <f t="shared" si="8"/>
        <v>4.2000000000000003E-2</v>
      </c>
      <c r="AU26" s="16">
        <f t="shared" si="47"/>
        <v>0</v>
      </c>
      <c r="AV26" s="53">
        <f t="shared" si="9"/>
        <v>2.5310000000000001</v>
      </c>
      <c r="AW26" s="46">
        <f t="shared" si="10"/>
        <v>25</v>
      </c>
      <c r="AX26" s="91"/>
      <c r="AY26" s="92"/>
      <c r="AZ26" s="46">
        <f t="shared" si="32"/>
        <v>94</v>
      </c>
      <c r="BA26" s="17"/>
      <c r="BB26" s="46">
        <v>0</v>
      </c>
      <c r="BC26" s="46">
        <v>0</v>
      </c>
      <c r="BD26" s="47">
        <f t="shared" si="33"/>
        <v>0</v>
      </c>
      <c r="BE26" s="46">
        <f t="shared" si="11"/>
        <v>94</v>
      </c>
      <c r="BH26" s="7">
        <f t="shared" si="34"/>
        <v>2037</v>
      </c>
      <c r="BI26" s="46">
        <v>0</v>
      </c>
      <c r="BJ26" s="16">
        <f t="shared" si="12"/>
        <v>10</v>
      </c>
      <c r="BK26" s="87">
        <f t="shared" si="13"/>
        <v>9.9390000000000001</v>
      </c>
      <c r="BL26" s="46">
        <f t="shared" si="44"/>
        <v>99</v>
      </c>
      <c r="BM26" s="87">
        <f t="shared" si="14"/>
        <v>0.186</v>
      </c>
      <c r="BN26" s="16">
        <f t="shared" si="48"/>
        <v>0</v>
      </c>
      <c r="BO26" s="16"/>
      <c r="BP26" s="46">
        <f t="shared" si="15"/>
        <v>99</v>
      </c>
      <c r="BR26" s="46">
        <f t="shared" si="49"/>
        <v>0</v>
      </c>
      <c r="BS26" s="46"/>
      <c r="BT26" s="46">
        <f t="shared" si="35"/>
        <v>99</v>
      </c>
      <c r="BW26" s="7">
        <f t="shared" si="36"/>
        <v>2037</v>
      </c>
      <c r="BX26" s="46">
        <f t="shared" si="16"/>
        <v>49</v>
      </c>
      <c r="BY26" s="16">
        <f t="shared" si="37"/>
        <v>20</v>
      </c>
      <c r="BZ26" s="116">
        <f t="shared" si="38"/>
        <v>0</v>
      </c>
      <c r="CA26" s="46">
        <f t="shared" si="39"/>
        <v>69</v>
      </c>
      <c r="CC26" s="46">
        <f t="shared" si="40"/>
        <v>0</v>
      </c>
      <c r="CD26" s="46">
        <f t="shared" si="40"/>
        <v>0</v>
      </c>
      <c r="CE26" s="46">
        <f t="shared" si="41"/>
        <v>0</v>
      </c>
      <c r="CF26" s="46"/>
      <c r="CG26" s="46">
        <f t="shared" si="45"/>
        <v>69</v>
      </c>
    </row>
    <row r="27" spans="1:106">
      <c r="A27" s="3"/>
      <c r="C27" s="15"/>
      <c r="E27" s="3" t="s">
        <v>70</v>
      </c>
      <c r="F27" s="250">
        <f>+'Database Inputs'!H16</f>
        <v>0</v>
      </c>
      <c r="G27" s="142"/>
      <c r="H27" s="142"/>
      <c r="J27" s="2">
        <f t="shared" si="17"/>
        <v>13</v>
      </c>
      <c r="L27" s="7">
        <f t="shared" si="18"/>
        <v>2038</v>
      </c>
      <c r="M27" s="16">
        <f t="shared" si="46"/>
        <v>10</v>
      </c>
      <c r="N27" s="53">
        <f t="shared" si="19"/>
        <v>5.0170000000000003</v>
      </c>
      <c r="O27" s="32">
        <f t="shared" si="20"/>
        <v>50</v>
      </c>
      <c r="P27" s="53">
        <f t="shared" si="0"/>
        <v>0</v>
      </c>
      <c r="Q27" s="46">
        <f t="shared" si="21"/>
        <v>0</v>
      </c>
      <c r="R27" s="43">
        <f t="shared" si="22"/>
        <v>50</v>
      </c>
      <c r="S27" s="42">
        <f t="shared" si="23"/>
        <v>0.1</v>
      </c>
      <c r="T27" s="46">
        <f t="shared" si="24"/>
        <v>200</v>
      </c>
      <c r="U27" s="44">
        <f t="shared" si="42"/>
        <v>20</v>
      </c>
      <c r="V27" s="16">
        <f t="shared" si="25"/>
        <v>70</v>
      </c>
      <c r="W27" s="45">
        <f t="shared" si="1"/>
        <v>1.6859999999999999</v>
      </c>
      <c r="X27" s="46">
        <f t="shared" si="26"/>
        <v>13</v>
      </c>
      <c r="Y27" s="46">
        <v>0</v>
      </c>
      <c r="Z27" s="46">
        <v>0</v>
      </c>
      <c r="AA27" s="46">
        <f t="shared" si="27"/>
        <v>13</v>
      </c>
      <c r="AB27" s="46">
        <f t="shared" si="28"/>
        <v>57</v>
      </c>
      <c r="AE27" s="7">
        <f t="shared" si="29"/>
        <v>2038</v>
      </c>
      <c r="AF27" s="46">
        <f t="shared" si="2"/>
        <v>50</v>
      </c>
      <c r="AG27" s="16">
        <f t="shared" si="3"/>
        <v>20</v>
      </c>
      <c r="AH27" s="46">
        <f t="shared" si="43"/>
        <v>70</v>
      </c>
      <c r="AJ27" s="32">
        <f t="shared" si="30"/>
        <v>0</v>
      </c>
      <c r="AK27" s="32">
        <f t="shared" si="30"/>
        <v>0</v>
      </c>
      <c r="AL27" s="32">
        <f t="shared" si="4"/>
        <v>0</v>
      </c>
      <c r="AN27" s="77">
        <f t="shared" si="5"/>
        <v>70</v>
      </c>
      <c r="AQ27" s="7">
        <f t="shared" si="31"/>
        <v>2038</v>
      </c>
      <c r="AR27" s="46">
        <f t="shared" si="6"/>
        <v>50</v>
      </c>
      <c r="AS27" s="46">
        <f t="shared" si="7"/>
        <v>20</v>
      </c>
      <c r="AT27" s="91">
        <f t="shared" si="8"/>
        <v>4.2999999999999997E-2</v>
      </c>
      <c r="AU27" s="16">
        <f t="shared" si="47"/>
        <v>0</v>
      </c>
      <c r="AV27" s="53">
        <f t="shared" si="9"/>
        <v>2.5739999999999998</v>
      </c>
      <c r="AW27" s="46">
        <f t="shared" si="10"/>
        <v>26</v>
      </c>
      <c r="AX27" s="91"/>
      <c r="AY27" s="92"/>
      <c r="AZ27" s="46">
        <f t="shared" si="32"/>
        <v>96</v>
      </c>
      <c r="BA27" s="17"/>
      <c r="BB27" s="46">
        <v>0</v>
      </c>
      <c r="BC27" s="46">
        <v>0</v>
      </c>
      <c r="BD27" s="47">
        <f t="shared" si="33"/>
        <v>0</v>
      </c>
      <c r="BE27" s="46">
        <f t="shared" si="11"/>
        <v>96</v>
      </c>
      <c r="BH27" s="7">
        <f t="shared" si="34"/>
        <v>2038</v>
      </c>
      <c r="BI27" s="46">
        <v>0</v>
      </c>
      <c r="BJ27" s="16">
        <f t="shared" si="12"/>
        <v>10</v>
      </c>
      <c r="BK27" s="87">
        <f t="shared" si="13"/>
        <v>10.237</v>
      </c>
      <c r="BL27" s="46">
        <f t="shared" si="44"/>
        <v>102</v>
      </c>
      <c r="BM27" s="87">
        <f t="shared" si="14"/>
        <v>0.192</v>
      </c>
      <c r="BN27" s="16">
        <f t="shared" si="48"/>
        <v>0</v>
      </c>
      <c r="BO27" s="16"/>
      <c r="BP27" s="46">
        <f t="shared" si="15"/>
        <v>102</v>
      </c>
      <c r="BR27" s="46">
        <f t="shared" si="49"/>
        <v>0</v>
      </c>
      <c r="BS27" s="46"/>
      <c r="BT27" s="46">
        <f t="shared" si="35"/>
        <v>102</v>
      </c>
      <c r="BW27" s="7">
        <f t="shared" si="36"/>
        <v>2038</v>
      </c>
      <c r="BX27" s="46">
        <f t="shared" si="16"/>
        <v>50</v>
      </c>
      <c r="BY27" s="16">
        <f t="shared" si="37"/>
        <v>20</v>
      </c>
      <c r="BZ27" s="116">
        <f t="shared" si="38"/>
        <v>0</v>
      </c>
      <c r="CA27" s="46">
        <f t="shared" si="39"/>
        <v>70</v>
      </c>
      <c r="CC27" s="46">
        <f t="shared" si="40"/>
        <v>0</v>
      </c>
      <c r="CD27" s="46">
        <f t="shared" si="40"/>
        <v>0</v>
      </c>
      <c r="CE27" s="46">
        <f t="shared" si="41"/>
        <v>0</v>
      </c>
      <c r="CF27" s="46"/>
      <c r="CG27" s="46">
        <f t="shared" si="45"/>
        <v>70</v>
      </c>
    </row>
    <row r="28" spans="1:106">
      <c r="A28" s="3" t="s">
        <v>71</v>
      </c>
      <c r="C28" s="140">
        <f>+'Gas Input Table Summary'!$E$19</f>
        <v>2.7300000000000001E-2</v>
      </c>
      <c r="E28" s="127" t="s">
        <v>72</v>
      </c>
      <c r="F28" s="250">
        <v>0</v>
      </c>
      <c r="G28" s="142"/>
      <c r="H28" s="142"/>
      <c r="J28" s="2">
        <f t="shared" si="17"/>
        <v>14</v>
      </c>
      <c r="L28" s="7">
        <f t="shared" si="18"/>
        <v>2039</v>
      </c>
      <c r="M28" s="16">
        <f t="shared" si="46"/>
        <v>10</v>
      </c>
      <c r="N28" s="53">
        <f t="shared" si="19"/>
        <v>5.1669999999999998</v>
      </c>
      <c r="O28" s="32">
        <f t="shared" si="20"/>
        <v>52</v>
      </c>
      <c r="P28" s="53">
        <f t="shared" si="0"/>
        <v>0</v>
      </c>
      <c r="Q28" s="46">
        <f t="shared" si="21"/>
        <v>0</v>
      </c>
      <c r="R28" s="43">
        <f t="shared" si="22"/>
        <v>52</v>
      </c>
      <c r="S28" s="42">
        <f t="shared" si="23"/>
        <v>0.1</v>
      </c>
      <c r="T28" s="46">
        <f t="shared" si="24"/>
        <v>202</v>
      </c>
      <c r="U28" s="44">
        <f t="shared" si="42"/>
        <v>20</v>
      </c>
      <c r="V28" s="16">
        <f t="shared" si="25"/>
        <v>72</v>
      </c>
      <c r="W28" s="45">
        <f t="shared" si="1"/>
        <v>1.736</v>
      </c>
      <c r="X28" s="46">
        <f t="shared" si="26"/>
        <v>14</v>
      </c>
      <c r="Y28" s="46">
        <v>0</v>
      </c>
      <c r="Z28" s="46">
        <v>0</v>
      </c>
      <c r="AA28" s="46">
        <f t="shared" si="27"/>
        <v>14</v>
      </c>
      <c r="AB28" s="46">
        <f t="shared" si="28"/>
        <v>58</v>
      </c>
      <c r="AE28" s="7">
        <f t="shared" si="29"/>
        <v>2039</v>
      </c>
      <c r="AF28" s="46">
        <f t="shared" si="2"/>
        <v>52</v>
      </c>
      <c r="AG28" s="16">
        <f t="shared" si="3"/>
        <v>20</v>
      </c>
      <c r="AH28" s="46">
        <f t="shared" si="43"/>
        <v>72</v>
      </c>
      <c r="AJ28" s="32">
        <f t="shared" si="30"/>
        <v>0</v>
      </c>
      <c r="AK28" s="32">
        <f t="shared" si="30"/>
        <v>0</v>
      </c>
      <c r="AL28" s="32">
        <f t="shared" si="4"/>
        <v>0</v>
      </c>
      <c r="AN28" s="77">
        <f t="shared" si="5"/>
        <v>72</v>
      </c>
      <c r="AQ28" s="7">
        <f t="shared" si="31"/>
        <v>2039</v>
      </c>
      <c r="AR28" s="46">
        <f t="shared" si="6"/>
        <v>52</v>
      </c>
      <c r="AS28" s="46">
        <f t="shared" si="7"/>
        <v>20</v>
      </c>
      <c r="AT28" s="91">
        <f t="shared" si="8"/>
        <v>4.4999999999999998E-2</v>
      </c>
      <c r="AU28" s="16">
        <f t="shared" si="47"/>
        <v>0</v>
      </c>
      <c r="AV28" s="53">
        <f t="shared" si="9"/>
        <v>2.617</v>
      </c>
      <c r="AW28" s="46">
        <f t="shared" si="10"/>
        <v>26</v>
      </c>
      <c r="AX28" s="91"/>
      <c r="AY28" s="92"/>
      <c r="AZ28" s="46">
        <f t="shared" si="32"/>
        <v>98</v>
      </c>
      <c r="BA28" s="17"/>
      <c r="BB28" s="46">
        <v>0</v>
      </c>
      <c r="BC28" s="46">
        <v>0</v>
      </c>
      <c r="BD28" s="47">
        <f t="shared" si="33"/>
        <v>0</v>
      </c>
      <c r="BE28" s="46">
        <f t="shared" si="11"/>
        <v>98</v>
      </c>
      <c r="BH28" s="7">
        <f t="shared" si="34"/>
        <v>2039</v>
      </c>
      <c r="BI28" s="46">
        <v>0</v>
      </c>
      <c r="BJ28" s="16">
        <f t="shared" si="12"/>
        <v>10</v>
      </c>
      <c r="BK28" s="87">
        <f t="shared" si="13"/>
        <v>10.544</v>
      </c>
      <c r="BL28" s="46">
        <f t="shared" si="44"/>
        <v>105</v>
      </c>
      <c r="BM28" s="87">
        <f t="shared" si="14"/>
        <v>0.19700000000000001</v>
      </c>
      <c r="BN28" s="16">
        <f t="shared" si="48"/>
        <v>0</v>
      </c>
      <c r="BO28" s="16"/>
      <c r="BP28" s="46">
        <f t="shared" si="15"/>
        <v>105</v>
      </c>
      <c r="BR28" s="46">
        <f t="shared" si="49"/>
        <v>0</v>
      </c>
      <c r="BS28" s="46"/>
      <c r="BT28" s="46">
        <f t="shared" si="35"/>
        <v>105</v>
      </c>
      <c r="BW28" s="7">
        <f t="shared" si="36"/>
        <v>2039</v>
      </c>
      <c r="BX28" s="46">
        <f t="shared" si="16"/>
        <v>52</v>
      </c>
      <c r="BY28" s="16">
        <f t="shared" si="37"/>
        <v>20</v>
      </c>
      <c r="BZ28" s="116">
        <f t="shared" si="38"/>
        <v>0</v>
      </c>
      <c r="CA28" s="46">
        <f t="shared" si="39"/>
        <v>72</v>
      </c>
      <c r="CC28" s="46">
        <f t="shared" si="40"/>
        <v>0</v>
      </c>
      <c r="CD28" s="46">
        <f t="shared" si="40"/>
        <v>0</v>
      </c>
      <c r="CE28" s="46">
        <f t="shared" si="41"/>
        <v>0</v>
      </c>
      <c r="CF28" s="46"/>
      <c r="CG28" s="46">
        <f t="shared" si="45"/>
        <v>72</v>
      </c>
    </row>
    <row r="29" spans="1:106">
      <c r="A29" s="3" t="s">
        <v>47</v>
      </c>
      <c r="C29" s="15">
        <f>+'Gas Input Table Summary'!$E$20</f>
        <v>0.03</v>
      </c>
      <c r="E29" s="3"/>
      <c r="F29" s="250"/>
      <c r="G29" s="16"/>
      <c r="H29" s="16"/>
      <c r="J29" s="2">
        <f t="shared" si="17"/>
        <v>15</v>
      </c>
      <c r="L29" s="7">
        <f t="shared" si="18"/>
        <v>2040</v>
      </c>
      <c r="M29" s="16">
        <f t="shared" si="46"/>
        <v>10</v>
      </c>
      <c r="N29" s="53">
        <f t="shared" si="19"/>
        <v>5.3220000000000001</v>
      </c>
      <c r="O29" s="32">
        <f t="shared" si="20"/>
        <v>53</v>
      </c>
      <c r="P29" s="53">
        <f t="shared" si="0"/>
        <v>0</v>
      </c>
      <c r="Q29" s="46">
        <f t="shared" si="21"/>
        <v>0</v>
      </c>
      <c r="R29" s="43">
        <f t="shared" si="22"/>
        <v>53</v>
      </c>
      <c r="S29" s="42">
        <f t="shared" si="23"/>
        <v>0.1</v>
      </c>
      <c r="T29" s="46">
        <f t="shared" si="24"/>
        <v>204</v>
      </c>
      <c r="U29" s="44">
        <f t="shared" si="42"/>
        <v>20</v>
      </c>
      <c r="V29" s="16">
        <f t="shared" si="25"/>
        <v>73</v>
      </c>
      <c r="W29" s="45">
        <f t="shared" si="1"/>
        <v>1.7889999999999999</v>
      </c>
      <c r="X29" s="46">
        <f t="shared" si="26"/>
        <v>14</v>
      </c>
      <c r="Y29" s="49">
        <v>0</v>
      </c>
      <c r="Z29" s="49">
        <v>0</v>
      </c>
      <c r="AA29" s="49">
        <f t="shared" si="27"/>
        <v>14</v>
      </c>
      <c r="AB29" s="49">
        <f t="shared" si="28"/>
        <v>59</v>
      </c>
      <c r="AE29" s="7">
        <f t="shared" si="29"/>
        <v>2040</v>
      </c>
      <c r="AF29" s="46">
        <f t="shared" si="2"/>
        <v>53</v>
      </c>
      <c r="AG29" s="16">
        <f t="shared" si="3"/>
        <v>20</v>
      </c>
      <c r="AH29" s="46">
        <f t="shared" si="43"/>
        <v>73</v>
      </c>
      <c r="AJ29" s="32">
        <f t="shared" si="30"/>
        <v>0</v>
      </c>
      <c r="AK29" s="32">
        <f t="shared" si="30"/>
        <v>0</v>
      </c>
      <c r="AL29" s="32">
        <f t="shared" si="4"/>
        <v>0</v>
      </c>
      <c r="AN29" s="77">
        <f t="shared" si="5"/>
        <v>73</v>
      </c>
      <c r="AQ29" s="7">
        <f t="shared" si="31"/>
        <v>2040</v>
      </c>
      <c r="AR29" s="49">
        <f t="shared" si="6"/>
        <v>53</v>
      </c>
      <c r="AS29" s="46">
        <f t="shared" si="7"/>
        <v>20</v>
      </c>
      <c r="AT29" s="91">
        <f t="shared" si="8"/>
        <v>4.5999999999999999E-2</v>
      </c>
      <c r="AU29" s="16">
        <f t="shared" si="47"/>
        <v>0</v>
      </c>
      <c r="AV29" s="53">
        <f t="shared" si="9"/>
        <v>2.6619999999999999</v>
      </c>
      <c r="AW29" s="46">
        <f t="shared" si="10"/>
        <v>27</v>
      </c>
      <c r="AX29" s="91"/>
      <c r="AY29" s="92"/>
      <c r="AZ29" s="49">
        <f t="shared" si="32"/>
        <v>100</v>
      </c>
      <c r="BA29" s="17"/>
      <c r="BB29" s="49">
        <v>0</v>
      </c>
      <c r="BC29" s="46">
        <v>0</v>
      </c>
      <c r="BD29" s="47">
        <f t="shared" si="33"/>
        <v>0</v>
      </c>
      <c r="BE29" s="49">
        <f t="shared" si="11"/>
        <v>100</v>
      </c>
      <c r="BH29" s="7">
        <f t="shared" si="34"/>
        <v>2040</v>
      </c>
      <c r="BI29" s="46">
        <v>0</v>
      </c>
      <c r="BJ29" s="16">
        <f t="shared" si="12"/>
        <v>10</v>
      </c>
      <c r="BK29" s="87">
        <f t="shared" si="13"/>
        <v>10.861000000000001</v>
      </c>
      <c r="BL29" s="46">
        <f t="shared" si="44"/>
        <v>109</v>
      </c>
      <c r="BM29" s="87">
        <f t="shared" si="14"/>
        <v>0.20300000000000001</v>
      </c>
      <c r="BN29" s="16">
        <f t="shared" si="48"/>
        <v>0</v>
      </c>
      <c r="BO29" s="16"/>
      <c r="BP29" s="46">
        <f t="shared" si="15"/>
        <v>109</v>
      </c>
      <c r="BR29" s="46">
        <f t="shared" si="49"/>
        <v>0</v>
      </c>
      <c r="BS29" s="46"/>
      <c r="BT29" s="46">
        <f t="shared" si="35"/>
        <v>109</v>
      </c>
      <c r="BW29" s="7">
        <f t="shared" si="36"/>
        <v>2040</v>
      </c>
      <c r="BX29" s="46">
        <f t="shared" si="16"/>
        <v>53</v>
      </c>
      <c r="BY29" s="16">
        <f t="shared" si="37"/>
        <v>20</v>
      </c>
      <c r="BZ29" s="116">
        <f t="shared" si="38"/>
        <v>0</v>
      </c>
      <c r="CA29" s="46">
        <f t="shared" si="39"/>
        <v>73</v>
      </c>
      <c r="CC29" s="46">
        <f t="shared" si="40"/>
        <v>0</v>
      </c>
      <c r="CD29" s="46">
        <f t="shared" si="40"/>
        <v>0</v>
      </c>
      <c r="CE29" s="46">
        <f t="shared" si="41"/>
        <v>0</v>
      </c>
      <c r="CF29" s="46"/>
      <c r="CG29" s="46">
        <f t="shared" si="45"/>
        <v>73</v>
      </c>
    </row>
    <row r="30" spans="1:106">
      <c r="E30" s="3" t="s">
        <v>73</v>
      </c>
      <c r="F30" s="138">
        <f>ROUND('Database Inputs'!C16,0)</f>
        <v>2</v>
      </c>
      <c r="G30" s="132"/>
      <c r="H30" s="132"/>
      <c r="J30" s="2">
        <f t="shared" si="17"/>
        <v>16</v>
      </c>
      <c r="L30" s="7">
        <f t="shared" si="18"/>
        <v>2041</v>
      </c>
      <c r="M30" s="16">
        <f t="shared" si="46"/>
        <v>10</v>
      </c>
      <c r="N30" s="53">
        <f t="shared" si="19"/>
        <v>5.4820000000000002</v>
      </c>
      <c r="O30" s="32">
        <f t="shared" si="20"/>
        <v>55</v>
      </c>
      <c r="P30" s="53">
        <f t="shared" si="0"/>
        <v>0</v>
      </c>
      <c r="Q30" s="46">
        <f t="shared" si="21"/>
        <v>0</v>
      </c>
      <c r="R30" s="43">
        <f t="shared" si="22"/>
        <v>55</v>
      </c>
      <c r="S30" s="42">
        <f t="shared" si="23"/>
        <v>0.1</v>
      </c>
      <c r="T30" s="46">
        <f t="shared" si="24"/>
        <v>206</v>
      </c>
      <c r="U30" s="44">
        <f t="shared" si="42"/>
        <v>21</v>
      </c>
      <c r="V30" s="16">
        <f t="shared" si="25"/>
        <v>76</v>
      </c>
      <c r="W30" s="45">
        <f t="shared" si="1"/>
        <v>1.8420000000000001</v>
      </c>
      <c r="X30" s="46">
        <f t="shared" si="26"/>
        <v>15</v>
      </c>
      <c r="Y30" s="49">
        <v>0</v>
      </c>
      <c r="Z30" s="49">
        <v>0</v>
      </c>
      <c r="AA30" s="49">
        <f t="shared" si="27"/>
        <v>15</v>
      </c>
      <c r="AB30" s="49">
        <f t="shared" si="28"/>
        <v>61</v>
      </c>
      <c r="AE30" s="7">
        <f t="shared" si="29"/>
        <v>2041</v>
      </c>
      <c r="AF30" s="46">
        <f t="shared" si="2"/>
        <v>55</v>
      </c>
      <c r="AG30" s="16">
        <f t="shared" si="3"/>
        <v>21</v>
      </c>
      <c r="AH30" s="46">
        <f t="shared" si="43"/>
        <v>76</v>
      </c>
      <c r="AJ30" s="32">
        <f t="shared" si="30"/>
        <v>0</v>
      </c>
      <c r="AK30" s="32">
        <f t="shared" si="30"/>
        <v>0</v>
      </c>
      <c r="AL30" s="32">
        <f t="shared" si="4"/>
        <v>0</v>
      </c>
      <c r="AN30" s="77">
        <f t="shared" si="5"/>
        <v>76</v>
      </c>
      <c r="AQ30" s="7">
        <f t="shared" si="31"/>
        <v>2041</v>
      </c>
      <c r="AR30" s="49">
        <f t="shared" si="6"/>
        <v>55</v>
      </c>
      <c r="AS30" s="46">
        <f t="shared" si="7"/>
        <v>21</v>
      </c>
      <c r="AT30" s="91">
        <f t="shared" si="8"/>
        <v>4.7E-2</v>
      </c>
      <c r="AU30" s="16">
        <f t="shared" si="47"/>
        <v>0</v>
      </c>
      <c r="AV30" s="53">
        <f t="shared" si="9"/>
        <v>2.7069999999999999</v>
      </c>
      <c r="AW30" s="46">
        <f t="shared" si="10"/>
        <v>27</v>
      </c>
      <c r="AX30" s="91"/>
      <c r="AY30" s="92"/>
      <c r="AZ30" s="49">
        <f t="shared" si="32"/>
        <v>103</v>
      </c>
      <c r="BA30" s="17"/>
      <c r="BB30" s="49">
        <v>0</v>
      </c>
      <c r="BC30" s="46">
        <v>0</v>
      </c>
      <c r="BD30" s="47">
        <f t="shared" si="33"/>
        <v>0</v>
      </c>
      <c r="BE30" s="49">
        <f t="shared" si="11"/>
        <v>103</v>
      </c>
      <c r="BH30" s="7">
        <f t="shared" si="34"/>
        <v>2041</v>
      </c>
      <c r="BI30" s="46">
        <v>0</v>
      </c>
      <c r="BJ30" s="16">
        <f t="shared" si="12"/>
        <v>10</v>
      </c>
      <c r="BK30" s="87">
        <f t="shared" si="13"/>
        <v>11.186</v>
      </c>
      <c r="BL30" s="46">
        <f t="shared" si="44"/>
        <v>112</v>
      </c>
      <c r="BM30" s="87">
        <f t="shared" si="14"/>
        <v>0.20899999999999999</v>
      </c>
      <c r="BN30" s="16">
        <f t="shared" si="48"/>
        <v>0</v>
      </c>
      <c r="BO30" s="16"/>
      <c r="BP30" s="46">
        <f t="shared" si="15"/>
        <v>112</v>
      </c>
      <c r="BR30" s="46">
        <f t="shared" si="49"/>
        <v>0</v>
      </c>
      <c r="BS30" s="46"/>
      <c r="BT30" s="46">
        <f t="shared" si="35"/>
        <v>112</v>
      </c>
      <c r="BW30" s="7">
        <f t="shared" si="36"/>
        <v>2041</v>
      </c>
      <c r="BX30" s="46">
        <f t="shared" si="16"/>
        <v>55</v>
      </c>
      <c r="BY30" s="16">
        <f t="shared" si="37"/>
        <v>21</v>
      </c>
      <c r="BZ30" s="116">
        <f t="shared" si="38"/>
        <v>0</v>
      </c>
      <c r="CA30" s="46">
        <f t="shared" si="39"/>
        <v>76</v>
      </c>
      <c r="CC30" s="46">
        <f t="shared" si="40"/>
        <v>0</v>
      </c>
      <c r="CD30" s="46">
        <f t="shared" si="40"/>
        <v>0</v>
      </c>
      <c r="CE30" s="46">
        <f t="shared" si="41"/>
        <v>0</v>
      </c>
      <c r="CF30" s="46"/>
      <c r="CG30" s="46">
        <f t="shared" si="45"/>
        <v>76</v>
      </c>
    </row>
    <row r="31" spans="1:106">
      <c r="A31" s="2" t="s">
        <v>74</v>
      </c>
      <c r="C31" s="13">
        <f>+'Gas Input Table Summary'!$E$21</f>
        <v>7.7189999999999995E-2</v>
      </c>
      <c r="F31" s="250"/>
      <c r="G31" s="16"/>
      <c r="H31" s="16"/>
      <c r="J31" s="2">
        <f t="shared" si="17"/>
        <v>17</v>
      </c>
      <c r="L31" s="7">
        <f t="shared" si="18"/>
        <v>2042</v>
      </c>
      <c r="M31" s="16">
        <f t="shared" si="46"/>
        <v>10</v>
      </c>
      <c r="N31" s="53">
        <f t="shared" si="19"/>
        <v>5.6459999999999999</v>
      </c>
      <c r="O31" s="32">
        <f t="shared" si="20"/>
        <v>56</v>
      </c>
      <c r="P31" s="53">
        <f t="shared" si="0"/>
        <v>0</v>
      </c>
      <c r="Q31" s="46">
        <f t="shared" si="21"/>
        <v>0</v>
      </c>
      <c r="R31" s="43">
        <f t="shared" si="22"/>
        <v>56</v>
      </c>
      <c r="S31" s="42">
        <f t="shared" si="23"/>
        <v>0.1</v>
      </c>
      <c r="T31" s="46">
        <f t="shared" si="24"/>
        <v>208</v>
      </c>
      <c r="U31" s="44">
        <f t="shared" si="42"/>
        <v>21</v>
      </c>
      <c r="V31" s="16">
        <f t="shared" si="25"/>
        <v>77</v>
      </c>
      <c r="W31" s="45">
        <f t="shared" si="1"/>
        <v>1.897</v>
      </c>
      <c r="X31" s="46">
        <f t="shared" si="26"/>
        <v>15</v>
      </c>
      <c r="Y31" s="49">
        <v>0</v>
      </c>
      <c r="Z31" s="49">
        <v>0</v>
      </c>
      <c r="AA31" s="49">
        <f t="shared" si="27"/>
        <v>15</v>
      </c>
      <c r="AB31" s="49">
        <f t="shared" si="28"/>
        <v>62</v>
      </c>
      <c r="AE31" s="7">
        <f t="shared" si="29"/>
        <v>2042</v>
      </c>
      <c r="AF31" s="46">
        <f t="shared" si="2"/>
        <v>56</v>
      </c>
      <c r="AG31" s="16">
        <f t="shared" si="3"/>
        <v>21</v>
      </c>
      <c r="AH31" s="46">
        <f t="shared" si="43"/>
        <v>77</v>
      </c>
      <c r="AJ31" s="32">
        <f t="shared" si="30"/>
        <v>0</v>
      </c>
      <c r="AK31" s="32">
        <f t="shared" si="30"/>
        <v>0</v>
      </c>
      <c r="AL31" s="32">
        <f t="shared" si="4"/>
        <v>0</v>
      </c>
      <c r="AN31" s="77">
        <f t="shared" si="5"/>
        <v>77</v>
      </c>
      <c r="AQ31" s="7">
        <f t="shared" si="31"/>
        <v>2042</v>
      </c>
      <c r="AR31" s="49">
        <f t="shared" si="6"/>
        <v>56</v>
      </c>
      <c r="AS31" s="46">
        <f t="shared" si="7"/>
        <v>21</v>
      </c>
      <c r="AT31" s="91">
        <f t="shared" si="8"/>
        <v>4.9000000000000002E-2</v>
      </c>
      <c r="AU31" s="16">
        <f t="shared" si="47"/>
        <v>0</v>
      </c>
      <c r="AV31" s="53">
        <f t="shared" si="9"/>
        <v>2.7519999999999998</v>
      </c>
      <c r="AW31" s="46">
        <f t="shared" si="10"/>
        <v>28</v>
      </c>
      <c r="AX31" s="91"/>
      <c r="AY31" s="92"/>
      <c r="AZ31" s="49">
        <f t="shared" si="32"/>
        <v>105</v>
      </c>
      <c r="BA31" s="17"/>
      <c r="BB31" s="49">
        <v>0</v>
      </c>
      <c r="BC31" s="46">
        <v>0</v>
      </c>
      <c r="BD31" s="47">
        <f t="shared" si="33"/>
        <v>0</v>
      </c>
      <c r="BE31" s="49">
        <f t="shared" si="11"/>
        <v>105</v>
      </c>
      <c r="BH31" s="7">
        <f t="shared" si="34"/>
        <v>2042</v>
      </c>
      <c r="BI31" s="46">
        <v>0</v>
      </c>
      <c r="BJ31" s="16">
        <f t="shared" si="12"/>
        <v>10</v>
      </c>
      <c r="BK31" s="87">
        <f t="shared" si="13"/>
        <v>11.522</v>
      </c>
      <c r="BL31" s="46">
        <f t="shared" si="44"/>
        <v>115</v>
      </c>
      <c r="BM31" s="87">
        <f t="shared" si="14"/>
        <v>0.216</v>
      </c>
      <c r="BN31" s="16">
        <f t="shared" si="48"/>
        <v>0</v>
      </c>
      <c r="BO31" s="16"/>
      <c r="BP31" s="46">
        <f t="shared" si="15"/>
        <v>115</v>
      </c>
      <c r="BR31" s="46">
        <f t="shared" si="49"/>
        <v>0</v>
      </c>
      <c r="BS31" s="46"/>
      <c r="BT31" s="46">
        <f t="shared" si="35"/>
        <v>115</v>
      </c>
      <c r="BW31" s="7">
        <f t="shared" si="36"/>
        <v>2042</v>
      </c>
      <c r="BX31" s="46">
        <f t="shared" si="16"/>
        <v>56</v>
      </c>
      <c r="BY31" s="16">
        <f t="shared" si="37"/>
        <v>21</v>
      </c>
      <c r="BZ31" s="116">
        <f t="shared" si="38"/>
        <v>0</v>
      </c>
      <c r="CA31" s="46">
        <f t="shared" si="39"/>
        <v>77</v>
      </c>
      <c r="CC31" s="46">
        <f t="shared" si="40"/>
        <v>0</v>
      </c>
      <c r="CD31" s="46">
        <f t="shared" si="40"/>
        <v>0</v>
      </c>
      <c r="CE31" s="46">
        <f t="shared" si="41"/>
        <v>0</v>
      </c>
      <c r="CF31" s="46"/>
      <c r="CG31" s="46">
        <f t="shared" si="45"/>
        <v>77</v>
      </c>
    </row>
    <row r="32" spans="1:106">
      <c r="E32" s="48" t="s">
        <v>103</v>
      </c>
      <c r="F32" s="138">
        <f>+'Total Program Inputs'!G18</f>
        <v>10</v>
      </c>
      <c r="G32" s="22"/>
      <c r="H32" s="22"/>
      <c r="J32" s="2">
        <f t="shared" si="17"/>
        <v>18</v>
      </c>
      <c r="L32" s="7">
        <f t="shared" si="18"/>
        <v>2043</v>
      </c>
      <c r="M32" s="16">
        <f t="shared" si="46"/>
        <v>10</v>
      </c>
      <c r="N32" s="53">
        <f t="shared" si="19"/>
        <v>5.8159999999999998</v>
      </c>
      <c r="O32" s="32">
        <f t="shared" si="20"/>
        <v>58</v>
      </c>
      <c r="P32" s="53">
        <f t="shared" si="0"/>
        <v>0</v>
      </c>
      <c r="Q32" s="46">
        <f t="shared" si="21"/>
        <v>0</v>
      </c>
      <c r="R32" s="43">
        <f t="shared" si="22"/>
        <v>58</v>
      </c>
      <c r="S32" s="42">
        <f t="shared" si="23"/>
        <v>0.1</v>
      </c>
      <c r="T32" s="46">
        <f t="shared" si="24"/>
        <v>210</v>
      </c>
      <c r="U32" s="44">
        <f t="shared" si="42"/>
        <v>21</v>
      </c>
      <c r="V32" s="16">
        <f t="shared" si="25"/>
        <v>79</v>
      </c>
      <c r="W32" s="45">
        <f t="shared" si="1"/>
        <v>1.954</v>
      </c>
      <c r="X32" s="46">
        <f t="shared" si="26"/>
        <v>15</v>
      </c>
      <c r="Y32" s="49">
        <v>0</v>
      </c>
      <c r="Z32" s="49">
        <v>0</v>
      </c>
      <c r="AA32" s="49">
        <f t="shared" si="27"/>
        <v>15</v>
      </c>
      <c r="AB32" s="49">
        <f t="shared" si="28"/>
        <v>64</v>
      </c>
      <c r="AE32" s="7">
        <f t="shared" si="29"/>
        <v>2043</v>
      </c>
      <c r="AF32" s="46">
        <f t="shared" si="2"/>
        <v>58</v>
      </c>
      <c r="AG32" s="16">
        <f t="shared" si="3"/>
        <v>21</v>
      </c>
      <c r="AH32" s="46">
        <f t="shared" si="43"/>
        <v>79</v>
      </c>
      <c r="AJ32" s="32">
        <f t="shared" si="30"/>
        <v>0</v>
      </c>
      <c r="AK32" s="32">
        <f t="shared" si="30"/>
        <v>0</v>
      </c>
      <c r="AL32" s="32">
        <f t="shared" si="4"/>
        <v>0</v>
      </c>
      <c r="AN32" s="77">
        <f t="shared" si="5"/>
        <v>79</v>
      </c>
      <c r="AQ32" s="7">
        <f t="shared" si="31"/>
        <v>2043</v>
      </c>
      <c r="AR32" s="49">
        <f t="shared" si="6"/>
        <v>58</v>
      </c>
      <c r="AS32" s="46">
        <f t="shared" si="7"/>
        <v>21</v>
      </c>
      <c r="AT32" s="91">
        <f t="shared" si="8"/>
        <v>0.05</v>
      </c>
      <c r="AU32" s="16">
        <f t="shared" si="47"/>
        <v>0</v>
      </c>
      <c r="AV32" s="53">
        <f t="shared" si="9"/>
        <v>2.7989999999999999</v>
      </c>
      <c r="AW32" s="46">
        <f t="shared" si="10"/>
        <v>28</v>
      </c>
      <c r="AX32" s="91"/>
      <c r="AY32" s="92"/>
      <c r="AZ32" s="49">
        <f t="shared" si="32"/>
        <v>107</v>
      </c>
      <c r="BA32" s="17"/>
      <c r="BB32" s="49">
        <v>0</v>
      </c>
      <c r="BC32" s="46">
        <v>0</v>
      </c>
      <c r="BD32" s="47">
        <f t="shared" si="33"/>
        <v>0</v>
      </c>
      <c r="BE32" s="49">
        <f t="shared" si="11"/>
        <v>107</v>
      </c>
      <c r="BH32" s="7">
        <f t="shared" si="34"/>
        <v>2043</v>
      </c>
      <c r="BI32" s="46">
        <v>0</v>
      </c>
      <c r="BJ32" s="16">
        <f t="shared" si="12"/>
        <v>10</v>
      </c>
      <c r="BK32" s="87">
        <f t="shared" si="13"/>
        <v>11.868</v>
      </c>
      <c r="BL32" s="46">
        <f t="shared" si="44"/>
        <v>119</v>
      </c>
      <c r="BM32" s="87">
        <f t="shared" si="14"/>
        <v>0.222</v>
      </c>
      <c r="BN32" s="16">
        <f t="shared" si="48"/>
        <v>0</v>
      </c>
      <c r="BO32" s="16"/>
      <c r="BP32" s="46">
        <f t="shared" si="15"/>
        <v>119</v>
      </c>
      <c r="BR32" s="46">
        <f t="shared" si="49"/>
        <v>0</v>
      </c>
      <c r="BS32" s="46"/>
      <c r="BT32" s="46">
        <f t="shared" si="35"/>
        <v>119</v>
      </c>
      <c r="BW32" s="7">
        <f t="shared" si="36"/>
        <v>2043</v>
      </c>
      <c r="BX32" s="46">
        <f t="shared" si="16"/>
        <v>58</v>
      </c>
      <c r="BY32" s="16">
        <f t="shared" si="37"/>
        <v>21</v>
      </c>
      <c r="BZ32" s="116">
        <f t="shared" si="38"/>
        <v>0</v>
      </c>
      <c r="CA32" s="46">
        <f t="shared" si="39"/>
        <v>79</v>
      </c>
      <c r="CC32" s="46">
        <f t="shared" si="40"/>
        <v>0</v>
      </c>
      <c r="CD32" s="46">
        <f t="shared" si="40"/>
        <v>0</v>
      </c>
      <c r="CE32" s="46">
        <f t="shared" si="41"/>
        <v>0</v>
      </c>
      <c r="CF32" s="46"/>
      <c r="CG32" s="46">
        <f t="shared" si="45"/>
        <v>79</v>
      </c>
    </row>
    <row r="33" spans="1:87">
      <c r="A33" s="2" t="s">
        <v>75</v>
      </c>
      <c r="C33" s="11">
        <f>+'Gas Input Table Summary'!$E$22</f>
        <v>2.0699999999999998</v>
      </c>
      <c r="F33" s="250"/>
      <c r="G33" s="16"/>
      <c r="H33" s="16"/>
      <c r="J33" s="2">
        <f t="shared" si="17"/>
        <v>19</v>
      </c>
      <c r="L33" s="7">
        <f t="shared" si="18"/>
        <v>2044</v>
      </c>
      <c r="M33" s="16">
        <f t="shared" si="46"/>
        <v>10</v>
      </c>
      <c r="N33" s="53">
        <f t="shared" si="19"/>
        <v>5.99</v>
      </c>
      <c r="O33" s="32">
        <f t="shared" si="20"/>
        <v>60</v>
      </c>
      <c r="P33" s="53">
        <f t="shared" si="0"/>
        <v>0</v>
      </c>
      <c r="Q33" s="46">
        <f t="shared" si="21"/>
        <v>0</v>
      </c>
      <c r="R33" s="43">
        <f t="shared" si="22"/>
        <v>60</v>
      </c>
      <c r="S33" s="42">
        <f t="shared" si="23"/>
        <v>0.1</v>
      </c>
      <c r="T33" s="46">
        <f t="shared" si="24"/>
        <v>212</v>
      </c>
      <c r="U33" s="44">
        <f t="shared" si="42"/>
        <v>21</v>
      </c>
      <c r="V33" s="16">
        <f t="shared" si="25"/>
        <v>81</v>
      </c>
      <c r="W33" s="45">
        <f t="shared" si="1"/>
        <v>2.0129999999999999</v>
      </c>
      <c r="X33" s="46">
        <f t="shared" si="26"/>
        <v>16</v>
      </c>
      <c r="Y33" s="49">
        <v>0</v>
      </c>
      <c r="Z33" s="49">
        <v>0</v>
      </c>
      <c r="AA33" s="49">
        <f t="shared" si="27"/>
        <v>16</v>
      </c>
      <c r="AB33" s="49">
        <f t="shared" si="28"/>
        <v>65</v>
      </c>
      <c r="AE33" s="7">
        <f t="shared" si="29"/>
        <v>2044</v>
      </c>
      <c r="AF33" s="46">
        <f t="shared" si="2"/>
        <v>60</v>
      </c>
      <c r="AG33" s="16">
        <f t="shared" si="3"/>
        <v>21</v>
      </c>
      <c r="AH33" s="46">
        <f t="shared" si="43"/>
        <v>81</v>
      </c>
      <c r="AJ33" s="32">
        <f t="shared" si="30"/>
        <v>0</v>
      </c>
      <c r="AK33" s="32">
        <f t="shared" si="30"/>
        <v>0</v>
      </c>
      <c r="AL33" s="32">
        <f t="shared" si="4"/>
        <v>0</v>
      </c>
      <c r="AN33" s="77">
        <f t="shared" si="5"/>
        <v>81</v>
      </c>
      <c r="AQ33" s="7">
        <f t="shared" si="31"/>
        <v>2044</v>
      </c>
      <c r="AR33" s="49">
        <f t="shared" si="6"/>
        <v>60</v>
      </c>
      <c r="AS33" s="46">
        <f t="shared" si="7"/>
        <v>21</v>
      </c>
      <c r="AT33" s="91">
        <f t="shared" si="8"/>
        <v>5.1999999999999998E-2</v>
      </c>
      <c r="AU33" s="16">
        <f t="shared" si="47"/>
        <v>0</v>
      </c>
      <c r="AV33" s="53">
        <f t="shared" si="9"/>
        <v>2.8460000000000001</v>
      </c>
      <c r="AW33" s="46">
        <f t="shared" si="10"/>
        <v>28</v>
      </c>
      <c r="AX33" s="91"/>
      <c r="AY33" s="92"/>
      <c r="AZ33" s="49">
        <f t="shared" si="32"/>
        <v>109</v>
      </c>
      <c r="BA33" s="17"/>
      <c r="BB33" s="49">
        <v>0</v>
      </c>
      <c r="BC33" s="46">
        <v>0</v>
      </c>
      <c r="BD33" s="47">
        <f t="shared" si="33"/>
        <v>0</v>
      </c>
      <c r="BE33" s="49">
        <f t="shared" si="11"/>
        <v>109</v>
      </c>
      <c r="BH33" s="7">
        <f t="shared" si="34"/>
        <v>2044</v>
      </c>
      <c r="BI33" s="46">
        <v>0</v>
      </c>
      <c r="BJ33" s="16">
        <f t="shared" si="12"/>
        <v>10</v>
      </c>
      <c r="BK33" s="87">
        <f t="shared" si="13"/>
        <v>12.224</v>
      </c>
      <c r="BL33" s="46">
        <f t="shared" si="44"/>
        <v>122</v>
      </c>
      <c r="BM33" s="87">
        <f t="shared" si="14"/>
        <v>0.22900000000000001</v>
      </c>
      <c r="BN33" s="16">
        <f t="shared" si="48"/>
        <v>0</v>
      </c>
      <c r="BO33" s="16"/>
      <c r="BP33" s="46">
        <f t="shared" si="15"/>
        <v>122</v>
      </c>
      <c r="BR33" s="46">
        <f t="shared" si="49"/>
        <v>0</v>
      </c>
      <c r="BS33" s="46"/>
      <c r="BT33" s="46">
        <f t="shared" si="35"/>
        <v>122</v>
      </c>
      <c r="BW33" s="7">
        <f t="shared" si="36"/>
        <v>2044</v>
      </c>
      <c r="BX33" s="46">
        <f t="shared" si="16"/>
        <v>60</v>
      </c>
      <c r="BY33" s="16">
        <f t="shared" si="37"/>
        <v>21</v>
      </c>
      <c r="BZ33" s="116">
        <f t="shared" si="38"/>
        <v>0</v>
      </c>
      <c r="CA33" s="46">
        <f t="shared" si="39"/>
        <v>81</v>
      </c>
      <c r="CC33" s="46">
        <f t="shared" si="40"/>
        <v>0</v>
      </c>
      <c r="CD33" s="46">
        <f t="shared" si="40"/>
        <v>0</v>
      </c>
      <c r="CE33" s="46">
        <f t="shared" si="41"/>
        <v>0</v>
      </c>
      <c r="CF33" s="46"/>
      <c r="CG33" s="46">
        <f t="shared" si="45"/>
        <v>81</v>
      </c>
    </row>
    <row r="34" spans="1:87">
      <c r="A34" s="3" t="s">
        <v>18</v>
      </c>
      <c r="C34" s="15">
        <f>+'Gas Input Table Summary'!$E$23</f>
        <v>1.6899999999999998E-2</v>
      </c>
      <c r="E34" s="2" t="s">
        <v>76</v>
      </c>
      <c r="F34" s="259">
        <f>ROUND('Database Inputs'!L16,0)</f>
        <v>150</v>
      </c>
      <c r="G34" s="135"/>
      <c r="H34" s="135"/>
      <c r="J34" s="2">
        <f t="shared" si="17"/>
        <v>20</v>
      </c>
      <c r="L34" s="7">
        <f t="shared" si="18"/>
        <v>2045</v>
      </c>
      <c r="M34" s="16">
        <f t="shared" si="46"/>
        <v>0</v>
      </c>
      <c r="N34" s="95">
        <f t="shared" si="19"/>
        <v>6.17</v>
      </c>
      <c r="O34" s="32">
        <f t="shared" si="20"/>
        <v>0</v>
      </c>
      <c r="P34" s="95">
        <f t="shared" si="0"/>
        <v>0</v>
      </c>
      <c r="Q34" s="49">
        <f t="shared" si="21"/>
        <v>0</v>
      </c>
      <c r="R34" s="96">
        <f t="shared" si="22"/>
        <v>0</v>
      </c>
      <c r="S34" s="97">
        <f t="shared" si="23"/>
        <v>0</v>
      </c>
      <c r="T34" s="49">
        <f t="shared" si="24"/>
        <v>214</v>
      </c>
      <c r="U34" s="99">
        <f t="shared" si="42"/>
        <v>0</v>
      </c>
      <c r="V34" s="16">
        <f t="shared" si="25"/>
        <v>0</v>
      </c>
      <c r="W34" s="87">
        <f t="shared" si="1"/>
        <v>2.073</v>
      </c>
      <c r="X34" s="49">
        <f t="shared" si="26"/>
        <v>0</v>
      </c>
      <c r="Y34" s="49">
        <v>0</v>
      </c>
      <c r="Z34" s="49">
        <v>0</v>
      </c>
      <c r="AA34" s="49">
        <f t="shared" si="27"/>
        <v>0</v>
      </c>
      <c r="AB34" s="49">
        <f t="shared" si="28"/>
        <v>0</v>
      </c>
      <c r="AE34" s="7">
        <f t="shared" si="29"/>
        <v>2045</v>
      </c>
      <c r="AF34" s="49">
        <f t="shared" si="2"/>
        <v>0</v>
      </c>
      <c r="AG34" s="16">
        <f t="shared" si="3"/>
        <v>0</v>
      </c>
      <c r="AH34" s="49">
        <f t="shared" si="43"/>
        <v>0</v>
      </c>
      <c r="AJ34" s="32">
        <f t="shared" si="30"/>
        <v>0</v>
      </c>
      <c r="AK34" s="32">
        <f t="shared" si="30"/>
        <v>0</v>
      </c>
      <c r="AL34" s="32">
        <f t="shared" si="4"/>
        <v>0</v>
      </c>
      <c r="AN34" s="179">
        <f t="shared" si="5"/>
        <v>0</v>
      </c>
      <c r="AQ34" s="7">
        <f t="shared" si="31"/>
        <v>2045</v>
      </c>
      <c r="AR34" s="49">
        <f t="shared" si="6"/>
        <v>0</v>
      </c>
      <c r="AS34" s="49">
        <f t="shared" si="7"/>
        <v>0</v>
      </c>
      <c r="AT34" s="98">
        <f t="shared" si="8"/>
        <v>5.2999999999999999E-2</v>
      </c>
      <c r="AU34" s="16">
        <f t="shared" si="47"/>
        <v>0</v>
      </c>
      <c r="AV34" s="95">
        <f t="shared" si="9"/>
        <v>2.8940000000000001</v>
      </c>
      <c r="AW34" s="49">
        <f t="shared" si="10"/>
        <v>0</v>
      </c>
      <c r="AX34" s="98"/>
      <c r="AY34" s="180"/>
      <c r="AZ34" s="49">
        <f t="shared" si="32"/>
        <v>0</v>
      </c>
      <c r="BA34" s="17"/>
      <c r="BB34" s="49">
        <v>0</v>
      </c>
      <c r="BC34" s="49">
        <v>0</v>
      </c>
      <c r="BD34" s="181">
        <f t="shared" si="33"/>
        <v>0</v>
      </c>
      <c r="BE34" s="49">
        <f t="shared" si="11"/>
        <v>0</v>
      </c>
      <c r="BH34" s="7">
        <f t="shared" si="34"/>
        <v>2045</v>
      </c>
      <c r="BI34" s="49">
        <v>0</v>
      </c>
      <c r="BJ34" s="16">
        <f t="shared" si="12"/>
        <v>0</v>
      </c>
      <c r="BK34" s="87">
        <f t="shared" si="13"/>
        <v>12.59</v>
      </c>
      <c r="BL34" s="49">
        <f t="shared" si="44"/>
        <v>0</v>
      </c>
      <c r="BM34" s="87">
        <f t="shared" si="14"/>
        <v>0.23599999999999999</v>
      </c>
      <c r="BN34" s="16">
        <f t="shared" si="48"/>
        <v>0</v>
      </c>
      <c r="BO34" s="16"/>
      <c r="BP34" s="49">
        <f t="shared" si="15"/>
        <v>0</v>
      </c>
      <c r="BR34" s="49">
        <f t="shared" si="49"/>
        <v>0</v>
      </c>
      <c r="BS34" s="49"/>
      <c r="BT34" s="49">
        <f t="shared" si="35"/>
        <v>0</v>
      </c>
      <c r="BW34" s="7">
        <f t="shared" si="36"/>
        <v>2045</v>
      </c>
      <c r="BX34" s="49">
        <f t="shared" si="16"/>
        <v>0</v>
      </c>
      <c r="BY34" s="16">
        <f t="shared" si="37"/>
        <v>0</v>
      </c>
      <c r="BZ34" s="116">
        <f t="shared" si="38"/>
        <v>0</v>
      </c>
      <c r="CA34" s="49">
        <f t="shared" si="39"/>
        <v>0</v>
      </c>
      <c r="CC34" s="49">
        <f t="shared" si="40"/>
        <v>0</v>
      </c>
      <c r="CD34" s="49">
        <f t="shared" si="40"/>
        <v>0</v>
      </c>
      <c r="CE34" s="49">
        <f t="shared" si="41"/>
        <v>0</v>
      </c>
      <c r="CF34" s="49"/>
      <c r="CG34" s="49">
        <f t="shared" si="45"/>
        <v>0</v>
      </c>
    </row>
    <row r="35" spans="1:87">
      <c r="A35" s="3"/>
      <c r="C35" s="15"/>
      <c r="E35" s="3"/>
      <c r="F35" s="22"/>
      <c r="G35" s="50"/>
      <c r="H35" s="50"/>
      <c r="J35" s="2">
        <f t="shared" si="17"/>
        <v>21</v>
      </c>
      <c r="L35" s="7">
        <f t="shared" si="18"/>
        <v>2046</v>
      </c>
      <c r="M35" s="16">
        <f t="shared" ref="M35:M36" si="50">ROUND(IF($C$47+$F$23&gt;L35,$F$25*$F$30,0)+IF($C$48+$G$23&gt;L35,$G$25*$G$30,0)+IF($C$49+$H$23&gt;L35,$H$25*$H$30,0),0)</f>
        <v>0</v>
      </c>
      <c r="N35" s="95">
        <f>ROUND($C$17*(1+$C$18)^J35,3)</f>
        <v>6.3550000000000004</v>
      </c>
      <c r="O35" s="32">
        <f t="shared" ref="O35:O36" si="51">ROUND(M35*N35,0)</f>
        <v>0</v>
      </c>
      <c r="P35" s="95">
        <f t="shared" ref="P35:P36" si="52">ROUND($C$25*(1+$C$26)^J35,3)</f>
        <v>0</v>
      </c>
      <c r="Q35" s="49">
        <f t="shared" ref="Q35:Q36" si="53">ROUND(M35*P35,0)</f>
        <v>0</v>
      </c>
      <c r="R35" s="96">
        <f t="shared" ref="R35:R36" si="54">O35+Q35</f>
        <v>0</v>
      </c>
      <c r="S35" s="97">
        <f t="shared" ref="S35:S36" si="55">ROUND(M35*$C$23,1)</f>
        <v>0</v>
      </c>
      <c r="T35" s="49">
        <f t="shared" ref="T35:T36" si="56">ROUND($C$20*(1+$C$21)^J35,0)</f>
        <v>216</v>
      </c>
      <c r="U35" s="99">
        <f t="shared" ref="U35:U36" si="57">ROUND(S35*T35,0)</f>
        <v>0</v>
      </c>
      <c r="V35" s="16">
        <f t="shared" ref="V35:V36" si="58">ROUND(+U35+R35,0)</f>
        <v>0</v>
      </c>
      <c r="W35" s="87">
        <f t="shared" ref="W35:W36" si="59">ROUND($H$36*(1+$C$11)^J35,3)</f>
        <v>2.1360000000000001</v>
      </c>
      <c r="X35" s="49">
        <f t="shared" ref="X35:X36" si="60">ROUND((1-$H$38)*(W35*M35),0)</f>
        <v>0</v>
      </c>
      <c r="Y35" s="49">
        <v>0</v>
      </c>
      <c r="Z35" s="49">
        <v>0</v>
      </c>
      <c r="AA35" s="49">
        <f t="shared" ref="AA35:AA36" si="61">SUM(X35:Z35)</f>
        <v>0</v>
      </c>
      <c r="AB35" s="49">
        <f t="shared" ref="AB35:AB36" si="62">V35-AA35</f>
        <v>0</v>
      </c>
      <c r="AE35" s="7">
        <f t="shared" si="29"/>
        <v>2046</v>
      </c>
      <c r="AF35" s="49">
        <f t="shared" ref="AF35:AF36" si="63">+R35</f>
        <v>0</v>
      </c>
      <c r="AG35" s="16">
        <f t="shared" ref="AG35:AG36" si="64">+U35</f>
        <v>0</v>
      </c>
      <c r="AH35" s="49">
        <f t="shared" ref="AH35:AH36" si="65">+AG35+AF35</f>
        <v>0</v>
      </c>
      <c r="AJ35" s="32">
        <f t="shared" ref="AJ35:AJ36" si="66">ROUND(Y35,0)</f>
        <v>0</v>
      </c>
      <c r="AK35" s="32">
        <f t="shared" ref="AK35:AK36" si="67">ROUND(Z35,0)</f>
        <v>0</v>
      </c>
      <c r="AL35" s="32">
        <f t="shared" ref="AL35:AL36" si="68">SUM(AJ35:AK35)</f>
        <v>0</v>
      </c>
      <c r="AN35" s="179">
        <f t="shared" ref="AN35:AN36" si="69">+AH35-AL35</f>
        <v>0</v>
      </c>
      <c r="AQ35" s="7">
        <f t="shared" si="31"/>
        <v>2046</v>
      </c>
      <c r="AR35" s="49">
        <f t="shared" ref="AR35:AR36" si="70">AF35</f>
        <v>0</v>
      </c>
      <c r="AS35" s="49">
        <f t="shared" ref="AS35:AS36" si="71">+AG35</f>
        <v>0</v>
      </c>
      <c r="AT35" s="98">
        <f t="shared" ref="AT35:AT36" si="72">ROUND(($C$28/(1-$C$31))*(1+$C$29)^J35,3)</f>
        <v>5.5E-2</v>
      </c>
      <c r="AU35" s="16">
        <f t="shared" ref="AU35:AU36" si="73">ROUND((IF($C$47+$F$23&gt;$AQ35,$F$27*$F$30,0)+IF($C$48+$G$23&gt;AQ35,$G$27*$G$30,0)+IF($C$49+$H$23&gt;AQ35,$H$27*$H$30,0))*AT35,0)</f>
        <v>0</v>
      </c>
      <c r="AV35" s="95">
        <f t="shared" ref="AV35:AV36" si="74">ROUND($C$33*(1+$C$34)^J35,3)</f>
        <v>2.9430000000000001</v>
      </c>
      <c r="AW35" s="49">
        <f t="shared" ref="AW35:AW36" si="75">ROUND(AV35*M35,0)</f>
        <v>0</v>
      </c>
      <c r="AX35" s="98"/>
      <c r="AY35" s="180"/>
      <c r="AZ35" s="49">
        <f t="shared" ref="AZ35:AZ36" si="76">ROUND(AR35+AS35+AU35+AW35+AY35,0)</f>
        <v>0</v>
      </c>
      <c r="BA35" s="17"/>
      <c r="BB35" s="49">
        <v>0</v>
      </c>
      <c r="BC35" s="49">
        <v>0</v>
      </c>
      <c r="BD35" s="181">
        <f t="shared" ref="BD35:BD36" si="77">BB35+BC35</f>
        <v>0</v>
      </c>
      <c r="BE35" s="49">
        <f t="shared" ref="BE35:BE36" si="78">AZ35-BD35</f>
        <v>0</v>
      </c>
      <c r="BH35" s="7">
        <f t="shared" si="34"/>
        <v>2046</v>
      </c>
      <c r="BI35" s="49">
        <v>0</v>
      </c>
      <c r="BJ35" s="16">
        <f t="shared" ref="BJ35:BJ36" si="79">+M35</f>
        <v>0</v>
      </c>
      <c r="BK35" s="87">
        <f t="shared" ref="BK35:BK36" si="80">ROUND($C$10*(1+$C$11)^J35,3)</f>
        <v>12.968</v>
      </c>
      <c r="BL35" s="49">
        <f t="shared" ref="BL35:BL36" si="81">ROUND(BJ35*BK35,0)</f>
        <v>0</v>
      </c>
      <c r="BM35" s="87">
        <f t="shared" ref="BM35:BM36" si="82">ROUND($C$13*(1+$C$14)^J35,3)</f>
        <v>0.24299999999999999</v>
      </c>
      <c r="BN35" s="16">
        <f t="shared" ref="BN35:BN36" si="83">ROUND((IF($C$47+$F$23&gt;BH35,$F$27*$F$30,0)+IF($C$49+$H$23&gt;BH35,$H$27*$H$30,0)+IF($C$48+$G$23&gt;BH35,$G$27*$G$30,0))*BM35,0)</f>
        <v>0</v>
      </c>
      <c r="BO35" s="16"/>
      <c r="BP35" s="49">
        <f t="shared" ref="BP35:BP36" si="84">BI35+BL35+BN35+BO35</f>
        <v>0</v>
      </c>
      <c r="BR35" s="49">
        <f t="shared" ref="BR35:BR36" si="85">+BC35</f>
        <v>0</v>
      </c>
      <c r="BS35" s="49"/>
      <c r="BT35" s="49">
        <f t="shared" ref="BT35:BT36" si="86">BP35-BR35</f>
        <v>0</v>
      </c>
      <c r="BW35" s="7">
        <f t="shared" si="36"/>
        <v>2046</v>
      </c>
      <c r="BX35" s="49">
        <f t="shared" si="16"/>
        <v>0</v>
      </c>
      <c r="BY35" s="16">
        <f t="shared" ref="BY35:BY36" si="87">U35</f>
        <v>0</v>
      </c>
      <c r="BZ35" s="116">
        <f t="shared" ref="BZ35:BZ36" si="88">AU35</f>
        <v>0</v>
      </c>
      <c r="CA35" s="49">
        <f t="shared" ref="CA35:CA36" si="89">SUM(BX35:BZ35)</f>
        <v>0</v>
      </c>
      <c r="CC35" s="49">
        <f t="shared" ref="CC35:CC36" si="90">BB35</f>
        <v>0</v>
      </c>
      <c r="CD35" s="49">
        <f t="shared" ref="CD35:CD36" si="91">BC35</f>
        <v>0</v>
      </c>
      <c r="CE35" s="49">
        <f t="shared" ref="CE35:CE36" si="92">SUM(CC35:CD35)</f>
        <v>0</v>
      </c>
      <c r="CF35" s="49"/>
      <c r="CG35" s="49">
        <f t="shared" ref="CG35:CG36" si="93">CA35-CE35</f>
        <v>0</v>
      </c>
    </row>
    <row r="36" spans="1:87">
      <c r="A36" s="3" t="s">
        <v>77</v>
      </c>
      <c r="C36" s="11">
        <f>+'Gas Input Table Summary'!$E$24</f>
        <v>0</v>
      </c>
      <c r="E36" s="3" t="s">
        <v>91</v>
      </c>
      <c r="F36" s="27"/>
      <c r="H36" s="30">
        <f>+'Gas Input Table Summary'!E58</f>
        <v>1.1479999999999999</v>
      </c>
      <c r="J36" s="2">
        <f t="shared" si="17"/>
        <v>22</v>
      </c>
      <c r="L36" s="7">
        <f t="shared" si="18"/>
        <v>2047</v>
      </c>
      <c r="M36" s="33">
        <f t="shared" si="50"/>
        <v>0</v>
      </c>
      <c r="N36" s="53">
        <f t="shared" ref="N36" si="94">ROUND($C$17*(1+$C$18)^J36,3)</f>
        <v>6.5449999999999999</v>
      </c>
      <c r="O36" s="32">
        <f t="shared" si="51"/>
        <v>0</v>
      </c>
      <c r="P36" s="95">
        <f t="shared" si="52"/>
        <v>0</v>
      </c>
      <c r="Q36" s="49">
        <f t="shared" si="53"/>
        <v>0</v>
      </c>
      <c r="R36" s="96">
        <f t="shared" si="54"/>
        <v>0</v>
      </c>
      <c r="S36" s="97">
        <f t="shared" si="55"/>
        <v>0</v>
      </c>
      <c r="T36" s="49">
        <f t="shared" si="56"/>
        <v>218</v>
      </c>
      <c r="U36" s="99">
        <f t="shared" si="57"/>
        <v>0</v>
      </c>
      <c r="V36" s="33">
        <f t="shared" si="58"/>
        <v>0</v>
      </c>
      <c r="W36" s="45">
        <f t="shared" si="59"/>
        <v>2.2000000000000002</v>
      </c>
      <c r="X36" s="49">
        <f t="shared" si="60"/>
        <v>0</v>
      </c>
      <c r="Y36" s="49">
        <v>0</v>
      </c>
      <c r="Z36" s="49">
        <v>0</v>
      </c>
      <c r="AA36" s="54">
        <f t="shared" si="61"/>
        <v>0</v>
      </c>
      <c r="AB36" s="54">
        <f t="shared" si="62"/>
        <v>0</v>
      </c>
      <c r="AE36" s="7">
        <f t="shared" si="29"/>
        <v>2047</v>
      </c>
      <c r="AF36" s="49">
        <f t="shared" si="63"/>
        <v>0</v>
      </c>
      <c r="AG36" s="16">
        <f t="shared" si="64"/>
        <v>0</v>
      </c>
      <c r="AH36" s="54">
        <f t="shared" si="65"/>
        <v>0</v>
      </c>
      <c r="AJ36" s="32">
        <f t="shared" si="66"/>
        <v>0</v>
      </c>
      <c r="AK36" s="32">
        <f t="shared" si="67"/>
        <v>0</v>
      </c>
      <c r="AL36" s="34">
        <f t="shared" si="68"/>
        <v>0</v>
      </c>
      <c r="AN36" s="78">
        <f t="shared" si="69"/>
        <v>0</v>
      </c>
      <c r="AQ36" s="7">
        <f t="shared" si="31"/>
        <v>2047</v>
      </c>
      <c r="AR36" s="49">
        <f t="shared" si="70"/>
        <v>0</v>
      </c>
      <c r="AS36" s="49">
        <f t="shared" si="71"/>
        <v>0</v>
      </c>
      <c r="AT36" s="98">
        <f t="shared" si="72"/>
        <v>5.7000000000000002E-2</v>
      </c>
      <c r="AU36" s="16">
        <f t="shared" si="73"/>
        <v>0</v>
      </c>
      <c r="AV36" s="95">
        <f t="shared" si="74"/>
        <v>2.9929999999999999</v>
      </c>
      <c r="AW36" s="49">
        <f t="shared" si="75"/>
        <v>0</v>
      </c>
      <c r="AX36" s="91"/>
      <c r="AY36" s="93"/>
      <c r="AZ36" s="54">
        <f t="shared" si="76"/>
        <v>0</v>
      </c>
      <c r="BA36" s="17"/>
      <c r="BB36" s="49">
        <v>0</v>
      </c>
      <c r="BC36" s="49">
        <v>0</v>
      </c>
      <c r="BD36" s="55">
        <f t="shared" si="77"/>
        <v>0</v>
      </c>
      <c r="BE36" s="54">
        <f t="shared" si="78"/>
        <v>0</v>
      </c>
      <c r="BH36" s="7">
        <f t="shared" si="34"/>
        <v>2047</v>
      </c>
      <c r="BI36" s="49">
        <v>0</v>
      </c>
      <c r="BJ36" s="33">
        <f t="shared" si="79"/>
        <v>0</v>
      </c>
      <c r="BK36" s="87">
        <f t="shared" si="80"/>
        <v>13.356999999999999</v>
      </c>
      <c r="BL36" s="49">
        <f t="shared" si="81"/>
        <v>0</v>
      </c>
      <c r="BM36" s="87">
        <f t="shared" si="82"/>
        <v>0.25</v>
      </c>
      <c r="BN36" s="16">
        <f t="shared" si="83"/>
        <v>0</v>
      </c>
      <c r="BO36" s="33"/>
      <c r="BP36" s="54">
        <f t="shared" si="84"/>
        <v>0</v>
      </c>
      <c r="BR36" s="54">
        <f t="shared" si="85"/>
        <v>0</v>
      </c>
      <c r="BS36" s="54"/>
      <c r="BT36" s="54">
        <f t="shared" si="86"/>
        <v>0</v>
      </c>
      <c r="BW36" s="7">
        <f t="shared" si="36"/>
        <v>2047</v>
      </c>
      <c r="BX36" s="49">
        <f t="shared" si="16"/>
        <v>0</v>
      </c>
      <c r="BY36" s="16">
        <f t="shared" si="87"/>
        <v>0</v>
      </c>
      <c r="BZ36" s="116">
        <f t="shared" si="88"/>
        <v>0</v>
      </c>
      <c r="CA36" s="54">
        <f t="shared" si="89"/>
        <v>0</v>
      </c>
      <c r="CC36" s="54">
        <f t="shared" si="90"/>
        <v>0</v>
      </c>
      <c r="CD36" s="54">
        <f t="shared" si="91"/>
        <v>0</v>
      </c>
      <c r="CE36" s="54">
        <f t="shared" si="92"/>
        <v>0</v>
      </c>
      <c r="CF36" s="54"/>
      <c r="CG36" s="54">
        <f t="shared" si="93"/>
        <v>0</v>
      </c>
    </row>
    <row r="37" spans="1:87">
      <c r="A37" s="2" t="s">
        <v>47</v>
      </c>
      <c r="C37" s="15">
        <f>+'Gas Input Table Summary'!$E$25</f>
        <v>0</v>
      </c>
      <c r="F37" s="16"/>
      <c r="M37" s="5"/>
      <c r="N37" s="2"/>
      <c r="R37" s="24"/>
      <c r="T37" s="18"/>
      <c r="V37" s="5"/>
      <c r="AA37" s="5"/>
      <c r="AB37" s="5"/>
      <c r="AF37" s="5"/>
      <c r="AH37" s="5"/>
      <c r="AN37" s="5"/>
      <c r="AR37" s="5"/>
      <c r="AU37" s="47"/>
      <c r="AW37" s="47"/>
      <c r="AY37" s="47"/>
      <c r="AZ37" s="47"/>
      <c r="BC37" s="16"/>
      <c r="BG37" s="7"/>
      <c r="BJ37" s="23"/>
      <c r="BP37" s="5"/>
      <c r="BT37" s="5"/>
      <c r="BV37" s="7"/>
      <c r="BY37" s="23"/>
      <c r="CA37" s="5"/>
      <c r="CG37" s="5"/>
    </row>
    <row r="38" spans="1:87">
      <c r="C38" s="15"/>
      <c r="E38" s="51" t="s">
        <v>98</v>
      </c>
      <c r="H38" s="128">
        <f>+'Gas Input Table Summary'!E59</f>
        <v>0.21</v>
      </c>
      <c r="J38" s="24"/>
      <c r="K38" s="2" t="s">
        <v>212</v>
      </c>
      <c r="M38" s="16">
        <f>SUM(M14:M36)</f>
        <v>200</v>
      </c>
      <c r="N38" s="2"/>
      <c r="R38" s="24"/>
      <c r="S38" s="12"/>
      <c r="T38" s="18"/>
      <c r="V38" s="12">
        <f>SUM(V14:V36)</f>
        <v>1304</v>
      </c>
      <c r="X38" s="12"/>
      <c r="Y38" s="12"/>
      <c r="Z38" s="12"/>
      <c r="AA38" s="12">
        <f>SUM(AA14:AA36)</f>
        <v>646</v>
      </c>
      <c r="AB38" s="12">
        <f>SUM(AB14:AB36)</f>
        <v>658</v>
      </c>
      <c r="AD38" s="3" t="s">
        <v>78</v>
      </c>
      <c r="AE38" s="16"/>
      <c r="AF38" s="12"/>
      <c r="AG38" s="12"/>
      <c r="AH38" s="12">
        <f>SUM(AH14:AH36)</f>
        <v>1304</v>
      </c>
      <c r="AL38" s="12">
        <f>SUM(AL14:AL36)</f>
        <v>402</v>
      </c>
      <c r="AN38" s="12">
        <f>SUM(AN14:AN36)</f>
        <v>902</v>
      </c>
      <c r="AP38" s="3" t="s">
        <v>78</v>
      </c>
      <c r="AQ38" s="16"/>
      <c r="AR38" s="12"/>
      <c r="AS38" s="12"/>
      <c r="AU38" s="46"/>
      <c r="AW38" s="46"/>
      <c r="AY38" s="46"/>
      <c r="AZ38" s="94">
        <f>SUM(AZ14:AZ36)</f>
        <v>1792</v>
      </c>
      <c r="BB38" s="12"/>
      <c r="BC38" s="12"/>
      <c r="BD38" s="12">
        <f>SUM(BD14:BD36)</f>
        <v>432</v>
      </c>
      <c r="BE38" s="12">
        <f>SUM(BE14:BE36)</f>
        <v>1360</v>
      </c>
      <c r="BG38" s="3" t="s">
        <v>212</v>
      </c>
      <c r="BI38" s="12"/>
      <c r="BJ38" s="16">
        <f>SUM(BJ14:BJ36)</f>
        <v>200</v>
      </c>
      <c r="BK38" s="18"/>
      <c r="BL38" s="12"/>
      <c r="BN38" s="12"/>
      <c r="BO38" s="12"/>
      <c r="BP38" s="12">
        <f>SUM(BP14:BP36)</f>
        <v>2172</v>
      </c>
      <c r="BR38" s="12">
        <f>SUM(BR14:BR36)</f>
        <v>330</v>
      </c>
      <c r="BS38" s="12"/>
      <c r="BT38" s="12">
        <f>SUM(BT14:BT36)</f>
        <v>1842</v>
      </c>
      <c r="BX38" s="12"/>
      <c r="BY38" s="16"/>
      <c r="BZ38" s="3" t="s">
        <v>212</v>
      </c>
      <c r="CA38" s="12">
        <f>SUM(CA14:CA36)</f>
        <v>1304</v>
      </c>
      <c r="CC38" s="12"/>
      <c r="CD38" s="12"/>
      <c r="CE38" s="12">
        <f>SUM(CE14:CE36)</f>
        <v>432</v>
      </c>
      <c r="CF38" s="12"/>
      <c r="CG38" s="12">
        <f>SUM(CG14:CG36)</f>
        <v>872</v>
      </c>
    </row>
    <row r="39" spans="1:87">
      <c r="A39" s="3" t="s">
        <v>79</v>
      </c>
      <c r="C39" s="13">
        <f>+'Gas Input Table Summary'!$E$26</f>
        <v>9.8699999999999996E-2</v>
      </c>
      <c r="E39" s="119" t="s">
        <v>227</v>
      </c>
      <c r="M39" s="16"/>
      <c r="N39" s="2"/>
      <c r="R39" s="24"/>
      <c r="S39" s="52"/>
      <c r="T39" s="5" t="s">
        <v>80</v>
      </c>
      <c r="V39" s="52">
        <f>ROUND(V14+NPV($C$41,V15:V36),0)</f>
        <v>701</v>
      </c>
      <c r="X39" s="12"/>
      <c r="Y39" s="12"/>
      <c r="Z39" s="12"/>
      <c r="AA39" s="12">
        <f>ROUND(AA14+NPV($C$41,AA15:AA36),0)</f>
        <v>531</v>
      </c>
      <c r="AB39" s="12">
        <f>ROUND(AB14+NPV($C$41,AB15:AB36),0)</f>
        <v>169</v>
      </c>
      <c r="AF39" s="12"/>
      <c r="AG39" s="3" t="s">
        <v>80</v>
      </c>
      <c r="AH39" s="12">
        <f>ROUND(AH14+NPV($C$41,AH15:AH36),0)</f>
        <v>701</v>
      </c>
      <c r="AL39" s="12">
        <f>ROUND(AL14+NPV($C$41,AL15:AL36),0)</f>
        <v>402</v>
      </c>
      <c r="AN39" s="12">
        <f>+AH39-AL39</f>
        <v>299</v>
      </c>
      <c r="AR39" s="12"/>
      <c r="AS39" s="12"/>
      <c r="AU39" s="46"/>
      <c r="AW39" s="3" t="s">
        <v>80</v>
      </c>
      <c r="AY39" s="46"/>
      <c r="AZ39" s="12">
        <f>ROUND(AZ14+NPV($C$43,AZ15:AZ36),0)</f>
        <v>1434</v>
      </c>
      <c r="BB39" s="12"/>
      <c r="BC39" s="12"/>
      <c r="BD39" s="12">
        <f>ROUND(BD14+NPV($C$43,BD15:BD36),0)</f>
        <v>432</v>
      </c>
      <c r="BE39" s="12">
        <f>AZ39-BD39</f>
        <v>1002</v>
      </c>
      <c r="BG39" s="7"/>
      <c r="BI39" s="12"/>
      <c r="BL39" s="12"/>
      <c r="BN39" s="12" t="s">
        <v>205</v>
      </c>
      <c r="BO39" s="12"/>
      <c r="BP39" s="12">
        <f>ROUND(BP14+NPV($C$39,BP15:BP36),0)</f>
        <v>1108</v>
      </c>
      <c r="BR39" s="12">
        <f>ROUND(BR14+NPV($C$39,BR15:BR36),0)</f>
        <v>330</v>
      </c>
      <c r="BS39" s="12"/>
      <c r="BT39" s="12">
        <f>ROUND(BT14+NPV($C$39,BT15:BT36),0)</f>
        <v>778</v>
      </c>
      <c r="BV39" s="7"/>
      <c r="BX39" s="12"/>
      <c r="BZ39" s="12" t="s">
        <v>205</v>
      </c>
      <c r="CA39" s="12">
        <f>ROUND(CA14+NPV($C$41,CA15:CA36),0)</f>
        <v>701</v>
      </c>
      <c r="CC39" s="12"/>
      <c r="CD39" s="12"/>
      <c r="CE39" s="12">
        <f>ROUND(CE14+NPV($C$41,CE15:CE36),0)</f>
        <v>432</v>
      </c>
      <c r="CF39" s="12"/>
      <c r="CG39" s="12">
        <f>ROUND(CG14+NPV($C$41,CG15:CG36),0)</f>
        <v>269</v>
      </c>
    </row>
    <row r="40" spans="1:87">
      <c r="A40" s="3"/>
      <c r="C40" s="13"/>
      <c r="F40" s="16"/>
      <c r="M40" s="16"/>
      <c r="N40" s="2"/>
      <c r="R40" s="24"/>
      <c r="T40" s="18"/>
      <c r="V40" s="16"/>
      <c r="X40" s="3" t="s">
        <v>81</v>
      </c>
      <c r="Z40" s="16"/>
      <c r="AA40" s="16"/>
      <c r="AB40" s="16"/>
      <c r="AF40" s="16"/>
      <c r="AH40" s="16"/>
      <c r="AI40" s="16"/>
      <c r="AR40" s="16"/>
      <c r="AY40" s="16"/>
      <c r="AZ40" s="16"/>
      <c r="BA40" s="16"/>
      <c r="BB40" s="16"/>
      <c r="BC40" s="16"/>
      <c r="BD40" s="16"/>
      <c r="BE40" s="16"/>
      <c r="BF40" s="16"/>
      <c r="BG40" s="7"/>
      <c r="BI40" s="12"/>
      <c r="BP40" s="16"/>
      <c r="BS40" s="16"/>
      <c r="BU40" s="16"/>
      <c r="BV40" s="7"/>
      <c r="BX40" s="12"/>
      <c r="CA40" s="16"/>
      <c r="CF40" s="16"/>
    </row>
    <row r="41" spans="1:87">
      <c r="A41" s="3" t="s">
        <v>82</v>
      </c>
      <c r="C41" s="13">
        <f>+'Gas Input Table Summary'!$E$27</f>
        <v>7.0099999999999996E-2</v>
      </c>
      <c r="E41" s="39" t="s">
        <v>88</v>
      </c>
      <c r="F41" s="40" t="s">
        <v>89</v>
      </c>
      <c r="G41" s="41" t="s">
        <v>90</v>
      </c>
      <c r="K41" s="3" t="s">
        <v>83</v>
      </c>
      <c r="M41" s="16"/>
      <c r="N41" s="12">
        <f>AB39</f>
        <v>169</v>
      </c>
      <c r="Q41" s="12"/>
      <c r="R41" s="24"/>
      <c r="T41" s="18"/>
      <c r="U41" s="18"/>
      <c r="V41" s="16"/>
      <c r="X41" s="3" t="s">
        <v>81</v>
      </c>
      <c r="Z41" s="16"/>
      <c r="AA41" s="16"/>
      <c r="AB41" s="16"/>
      <c r="AD41" s="3" t="s">
        <v>83</v>
      </c>
      <c r="AF41" s="16"/>
      <c r="AG41" s="12">
        <f>AN39</f>
        <v>299</v>
      </c>
      <c r="AH41" s="12"/>
      <c r="AI41" s="16"/>
      <c r="AM41" s="16"/>
      <c r="AP41" s="3" t="s">
        <v>83</v>
      </c>
      <c r="AR41" s="16"/>
      <c r="AS41" s="12">
        <f>BE39</f>
        <v>1002</v>
      </c>
      <c r="AU41" s="12"/>
      <c r="AW41" s="12"/>
      <c r="AY41" s="16"/>
      <c r="AZ41" s="16"/>
      <c r="BA41" s="25"/>
      <c r="BB41" s="16"/>
      <c r="BC41" s="16"/>
      <c r="BD41" s="16"/>
      <c r="BF41" s="16"/>
      <c r="BG41" s="3" t="s">
        <v>83</v>
      </c>
      <c r="BJ41" s="12">
        <f>BT39</f>
        <v>778</v>
      </c>
      <c r="BK41" s="12"/>
      <c r="BP41" s="16"/>
      <c r="BS41" s="16"/>
      <c r="BT41" s="16"/>
      <c r="BU41" s="16"/>
      <c r="BV41" s="3" t="s">
        <v>83</v>
      </c>
      <c r="BY41" s="12">
        <f>CG39</f>
        <v>269</v>
      </c>
      <c r="BZ41" s="12"/>
      <c r="CA41" s="16"/>
      <c r="CF41" s="16"/>
      <c r="CG41" s="16"/>
    </row>
    <row r="42" spans="1:87" ht="13.5" thickBot="1">
      <c r="E42" s="121" t="s">
        <v>5</v>
      </c>
      <c r="F42" s="122">
        <f>N41</f>
        <v>169</v>
      </c>
      <c r="G42" s="123">
        <f>N42</f>
        <v>1.32</v>
      </c>
      <c r="K42" s="3" t="s">
        <v>84</v>
      </c>
      <c r="N42" s="90">
        <f>ROUND(V39/AA39,2)</f>
        <v>1.32</v>
      </c>
      <c r="Q42" s="18"/>
      <c r="R42" s="24"/>
      <c r="AB42" s="16"/>
      <c r="AD42" s="3" t="s">
        <v>84</v>
      </c>
      <c r="AF42" s="18"/>
      <c r="AG42" s="35">
        <f>ROUND(AH39/AL39,2)</f>
        <v>1.74</v>
      </c>
      <c r="AH42" s="18"/>
      <c r="AP42" s="3" t="s">
        <v>84</v>
      </c>
      <c r="AR42" s="18"/>
      <c r="AS42" s="35">
        <f>ROUND(AZ39/BD39,2)</f>
        <v>3.32</v>
      </c>
      <c r="AU42" s="18"/>
      <c r="AW42" s="18"/>
      <c r="AZ42" s="2"/>
      <c r="BD42" s="16"/>
      <c r="BG42" s="3" t="s">
        <v>84</v>
      </c>
      <c r="BJ42" s="35">
        <f>ROUND(BP39/BR39,2)</f>
        <v>3.36</v>
      </c>
      <c r="BK42" s="18"/>
      <c r="BV42" s="3" t="s">
        <v>84</v>
      </c>
      <c r="BY42" s="35">
        <f>ROUND(CA39/CE39,2)</f>
        <v>1.62</v>
      </c>
      <c r="BZ42" s="18"/>
    </row>
    <row r="43" spans="1:87" ht="13.5" thickTop="1">
      <c r="A43" s="2" t="s">
        <v>85</v>
      </c>
      <c r="C43" s="13">
        <f>+'Gas Input Table Summary'!$E$28</f>
        <v>2.29E-2</v>
      </c>
      <c r="E43" s="37" t="s">
        <v>6</v>
      </c>
      <c r="F43" s="12">
        <f>AG41</f>
        <v>299</v>
      </c>
      <c r="G43" s="120">
        <f>AG42</f>
        <v>1.74</v>
      </c>
      <c r="J43" s="74"/>
      <c r="K43" s="75"/>
      <c r="L43" s="74"/>
      <c r="M43" s="74"/>
      <c r="N43" s="74"/>
      <c r="O43" s="74"/>
      <c r="Q43" s="74"/>
      <c r="R43" s="76"/>
      <c r="S43" s="74"/>
      <c r="T43" s="74"/>
      <c r="U43" s="74"/>
      <c r="V43" s="74"/>
      <c r="W43" s="74"/>
      <c r="X43" s="74"/>
      <c r="AB43" s="16"/>
      <c r="AD43" s="3"/>
      <c r="AM43" s="26"/>
      <c r="AN43" s="3"/>
      <c r="AP43" s="3"/>
      <c r="AZ43" s="2"/>
      <c r="BB43" s="26"/>
      <c r="BE43" s="3"/>
      <c r="BG43" s="7"/>
      <c r="BV43" s="7"/>
      <c r="CI43" s="17"/>
    </row>
    <row r="44" spans="1:87">
      <c r="E44" s="38" t="s">
        <v>7</v>
      </c>
      <c r="F44" s="12">
        <f>AS41</f>
        <v>1002</v>
      </c>
      <c r="G44" s="120">
        <f>AS42</f>
        <v>3.32</v>
      </c>
      <c r="J44" s="57" t="s">
        <v>125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AB44" s="16"/>
      <c r="AZ44" s="2"/>
      <c r="BD44" s="7"/>
      <c r="BV44" s="57" t="s">
        <v>125</v>
      </c>
      <c r="BW44" s="58"/>
      <c r="BX44" s="66"/>
      <c r="BY44" s="66"/>
      <c r="BZ44" s="67"/>
      <c r="CI44" s="17"/>
    </row>
    <row r="45" spans="1:87">
      <c r="A45" s="3" t="s">
        <v>86</v>
      </c>
      <c r="C45" s="136">
        <f>+'Gas Input Table Summary'!$E$29</f>
        <v>2025</v>
      </c>
      <c r="E45" s="37" t="s">
        <v>8</v>
      </c>
      <c r="F45" s="12">
        <f>BJ41</f>
        <v>778</v>
      </c>
      <c r="G45" s="120">
        <f>BJ42</f>
        <v>3.36</v>
      </c>
      <c r="J45" s="68" t="s">
        <v>48</v>
      </c>
      <c r="K45" s="69" t="s">
        <v>122</v>
      </c>
      <c r="L45" s="70"/>
      <c r="M45" s="70"/>
      <c r="N45" s="70"/>
      <c r="O45" s="70"/>
      <c r="P45" s="70"/>
      <c r="Q45" s="70"/>
      <c r="R45" s="70"/>
      <c r="S45" s="70"/>
      <c r="T45" s="71" t="s">
        <v>56</v>
      </c>
      <c r="U45" s="69" t="s">
        <v>143</v>
      </c>
      <c r="V45" s="70"/>
      <c r="W45" s="70"/>
      <c r="X45" s="72"/>
      <c r="AB45" s="16"/>
      <c r="AD45" s="57" t="s">
        <v>125</v>
      </c>
      <c r="AE45" s="58"/>
      <c r="AF45" s="66"/>
      <c r="AG45" s="66"/>
      <c r="AH45" s="67"/>
      <c r="AI45" s="67"/>
      <c r="AJ45" s="67"/>
      <c r="AK45" s="67"/>
      <c r="AN45" s="3"/>
      <c r="AP45" s="57" t="s">
        <v>125</v>
      </c>
      <c r="AQ45" s="58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7"/>
      <c r="BG45" s="57" t="s">
        <v>125</v>
      </c>
      <c r="BH45" s="58"/>
      <c r="BI45" s="66"/>
      <c r="BJ45" s="66"/>
      <c r="BK45" s="66"/>
      <c r="BL45" s="66"/>
      <c r="BM45" s="66"/>
      <c r="BN45" s="66"/>
      <c r="BO45" s="249"/>
      <c r="BP45" s="66"/>
      <c r="BQ45" s="66"/>
      <c r="BR45" s="66"/>
      <c r="BS45" s="66"/>
      <c r="BT45" s="67"/>
      <c r="BV45" s="85" t="s">
        <v>48</v>
      </c>
      <c r="BW45" s="118" t="s">
        <v>163</v>
      </c>
      <c r="BX45" s="70"/>
      <c r="BY45" s="70"/>
      <c r="BZ45" s="72"/>
      <c r="CA45" s="56" t="s">
        <v>81</v>
      </c>
      <c r="CB45" s="56"/>
      <c r="CC45" s="56"/>
      <c r="CD45" s="56"/>
      <c r="CE45" s="56"/>
      <c r="CI45" s="17"/>
    </row>
    <row r="46" spans="1:87">
      <c r="C46" s="7"/>
      <c r="E46" s="124" t="s">
        <v>218</v>
      </c>
      <c r="F46" s="125">
        <f>BY41</f>
        <v>269</v>
      </c>
      <c r="G46" s="126">
        <f>BY42</f>
        <v>1.62</v>
      </c>
      <c r="J46" s="38" t="s">
        <v>49</v>
      </c>
      <c r="K46" s="48" t="s">
        <v>140</v>
      </c>
      <c r="N46" s="2"/>
      <c r="T46" s="5" t="s">
        <v>57</v>
      </c>
      <c r="U46" s="48" t="s">
        <v>144</v>
      </c>
      <c r="X46" s="60"/>
      <c r="AB46" s="5"/>
      <c r="AD46" s="68" t="s">
        <v>48</v>
      </c>
      <c r="AE46" s="69" t="s">
        <v>163</v>
      </c>
      <c r="AF46" s="70"/>
      <c r="AG46" s="70"/>
      <c r="AH46" s="70"/>
      <c r="AI46" s="70"/>
      <c r="AJ46" s="70"/>
      <c r="AK46" s="72"/>
      <c r="AN46" s="3"/>
      <c r="AP46" s="82" t="s">
        <v>48</v>
      </c>
      <c r="AQ46" s="69" t="s">
        <v>163</v>
      </c>
      <c r="AR46" s="70"/>
      <c r="AS46" s="70"/>
      <c r="AU46" s="70"/>
      <c r="AW46" s="5" t="s">
        <v>55</v>
      </c>
      <c r="AZ46" s="48" t="s">
        <v>153</v>
      </c>
      <c r="BD46" s="70"/>
      <c r="BE46" s="72"/>
      <c r="BG46" s="85" t="s">
        <v>48</v>
      </c>
      <c r="BH46" s="69" t="s">
        <v>157</v>
      </c>
      <c r="BI46" s="70"/>
      <c r="BJ46" s="70"/>
      <c r="BK46" s="70"/>
      <c r="BL46" s="246" t="s">
        <v>54</v>
      </c>
      <c r="BM46" s="69" t="s">
        <v>158</v>
      </c>
      <c r="BN46" s="70"/>
      <c r="BO46" s="70"/>
      <c r="BP46" s="70"/>
      <c r="BQ46" s="70"/>
      <c r="BR46" s="70"/>
      <c r="BS46" s="70"/>
      <c r="BT46" s="72"/>
      <c r="BV46" s="86" t="s">
        <v>49</v>
      </c>
      <c r="BW46" s="119" t="s">
        <v>164</v>
      </c>
      <c r="BZ46" s="60"/>
      <c r="CI46" s="17"/>
    </row>
    <row r="47" spans="1:87">
      <c r="A47" s="3" t="s">
        <v>87</v>
      </c>
      <c r="C47" s="136">
        <f>+'Total Program Inputs'!C6</f>
        <v>2025</v>
      </c>
      <c r="J47" s="38" t="s">
        <v>50</v>
      </c>
      <c r="K47" s="19" t="s">
        <v>121</v>
      </c>
      <c r="N47" s="2"/>
      <c r="T47" s="5" t="s">
        <v>58</v>
      </c>
      <c r="U47" s="48" t="s">
        <v>160</v>
      </c>
      <c r="X47" s="60"/>
      <c r="AB47" s="12"/>
      <c r="AD47" s="38" t="s">
        <v>49</v>
      </c>
      <c r="AE47" s="19" t="s">
        <v>164</v>
      </c>
      <c r="AK47" s="60"/>
      <c r="AP47" s="83" t="s">
        <v>54</v>
      </c>
      <c r="AQ47" s="48" t="s">
        <v>164</v>
      </c>
      <c r="AW47" s="5" t="s">
        <v>56</v>
      </c>
      <c r="AZ47" s="19" t="s">
        <v>154</v>
      </c>
      <c r="BE47" s="60"/>
      <c r="BG47" s="86" t="s">
        <v>49</v>
      </c>
      <c r="BH47" s="48" t="s">
        <v>126</v>
      </c>
      <c r="BL47" s="7" t="s">
        <v>55</v>
      </c>
      <c r="BM47" s="19" t="s">
        <v>167</v>
      </c>
      <c r="BO47" s="56"/>
      <c r="BP47" s="56"/>
      <c r="BQ47" s="56"/>
      <c r="BR47" s="56"/>
      <c r="BT47" s="60"/>
      <c r="BV47" s="86" t="s">
        <v>50</v>
      </c>
      <c r="BW47" s="119" t="s">
        <v>220</v>
      </c>
      <c r="BZ47" s="60"/>
      <c r="CI47" s="17"/>
    </row>
    <row r="48" spans="1:87">
      <c r="A48" s="127"/>
      <c r="C48" s="7"/>
      <c r="J48" s="38" t="s">
        <v>51</v>
      </c>
      <c r="K48" s="48" t="s">
        <v>139</v>
      </c>
      <c r="N48" s="2"/>
      <c r="T48" s="5" t="s">
        <v>59</v>
      </c>
      <c r="U48" s="19" t="s">
        <v>161</v>
      </c>
      <c r="X48" s="60"/>
      <c r="AB48" s="16"/>
      <c r="AD48" s="38" t="s">
        <v>50</v>
      </c>
      <c r="AE48" s="19" t="s">
        <v>165</v>
      </c>
      <c r="AK48" s="60"/>
      <c r="AP48" s="83" t="s">
        <v>50</v>
      </c>
      <c r="AQ48" s="48" t="s">
        <v>201</v>
      </c>
      <c r="AW48" s="5" t="s">
        <v>57</v>
      </c>
      <c r="AZ48" s="19" t="s">
        <v>155</v>
      </c>
      <c r="BE48" s="60"/>
      <c r="BG48" s="86" t="s">
        <v>50</v>
      </c>
      <c r="BH48" s="19" t="s">
        <v>130</v>
      </c>
      <c r="BL48" s="7" t="s">
        <v>56</v>
      </c>
      <c r="BM48" s="19" t="s">
        <v>159</v>
      </c>
      <c r="BT48" s="60"/>
      <c r="BV48" s="86" t="s">
        <v>51</v>
      </c>
      <c r="BW48" s="119" t="s">
        <v>128</v>
      </c>
      <c r="BZ48" s="60"/>
      <c r="CI48" s="17"/>
    </row>
    <row r="49" spans="1:108">
      <c r="A49" s="127"/>
      <c r="C49" s="7"/>
      <c r="J49" s="38" t="s">
        <v>52</v>
      </c>
      <c r="K49" s="19" t="s">
        <v>141</v>
      </c>
      <c r="N49" s="2"/>
      <c r="O49" s="24"/>
      <c r="T49" s="5" t="s">
        <v>60</v>
      </c>
      <c r="U49" s="48" t="s">
        <v>147</v>
      </c>
      <c r="X49" s="60"/>
      <c r="AB49" s="16"/>
      <c r="AD49" s="38" t="s">
        <v>51</v>
      </c>
      <c r="AE49" s="48" t="s">
        <v>127</v>
      </c>
      <c r="AK49" s="60"/>
      <c r="AO49" s="3"/>
      <c r="AP49" s="83" t="s">
        <v>51</v>
      </c>
      <c r="AQ49" s="48" t="s">
        <v>152</v>
      </c>
      <c r="AW49" s="5" t="s">
        <v>58</v>
      </c>
      <c r="AZ49" s="19" t="s">
        <v>156</v>
      </c>
      <c r="BE49" s="60"/>
      <c r="BG49" s="86" t="s">
        <v>51</v>
      </c>
      <c r="BH49" s="48" t="s">
        <v>131</v>
      </c>
      <c r="BT49" s="60"/>
      <c r="BV49" s="86" t="s">
        <v>52</v>
      </c>
      <c r="BW49" s="119" t="s">
        <v>224</v>
      </c>
      <c r="BZ49" s="60"/>
    </row>
    <row r="50" spans="1:108">
      <c r="J50" s="38" t="s">
        <v>53</v>
      </c>
      <c r="K50" s="48" t="s">
        <v>142</v>
      </c>
      <c r="N50" s="2"/>
      <c r="T50" s="5" t="s">
        <v>61</v>
      </c>
      <c r="U50" s="19" t="s">
        <v>129</v>
      </c>
      <c r="X50" s="60"/>
      <c r="AD50" s="38" t="s">
        <v>52</v>
      </c>
      <c r="AE50" s="48" t="s">
        <v>157</v>
      </c>
      <c r="AK50" s="60"/>
      <c r="AP50" s="83" t="s">
        <v>52</v>
      </c>
      <c r="AQ50" s="48" t="s">
        <v>135</v>
      </c>
      <c r="AW50" s="5"/>
      <c r="AZ50" s="2"/>
      <c r="BE50" s="60"/>
      <c r="BG50" s="86" t="s">
        <v>52</v>
      </c>
      <c r="BH50" s="48" t="s">
        <v>166</v>
      </c>
      <c r="BT50" s="60"/>
      <c r="BV50" s="86" t="s">
        <v>53</v>
      </c>
      <c r="BW50" s="119" t="s">
        <v>225</v>
      </c>
      <c r="BZ50" s="60"/>
    </row>
    <row r="51" spans="1:108" ht="14.1" customHeight="1">
      <c r="J51" s="38" t="s">
        <v>54</v>
      </c>
      <c r="K51" s="48" t="s">
        <v>123</v>
      </c>
      <c r="N51" s="2"/>
      <c r="T51" s="5" t="s">
        <v>138</v>
      </c>
      <c r="U51" s="19" t="s">
        <v>162</v>
      </c>
      <c r="X51" s="60"/>
      <c r="AD51" s="38" t="s">
        <v>53</v>
      </c>
      <c r="AE51" s="19" t="s">
        <v>149</v>
      </c>
      <c r="AK51" s="60"/>
      <c r="AP51" s="83" t="s">
        <v>53</v>
      </c>
      <c r="AQ51" s="48" t="s">
        <v>136</v>
      </c>
      <c r="AW51" s="5"/>
      <c r="AZ51" s="2"/>
      <c r="BE51" s="60"/>
      <c r="BG51" s="247" t="s">
        <v>53</v>
      </c>
      <c r="BH51" s="251" t="s">
        <v>330</v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64"/>
      <c r="BV51" s="86" t="s">
        <v>54</v>
      </c>
      <c r="BW51" s="119" t="s">
        <v>221</v>
      </c>
      <c r="BZ51" s="60"/>
    </row>
    <row r="52" spans="1:108" ht="14.1" customHeight="1">
      <c r="A52" s="3"/>
      <c r="C52" s="13"/>
      <c r="J52" s="89" t="s">
        <v>55</v>
      </c>
      <c r="K52" s="62" t="s">
        <v>124</v>
      </c>
      <c r="L52" s="10"/>
      <c r="M52" s="10"/>
      <c r="N52" s="10"/>
      <c r="O52" s="10"/>
      <c r="P52" s="10"/>
      <c r="Q52" s="10"/>
      <c r="R52" s="10"/>
      <c r="S52" s="10"/>
      <c r="T52" s="63" t="s">
        <v>146</v>
      </c>
      <c r="U52" s="62" t="s">
        <v>148</v>
      </c>
      <c r="V52" s="10"/>
      <c r="W52" s="10"/>
      <c r="X52" s="64"/>
      <c r="AD52" s="61" t="s">
        <v>54</v>
      </c>
      <c r="AE52" s="73" t="s">
        <v>150</v>
      </c>
      <c r="AF52" s="10"/>
      <c r="AG52" s="10"/>
      <c r="AH52" s="10"/>
      <c r="AI52" s="10"/>
      <c r="AJ52" s="10"/>
      <c r="AK52" s="64"/>
      <c r="AP52" s="84" t="s">
        <v>54</v>
      </c>
      <c r="AQ52" s="73" t="s">
        <v>151</v>
      </c>
      <c r="AR52" s="10"/>
      <c r="AS52" s="10"/>
      <c r="AT52" s="10"/>
      <c r="AU52" s="10"/>
      <c r="AV52" s="10"/>
      <c r="AW52" s="63"/>
      <c r="AX52" s="63"/>
      <c r="AY52" s="63"/>
      <c r="AZ52" s="63"/>
      <c r="BA52" s="10"/>
      <c r="BB52" s="10"/>
      <c r="BC52" s="10"/>
      <c r="BD52" s="10"/>
      <c r="BE52" s="64"/>
      <c r="BG52" s="7"/>
      <c r="BH52" s="48"/>
      <c r="BM52" s="5"/>
      <c r="BV52" s="247" t="s">
        <v>55</v>
      </c>
      <c r="BW52" s="248" t="s">
        <v>222</v>
      </c>
      <c r="BX52" s="10"/>
      <c r="BY52" s="10"/>
      <c r="BZ52" s="64"/>
      <c r="CL52" s="18"/>
      <c r="DB52" s="16"/>
    </row>
    <row r="53" spans="1:108" ht="14.1" customHeight="1">
      <c r="C53" s="3"/>
      <c r="AD53" s="5"/>
      <c r="AZ53" s="2"/>
      <c r="BG53" s="7"/>
      <c r="BH53" s="19"/>
      <c r="BV53" s="7"/>
      <c r="CL53" s="12"/>
      <c r="DD53" s="16"/>
    </row>
    <row r="54" spans="1:108" ht="14.1" customHeight="1">
      <c r="C54" s="17"/>
      <c r="K54" s="48"/>
      <c r="N54" s="2"/>
      <c r="R54" s="24"/>
      <c r="AZ54" s="2"/>
      <c r="BG54" s="7"/>
      <c r="BH54" s="19"/>
    </row>
    <row r="55" spans="1:108" ht="14.1" customHeight="1">
      <c r="C55" s="17"/>
      <c r="K55" s="48"/>
      <c r="N55" s="2"/>
      <c r="R55" s="24"/>
      <c r="AB55" s="16"/>
      <c r="AP55" s="5"/>
      <c r="AZ55" s="2"/>
      <c r="BG55" s="7"/>
      <c r="BV55" s="7"/>
    </row>
    <row r="56" spans="1:108">
      <c r="C56" s="17"/>
      <c r="K56" s="48"/>
      <c r="N56" s="2"/>
      <c r="R56" s="24"/>
      <c r="AP56" s="3"/>
      <c r="AZ56" s="2"/>
      <c r="BH56" s="7"/>
      <c r="BW56" s="7"/>
    </row>
    <row r="57" spans="1:108">
      <c r="C57" s="28"/>
      <c r="N57" s="2"/>
      <c r="R57" s="24"/>
      <c r="AP57" s="3"/>
      <c r="AZ57" s="2"/>
      <c r="BW57" s="7"/>
    </row>
    <row r="58" spans="1:108">
      <c r="C58" s="28"/>
      <c r="N58" s="2"/>
      <c r="Q58" s="24"/>
      <c r="AO58" s="3"/>
      <c r="AZ58" s="2"/>
      <c r="BV58" s="7"/>
    </row>
    <row r="59" spans="1:108">
      <c r="C59" s="17"/>
      <c r="N59" s="2"/>
      <c r="Q59" s="24"/>
      <c r="AZ59" s="2"/>
      <c r="BV59" s="7"/>
    </row>
    <row r="60" spans="1:108">
      <c r="N60" s="2"/>
      <c r="Q60" s="24"/>
      <c r="AZ60" s="2"/>
      <c r="BV60" s="7"/>
    </row>
    <row r="61" spans="1:108">
      <c r="N61" s="2"/>
      <c r="Q61" s="24"/>
      <c r="AZ61" s="2"/>
      <c r="BV61" s="7"/>
    </row>
    <row r="62" spans="1:108" ht="12" customHeight="1">
      <c r="N62" s="2"/>
      <c r="Q62" s="24"/>
      <c r="AZ62" s="2"/>
      <c r="BV62" s="7"/>
    </row>
    <row r="63" spans="1:108">
      <c r="N63" s="2"/>
      <c r="Q63" s="24"/>
      <c r="AZ63" s="2"/>
      <c r="BV63" s="7"/>
    </row>
    <row r="64" spans="1:108">
      <c r="N64" s="2"/>
      <c r="Q64" s="24"/>
      <c r="AZ64" s="2"/>
      <c r="BG64" s="7"/>
      <c r="BV64" s="7"/>
    </row>
    <row r="65" spans="1:74">
      <c r="C65" s="12"/>
      <c r="N65" s="2"/>
      <c r="Q65" s="24"/>
      <c r="AZ65" s="2"/>
      <c r="BG65" s="7"/>
      <c r="BV65" s="7"/>
    </row>
    <row r="66" spans="1:74">
      <c r="A66" s="9"/>
      <c r="B66" s="3"/>
      <c r="N66" s="2"/>
      <c r="Q66" s="24"/>
      <c r="AZ66" s="2"/>
      <c r="BG66" s="7"/>
      <c r="BV66" s="7"/>
    </row>
    <row r="67" spans="1:74">
      <c r="A67" s="9"/>
      <c r="B67" s="3"/>
      <c r="N67" s="2"/>
      <c r="Q67" s="24"/>
      <c r="AZ67" s="2"/>
      <c r="BG67" s="7"/>
      <c r="BV67" s="7"/>
    </row>
    <row r="68" spans="1:74">
      <c r="N68" s="2"/>
      <c r="Q68" s="24"/>
      <c r="AZ68" s="2"/>
      <c r="BG68" s="7"/>
      <c r="BV68" s="7"/>
    </row>
    <row r="69" spans="1:74">
      <c r="N69" s="2"/>
      <c r="Q69" s="24"/>
      <c r="AZ69" s="2"/>
      <c r="BG69" s="7"/>
      <c r="BV69" s="7"/>
    </row>
    <row r="70" spans="1:74">
      <c r="N70" s="2"/>
      <c r="Q70" s="24"/>
      <c r="AZ70" s="2"/>
      <c r="BG70" s="7"/>
      <c r="BV70" s="7"/>
    </row>
    <row r="71" spans="1:74">
      <c r="N71" s="2"/>
      <c r="Q71" s="24"/>
      <c r="AZ71" s="2"/>
      <c r="BG71" s="7"/>
      <c r="BV71" s="7"/>
    </row>
    <row r="72" spans="1:74">
      <c r="N72" s="2"/>
      <c r="Q72" s="24"/>
      <c r="AZ72" s="2"/>
      <c r="BG72" s="7"/>
      <c r="BV72" s="7"/>
    </row>
    <row r="73" spans="1:74">
      <c r="N73" s="2"/>
      <c r="Q73" s="24"/>
      <c r="AZ73" s="2"/>
      <c r="BG73" s="7"/>
      <c r="BV73" s="7"/>
    </row>
    <row r="74" spans="1:74">
      <c r="N74" s="2"/>
      <c r="Q74" s="24"/>
      <c r="AZ74" s="2"/>
      <c r="BG74" s="7"/>
      <c r="BV74" s="7"/>
    </row>
    <row r="75" spans="1:74">
      <c r="N75" s="2"/>
      <c r="Q75" s="24"/>
      <c r="AZ75" s="2"/>
      <c r="BG75" s="7"/>
      <c r="BV75" s="7"/>
    </row>
    <row r="76" spans="1:74">
      <c r="N76" s="2"/>
      <c r="Q76" s="24"/>
      <c r="AZ76" s="2"/>
      <c r="BG76" s="7"/>
      <c r="BV76" s="7"/>
    </row>
    <row r="77" spans="1:74">
      <c r="N77" s="2"/>
      <c r="Q77" s="24"/>
      <c r="AZ77" s="2"/>
      <c r="BG77" s="7"/>
      <c r="BV77" s="7"/>
    </row>
    <row r="78" spans="1:74">
      <c r="N78" s="2"/>
      <c r="Q78" s="24"/>
      <c r="AZ78" s="2"/>
      <c r="BG78" s="7"/>
      <c r="BV78" s="7"/>
    </row>
    <row r="79" spans="1:74">
      <c r="N79" s="2"/>
      <c r="Q79" s="24"/>
      <c r="AZ79" s="2"/>
      <c r="BG79" s="7"/>
      <c r="BV79" s="7"/>
    </row>
    <row r="80" spans="1:74">
      <c r="N80" s="2"/>
      <c r="Q80" s="24"/>
      <c r="AZ80" s="2"/>
      <c r="BG80" s="7"/>
      <c r="BV80" s="7"/>
    </row>
    <row r="81" spans="6:74">
      <c r="F81" s="26"/>
      <c r="G81" s="26"/>
      <c r="N81" s="2"/>
      <c r="Q81" s="24"/>
      <c r="AZ81" s="2"/>
      <c r="BG81" s="7"/>
      <c r="BV81" s="7"/>
    </row>
    <row r="82" spans="6:74">
      <c r="N82" s="2"/>
      <c r="Q82" s="24"/>
      <c r="AZ82" s="2"/>
      <c r="BG82" s="7"/>
      <c r="BV82" s="7"/>
    </row>
    <row r="83" spans="6:74">
      <c r="N83" s="2"/>
      <c r="Q83" s="24"/>
      <c r="AZ83" s="2"/>
      <c r="BG83" s="7"/>
      <c r="BV83" s="7"/>
    </row>
    <row r="84" spans="6:74">
      <c r="N84" s="2"/>
      <c r="Q84" s="24"/>
      <c r="AZ84" s="2"/>
      <c r="BG84" s="7"/>
      <c r="BV84" s="7"/>
    </row>
    <row r="85" spans="6:74">
      <c r="N85" s="2"/>
      <c r="Q85" s="24"/>
      <c r="AZ85" s="2"/>
      <c r="BG85" s="7"/>
      <c r="BV85" s="7"/>
    </row>
    <row r="86" spans="6:74">
      <c r="N86" s="2"/>
      <c r="Q86" s="24"/>
      <c r="AZ86" s="2"/>
      <c r="BG86" s="7"/>
      <c r="BV86" s="7"/>
    </row>
    <row r="87" spans="6:74">
      <c r="N87" s="2"/>
      <c r="Q87" s="24"/>
      <c r="AZ87" s="2"/>
      <c r="BG87" s="7"/>
      <c r="BV87" s="7"/>
    </row>
    <row r="88" spans="6:74">
      <c r="N88" s="2"/>
      <c r="Q88" s="24"/>
      <c r="AZ88" s="2"/>
      <c r="BG88" s="7"/>
      <c r="BV88" s="7"/>
    </row>
    <row r="89" spans="6:74">
      <c r="N89" s="2"/>
      <c r="Q89" s="24"/>
      <c r="AZ89" s="2"/>
      <c r="BG89" s="7"/>
      <c r="BV89" s="7"/>
    </row>
    <row r="90" spans="6:74">
      <c r="N90" s="2"/>
      <c r="Q90" s="24"/>
      <c r="AZ90" s="2"/>
      <c r="BG90" s="7"/>
      <c r="BV90" s="7"/>
    </row>
    <row r="91" spans="6:74">
      <c r="N91" s="2"/>
      <c r="Q91" s="24"/>
      <c r="AZ91" s="2"/>
      <c r="BG91" s="7"/>
      <c r="BV91" s="7"/>
    </row>
    <row r="92" spans="6:74">
      <c r="N92" s="2"/>
      <c r="Q92" s="24"/>
      <c r="AZ92" s="2"/>
      <c r="BG92" s="7"/>
      <c r="BV92" s="7"/>
    </row>
    <row r="93" spans="6:74">
      <c r="N93" s="2"/>
      <c r="Q93" s="24"/>
      <c r="AZ93" s="2"/>
      <c r="BG93" s="7"/>
      <c r="BV93" s="7"/>
    </row>
    <row r="94" spans="6:74">
      <c r="N94" s="2"/>
      <c r="Q94" s="24"/>
      <c r="AZ94" s="2"/>
      <c r="BG94" s="7"/>
      <c r="BV94" s="7"/>
    </row>
    <row r="95" spans="6:74">
      <c r="N95" s="2"/>
      <c r="Q95" s="24"/>
      <c r="AZ95" s="2"/>
      <c r="BG95" s="7"/>
      <c r="BV95" s="7"/>
    </row>
    <row r="96" spans="6:74">
      <c r="N96" s="2"/>
      <c r="Q96" s="24"/>
      <c r="AZ96" s="2"/>
      <c r="BG96" s="7"/>
      <c r="BV96" s="7"/>
    </row>
    <row r="97" spans="1:74">
      <c r="N97" s="2"/>
      <c r="Q97" s="24"/>
      <c r="AZ97" s="2"/>
      <c r="BG97" s="7"/>
      <c r="BV97" s="7"/>
    </row>
    <row r="98" spans="1:74">
      <c r="N98" s="2"/>
      <c r="Q98" s="24"/>
      <c r="AZ98" s="2"/>
      <c r="BG98" s="7"/>
      <c r="BV98" s="7"/>
    </row>
    <row r="99" spans="1:74">
      <c r="N99" s="2"/>
      <c r="Q99" s="24"/>
      <c r="AZ99" s="2"/>
      <c r="BG99" s="7"/>
      <c r="BV99" s="7"/>
    </row>
    <row r="100" spans="1:74">
      <c r="N100" s="2"/>
      <c r="Q100" s="24"/>
      <c r="AZ100" s="2"/>
      <c r="BG100" s="7"/>
      <c r="BV100" s="7"/>
    </row>
    <row r="101" spans="1:74">
      <c r="N101" s="2"/>
      <c r="Q101" s="24"/>
      <c r="AZ101" s="2"/>
      <c r="BG101" s="7"/>
      <c r="BV101" s="7"/>
    </row>
    <row r="102" spans="1:74">
      <c r="N102" s="2"/>
      <c r="Q102" s="24"/>
      <c r="AZ102" s="2"/>
      <c r="BG102" s="7"/>
      <c r="BV102" s="7"/>
    </row>
    <row r="103" spans="1:74">
      <c r="N103" s="2"/>
      <c r="Q103" s="24"/>
      <c r="AZ103" s="2"/>
      <c r="BG103" s="7"/>
      <c r="BV103" s="7"/>
    </row>
    <row r="104" spans="1:74">
      <c r="N104" s="2"/>
      <c r="Q104" s="24"/>
      <c r="AZ104" s="2"/>
      <c r="BG104" s="7"/>
      <c r="BV104" s="7"/>
    </row>
    <row r="105" spans="1:74">
      <c r="E105" s="29"/>
      <c r="N105" s="2"/>
      <c r="Q105" s="24"/>
      <c r="AZ105" s="2"/>
      <c r="BG105" s="7"/>
      <c r="BV105" s="7"/>
    </row>
    <row r="106" spans="1:74">
      <c r="N106" s="2"/>
      <c r="Q106" s="24"/>
      <c r="AZ106" s="2"/>
      <c r="BG106" s="7"/>
      <c r="BV106" s="7"/>
    </row>
    <row r="107" spans="1:74">
      <c r="N107" s="2"/>
      <c r="Q107" s="24"/>
      <c r="AZ107" s="2"/>
      <c r="BG107" s="7"/>
      <c r="BV107" s="7"/>
    </row>
    <row r="108" spans="1:74">
      <c r="N108" s="2"/>
      <c r="Q108" s="24"/>
      <c r="AZ108" s="2"/>
      <c r="BG108" s="7"/>
      <c r="BV108" s="7"/>
    </row>
    <row r="109" spans="1:74">
      <c r="N109" s="2"/>
      <c r="Q109" s="24"/>
      <c r="AZ109" s="2"/>
      <c r="BG109" s="7"/>
      <c r="BV109" s="7"/>
    </row>
    <row r="110" spans="1:74">
      <c r="N110" s="2"/>
      <c r="Q110" s="24"/>
      <c r="AZ110" s="2"/>
      <c r="BG110" s="7"/>
      <c r="BV110" s="7"/>
    </row>
    <row r="111" spans="1:74">
      <c r="A111" s="9"/>
      <c r="B111" s="3"/>
      <c r="N111" s="2"/>
      <c r="Q111" s="24"/>
      <c r="AZ111" s="2"/>
      <c r="BG111" s="7"/>
      <c r="BV111" s="7"/>
    </row>
    <row r="112" spans="1:74">
      <c r="N112" s="2"/>
      <c r="Q112" s="24"/>
      <c r="AZ112" s="2"/>
      <c r="BG112" s="7"/>
      <c r="BV112" s="7"/>
    </row>
    <row r="113" spans="1:74">
      <c r="N113" s="2"/>
      <c r="Q113" s="24"/>
      <c r="AZ113" s="2"/>
      <c r="BG113" s="7"/>
      <c r="BV113" s="7"/>
    </row>
    <row r="114" spans="1:74">
      <c r="N114" s="2"/>
      <c r="Q114" s="24"/>
      <c r="AZ114" s="2"/>
      <c r="BG114" s="7"/>
      <c r="BV114" s="7"/>
    </row>
    <row r="115" spans="1:74">
      <c r="N115" s="2"/>
      <c r="Q115" s="24"/>
      <c r="AZ115" s="2"/>
      <c r="BG115" s="7"/>
      <c r="BV115" s="7"/>
    </row>
    <row r="116" spans="1:74">
      <c r="N116" s="2"/>
      <c r="Q116" s="24"/>
      <c r="AZ116" s="2"/>
      <c r="BG116" s="7"/>
      <c r="BV116" s="7"/>
    </row>
    <row r="117" spans="1:74">
      <c r="N117" s="2"/>
      <c r="Q117" s="24"/>
      <c r="AZ117" s="2"/>
      <c r="BG117" s="7"/>
      <c r="BV117" s="7"/>
    </row>
    <row r="118" spans="1:74">
      <c r="N118" s="2"/>
      <c r="Q118" s="24"/>
      <c r="AZ118" s="2"/>
      <c r="BG118" s="7"/>
      <c r="BV118" s="7"/>
    </row>
    <row r="119" spans="1:74">
      <c r="N119" s="2"/>
      <c r="Q119" s="24"/>
      <c r="AZ119" s="2"/>
      <c r="BG119" s="7"/>
      <c r="BV119" s="7"/>
    </row>
    <row r="120" spans="1:74">
      <c r="N120" s="2"/>
      <c r="Q120" s="24"/>
      <c r="AZ120" s="2"/>
      <c r="BG120" s="7"/>
      <c r="BV120" s="7"/>
    </row>
    <row r="121" spans="1:74">
      <c r="N121" s="2"/>
      <c r="Q121" s="24"/>
      <c r="AZ121" s="2"/>
      <c r="BG121" s="7"/>
      <c r="BV121" s="7"/>
    </row>
    <row r="122" spans="1:74">
      <c r="N122" s="2"/>
      <c r="Q122" s="24"/>
      <c r="AZ122" s="2"/>
      <c r="BG122" s="7"/>
      <c r="BV122" s="7"/>
    </row>
    <row r="123" spans="1:74">
      <c r="N123" s="2"/>
      <c r="Q123" s="24"/>
      <c r="AZ123" s="2"/>
      <c r="BG123" s="7"/>
      <c r="BV123" s="7"/>
    </row>
    <row r="124" spans="1:74">
      <c r="N124" s="2"/>
      <c r="Q124" s="24"/>
      <c r="AZ124" s="2"/>
      <c r="BG124" s="7"/>
      <c r="BV124" s="7"/>
    </row>
    <row r="125" spans="1:74">
      <c r="N125" s="2"/>
      <c r="Q125" s="24"/>
      <c r="AZ125" s="2"/>
      <c r="BG125" s="7"/>
      <c r="BV125" s="7"/>
    </row>
    <row r="126" spans="1:74">
      <c r="N126" s="2"/>
      <c r="Q126" s="24"/>
      <c r="AZ126" s="2"/>
      <c r="BG126" s="7"/>
      <c r="BV126" s="7"/>
    </row>
    <row r="127" spans="1:74">
      <c r="N127" s="2"/>
      <c r="Q127" s="24"/>
      <c r="AZ127" s="2"/>
      <c r="BG127" s="7"/>
      <c r="BV127" s="7"/>
    </row>
    <row r="128" spans="1:74">
      <c r="A128" s="3"/>
      <c r="N128" s="2"/>
      <c r="Q128" s="24"/>
      <c r="AZ128" s="2"/>
      <c r="BG128" s="7"/>
      <c r="BV128" s="7"/>
    </row>
    <row r="129" spans="1:74">
      <c r="A129" s="3"/>
      <c r="N129" s="2"/>
      <c r="Q129" s="24"/>
      <c r="AZ129" s="2"/>
      <c r="BG129" s="7"/>
      <c r="BV129" s="7"/>
    </row>
    <row r="130" spans="1:74">
      <c r="A130" s="3"/>
      <c r="B130" s="3"/>
      <c r="N130" s="2"/>
      <c r="Q130" s="24"/>
      <c r="AZ130" s="2"/>
      <c r="BG130" s="7"/>
      <c r="BV130" s="7"/>
    </row>
    <row r="131" spans="1:74">
      <c r="N131" s="2"/>
      <c r="Q131" s="24"/>
      <c r="AZ131" s="2"/>
      <c r="BG131" s="7"/>
      <c r="BV131" s="7"/>
    </row>
    <row r="132" spans="1:74">
      <c r="A132" s="3"/>
      <c r="B132" s="3"/>
      <c r="N132" s="2"/>
      <c r="Q132" s="24"/>
      <c r="AZ132" s="2"/>
      <c r="BG132" s="7"/>
      <c r="BV132" s="7"/>
    </row>
    <row r="133" spans="1:74">
      <c r="N133" s="2"/>
      <c r="Q133" s="24"/>
      <c r="AZ133" s="2"/>
      <c r="BG133" s="7"/>
      <c r="BV133" s="7"/>
    </row>
    <row r="134" spans="1:74">
      <c r="A134" s="3"/>
      <c r="B134" s="3"/>
      <c r="N134" s="2"/>
      <c r="Q134" s="24"/>
      <c r="AZ134" s="2"/>
      <c r="BG134" s="7"/>
      <c r="BV134" s="7"/>
    </row>
    <row r="135" spans="1:74">
      <c r="N135" s="2"/>
      <c r="Q135" s="24"/>
      <c r="AZ135" s="2"/>
      <c r="BG135" s="7"/>
      <c r="BV135" s="7"/>
    </row>
    <row r="136" spans="1:74">
      <c r="A136" s="3"/>
      <c r="B136" s="3"/>
      <c r="N136" s="2"/>
      <c r="Q136" s="24"/>
      <c r="AZ136" s="2"/>
      <c r="BG136" s="7"/>
      <c r="BV136" s="7"/>
    </row>
    <row r="137" spans="1:74">
      <c r="N137" s="2"/>
      <c r="Q137" s="24"/>
      <c r="AZ137" s="2"/>
      <c r="BG137" s="7"/>
      <c r="BV137" s="7"/>
    </row>
    <row r="138" spans="1:74">
      <c r="A138" s="3"/>
      <c r="B138" s="3"/>
      <c r="N138" s="2"/>
      <c r="Q138" s="24"/>
      <c r="AZ138" s="2"/>
      <c r="BG138" s="7"/>
      <c r="BV138" s="7"/>
    </row>
    <row r="139" spans="1:74">
      <c r="N139" s="2"/>
      <c r="Q139" s="24"/>
      <c r="AZ139" s="2"/>
      <c r="BG139" s="7"/>
      <c r="BV139" s="7"/>
    </row>
    <row r="140" spans="1:74">
      <c r="A140" s="3"/>
      <c r="B140" s="3"/>
      <c r="N140" s="2"/>
      <c r="Q140" s="24"/>
      <c r="AZ140" s="2"/>
      <c r="BG140" s="7"/>
      <c r="BV140" s="7"/>
    </row>
    <row r="141" spans="1:74">
      <c r="N141" s="2"/>
      <c r="Q141" s="24"/>
      <c r="AZ141" s="2"/>
      <c r="BG141" s="7"/>
      <c r="BV141" s="7"/>
    </row>
    <row r="142" spans="1:74">
      <c r="A142" s="3"/>
      <c r="B142" s="3"/>
      <c r="N142" s="2"/>
      <c r="Q142" s="24"/>
      <c r="AZ142" s="2"/>
      <c r="BG142" s="7"/>
      <c r="BV142" s="7"/>
    </row>
    <row r="143" spans="1:74">
      <c r="N143" s="2"/>
      <c r="Q143" s="24"/>
      <c r="AZ143" s="2"/>
      <c r="BG143" s="7"/>
      <c r="BV143" s="7"/>
    </row>
    <row r="144" spans="1:74">
      <c r="A144" s="3"/>
      <c r="B144" s="3"/>
      <c r="N144" s="2"/>
      <c r="Q144" s="24"/>
      <c r="AZ144" s="2"/>
      <c r="BG144" s="7"/>
      <c r="BV144" s="7"/>
    </row>
    <row r="145" spans="1:74">
      <c r="N145" s="2"/>
      <c r="Q145" s="24"/>
      <c r="AZ145" s="2"/>
      <c r="BG145" s="7"/>
      <c r="BV145" s="7"/>
    </row>
    <row r="146" spans="1:74">
      <c r="N146" s="2"/>
      <c r="Q146" s="24"/>
      <c r="AZ146" s="2"/>
      <c r="BG146" s="7"/>
      <c r="BV146" s="7"/>
    </row>
    <row r="147" spans="1:74">
      <c r="N147" s="2"/>
      <c r="Q147" s="24"/>
      <c r="AZ147" s="2"/>
      <c r="BG147" s="7"/>
      <c r="BV147" s="7"/>
    </row>
    <row r="148" spans="1:74">
      <c r="A148" s="3"/>
      <c r="N148" s="2"/>
      <c r="Q148" s="24"/>
      <c r="AZ148" s="2"/>
      <c r="BG148" s="7"/>
      <c r="BV148" s="7"/>
    </row>
    <row r="149" spans="1:74">
      <c r="A149" s="3"/>
      <c r="N149" s="2"/>
      <c r="Q149" s="24"/>
      <c r="AZ149" s="2"/>
      <c r="BG149" s="7"/>
      <c r="BV149" s="7"/>
    </row>
    <row r="150" spans="1:74">
      <c r="A150" s="3"/>
      <c r="B150" s="3"/>
      <c r="N150" s="2"/>
      <c r="Q150" s="24"/>
      <c r="AZ150" s="2"/>
      <c r="BG150" s="7"/>
      <c r="BV150" s="7"/>
    </row>
    <row r="151" spans="1:74">
      <c r="B151" s="3"/>
      <c r="N151" s="2"/>
      <c r="Q151" s="24"/>
      <c r="AZ151" s="2"/>
      <c r="BG151" s="7"/>
      <c r="BV151" s="7"/>
    </row>
    <row r="152" spans="1:74">
      <c r="B152" s="3"/>
      <c r="N152" s="2"/>
      <c r="Q152" s="24"/>
      <c r="AZ152" s="2"/>
      <c r="BG152" s="7"/>
      <c r="BV152" s="7"/>
    </row>
    <row r="153" spans="1:74">
      <c r="B153" s="3"/>
      <c r="N153" s="2"/>
      <c r="Q153" s="24"/>
      <c r="AZ153" s="2"/>
      <c r="BG153" s="7"/>
      <c r="BV153" s="7"/>
    </row>
    <row r="154" spans="1:74">
      <c r="B154" s="3"/>
      <c r="N154" s="2"/>
      <c r="Q154" s="24"/>
      <c r="AZ154" s="2"/>
      <c r="BG154" s="7"/>
      <c r="BV154" s="7"/>
    </row>
    <row r="155" spans="1:74">
      <c r="B155" s="3"/>
      <c r="N155" s="2"/>
      <c r="Q155" s="24"/>
      <c r="AZ155" s="2"/>
      <c r="BG155" s="7"/>
      <c r="BV155" s="7"/>
    </row>
    <row r="156" spans="1:74">
      <c r="B156" s="3"/>
      <c r="N156" s="2"/>
      <c r="Q156" s="24"/>
      <c r="AZ156" s="2"/>
      <c r="BG156" s="7"/>
      <c r="BV156" s="7"/>
    </row>
    <row r="157" spans="1:74">
      <c r="B157" s="3"/>
      <c r="N157" s="2"/>
      <c r="Q157" s="24"/>
      <c r="AZ157" s="2"/>
      <c r="BG157" s="7"/>
      <c r="BV157" s="7"/>
    </row>
    <row r="158" spans="1:74">
      <c r="N158" s="2"/>
      <c r="Q158" s="24"/>
      <c r="AZ158" s="2"/>
      <c r="BG158" s="7"/>
      <c r="BV158" s="7"/>
    </row>
    <row r="159" spans="1:74">
      <c r="N159" s="2"/>
      <c r="Q159" s="24"/>
      <c r="AZ159" s="2"/>
      <c r="BG159" s="7"/>
      <c r="BV159" s="7"/>
    </row>
    <row r="160" spans="1:74">
      <c r="N160" s="2"/>
      <c r="Q160" s="24"/>
      <c r="AZ160" s="2"/>
      <c r="BG160" s="7"/>
      <c r="BV160" s="7"/>
    </row>
    <row r="161" spans="1:74">
      <c r="A161" s="3"/>
      <c r="B161" s="3"/>
      <c r="N161" s="2"/>
      <c r="Q161" s="24"/>
      <c r="AZ161" s="2"/>
      <c r="BG161" s="7"/>
      <c r="BV161" s="7"/>
    </row>
    <row r="162" spans="1:74">
      <c r="B162" s="3"/>
      <c r="N162" s="2"/>
      <c r="Q162" s="24"/>
      <c r="AZ162" s="2"/>
      <c r="BG162" s="7"/>
      <c r="BV162" s="7"/>
    </row>
    <row r="163" spans="1:74">
      <c r="N163" s="2"/>
      <c r="Q163" s="24"/>
      <c r="AZ163" s="2"/>
      <c r="BG163" s="7"/>
      <c r="BV163" s="7"/>
    </row>
    <row r="164" spans="1:74">
      <c r="N164" s="2"/>
      <c r="Q164" s="24"/>
      <c r="AZ164" s="2"/>
      <c r="BG164" s="7"/>
      <c r="BV164" s="7"/>
    </row>
    <row r="165" spans="1:74">
      <c r="N165" s="2"/>
      <c r="Q165" s="24"/>
      <c r="AZ165" s="2"/>
      <c r="BG165" s="7"/>
      <c r="BV165" s="7"/>
    </row>
    <row r="166" spans="1:74">
      <c r="N166" s="2"/>
      <c r="Q166" s="24"/>
      <c r="AZ166" s="2"/>
      <c r="BG166" s="7"/>
      <c r="BV166" s="7"/>
    </row>
    <row r="167" spans="1:74">
      <c r="N167" s="2"/>
      <c r="Q167" s="24"/>
      <c r="AZ167" s="2"/>
      <c r="BG167" s="7"/>
      <c r="BV167" s="7"/>
    </row>
    <row r="168" spans="1:74">
      <c r="A168" s="3"/>
      <c r="N168" s="2"/>
      <c r="Q168" s="24"/>
      <c r="AZ168" s="2"/>
      <c r="BG168" s="7"/>
      <c r="BV168" s="7"/>
    </row>
    <row r="169" spans="1:74">
      <c r="A169" s="3"/>
      <c r="N169" s="2"/>
      <c r="Q169" s="24"/>
      <c r="AZ169" s="2"/>
      <c r="BG169" s="7"/>
      <c r="BV169" s="7"/>
    </row>
    <row r="170" spans="1:74">
      <c r="A170" s="3"/>
      <c r="B170" s="3"/>
      <c r="N170" s="2"/>
      <c r="Q170" s="24"/>
      <c r="AZ170" s="2"/>
      <c r="BG170" s="7"/>
      <c r="BV170" s="7"/>
    </row>
    <row r="171" spans="1:74">
      <c r="B171" s="3"/>
      <c r="N171" s="2"/>
      <c r="Q171" s="24"/>
      <c r="AZ171" s="2"/>
      <c r="BG171" s="7"/>
      <c r="BV171" s="7"/>
    </row>
    <row r="172" spans="1:74">
      <c r="A172" s="3"/>
      <c r="B172" s="3"/>
      <c r="N172" s="2"/>
      <c r="Q172" s="24"/>
      <c r="AZ172" s="2"/>
      <c r="BG172" s="7"/>
      <c r="BV172" s="7"/>
    </row>
    <row r="173" spans="1:74">
      <c r="N173" s="2"/>
      <c r="Q173" s="24"/>
      <c r="AZ173" s="2"/>
      <c r="BG173" s="7"/>
      <c r="BV173" s="7"/>
    </row>
    <row r="174" spans="1:74">
      <c r="N174" s="2"/>
      <c r="Q174" s="24"/>
      <c r="AZ174" s="2"/>
      <c r="BG174" s="7"/>
      <c r="BV174" s="7"/>
    </row>
    <row r="175" spans="1:74">
      <c r="AZ175" s="2"/>
      <c r="BC175" s="7"/>
    </row>
    <row r="176" spans="1:74">
      <c r="AZ176" s="2"/>
      <c r="BC176" s="7"/>
    </row>
    <row r="177" spans="52:55">
      <c r="AZ177" s="2"/>
      <c r="BC177" s="7"/>
    </row>
    <row r="178" spans="52:55">
      <c r="AZ178" s="2"/>
      <c r="BC178" s="7"/>
    </row>
    <row r="179" spans="52:55">
      <c r="AZ179" s="2"/>
      <c r="BC179" s="7"/>
    </row>
    <row r="180" spans="52:55">
      <c r="AZ180" s="2"/>
      <c r="BC180" s="7"/>
    </row>
    <row r="181" spans="52:55">
      <c r="AZ181" s="2"/>
      <c r="BC181" s="7"/>
    </row>
    <row r="182" spans="52:55">
      <c r="AZ182" s="2"/>
      <c r="BC182" s="7"/>
    </row>
    <row r="183" spans="52:55">
      <c r="AZ183" s="2"/>
      <c r="BC183" s="7"/>
    </row>
    <row r="184" spans="52:55">
      <c r="AZ184" s="2"/>
      <c r="BC184" s="7"/>
    </row>
    <row r="185" spans="52:55">
      <c r="AZ185" s="2"/>
      <c r="BC185" s="7"/>
    </row>
    <row r="186" spans="52:55">
      <c r="AZ186" s="2"/>
      <c r="BC186" s="7"/>
    </row>
    <row r="187" spans="52:55">
      <c r="AZ187" s="2"/>
      <c r="BC187" s="7"/>
    </row>
    <row r="188" spans="52:55">
      <c r="AZ188" s="2"/>
      <c r="BC188" s="7"/>
    </row>
    <row r="189" spans="52:55">
      <c r="AZ189" s="2"/>
      <c r="BC189" s="7"/>
    </row>
    <row r="190" spans="52:55">
      <c r="AZ190" s="2"/>
      <c r="BC190" s="7"/>
    </row>
    <row r="191" spans="52:55">
      <c r="AZ191" s="2"/>
      <c r="BC191" s="7"/>
    </row>
    <row r="192" spans="52:55">
      <c r="AZ192" s="2"/>
      <c r="BC192" s="7"/>
    </row>
    <row r="193" spans="52:55">
      <c r="AZ193" s="2"/>
      <c r="BC193" s="7"/>
    </row>
    <row r="194" spans="52:55">
      <c r="AZ194" s="2"/>
      <c r="BC194" s="7"/>
    </row>
    <row r="195" spans="52:55">
      <c r="AZ195" s="2"/>
      <c r="BC195" s="7"/>
    </row>
    <row r="196" spans="52:55">
      <c r="AZ196" s="2"/>
      <c r="BC196" s="7"/>
    </row>
    <row r="197" spans="52:55">
      <c r="AZ197" s="2"/>
      <c r="BC197" s="7"/>
    </row>
    <row r="198" spans="52:55">
      <c r="AZ198" s="2"/>
      <c r="BC198" s="7"/>
    </row>
    <row r="199" spans="52:55">
      <c r="AZ199" s="2"/>
      <c r="BC199" s="7"/>
    </row>
    <row r="200" spans="52:55">
      <c r="AZ200" s="2"/>
      <c r="BC200" s="7"/>
    </row>
    <row r="201" spans="52:55">
      <c r="AZ201" s="2"/>
      <c r="BC201" s="7"/>
    </row>
    <row r="202" spans="52:55">
      <c r="AZ202" s="2"/>
      <c r="BC202" s="7"/>
    </row>
    <row r="203" spans="52:55">
      <c r="AZ203" s="2"/>
      <c r="BC203" s="7"/>
    </row>
    <row r="204" spans="52:55">
      <c r="AZ204" s="2"/>
      <c r="BC204" s="7"/>
    </row>
    <row r="205" spans="52:55">
      <c r="AZ205" s="2"/>
      <c r="BC205" s="7"/>
    </row>
    <row r="206" spans="52:55">
      <c r="AZ206" s="2"/>
      <c r="BC206" s="7"/>
    </row>
    <row r="207" spans="52:55">
      <c r="AZ207" s="2"/>
      <c r="BC207" s="7"/>
    </row>
    <row r="208" spans="52:55">
      <c r="AZ208" s="2"/>
      <c r="BC208" s="7"/>
    </row>
    <row r="209" spans="52:55">
      <c r="AZ209" s="2"/>
      <c r="BC209" s="7"/>
    </row>
    <row r="210" spans="52:55">
      <c r="AZ210" s="2"/>
      <c r="BC210" s="7"/>
    </row>
    <row r="211" spans="52:55">
      <c r="AZ211" s="2"/>
      <c r="BC211" s="7"/>
    </row>
    <row r="212" spans="52:55">
      <c r="AZ212" s="2"/>
      <c r="BC212" s="7"/>
    </row>
    <row r="213" spans="52:55">
      <c r="AZ213" s="2"/>
      <c r="BC213" s="7"/>
    </row>
    <row r="214" spans="52:55">
      <c r="AZ214" s="2"/>
      <c r="BC214" s="7"/>
    </row>
    <row r="215" spans="52:55">
      <c r="AZ215" s="2"/>
      <c r="BC215" s="7"/>
    </row>
    <row r="216" spans="52:55">
      <c r="AZ216" s="2"/>
      <c r="BC216" s="7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9.1406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24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28515625" style="2" customWidth="1"/>
    <col min="28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5703125" style="2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2851562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7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8.140625" style="2" bestFit="1" customWidth="1"/>
    <col min="57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85546875" style="2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8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36" t="s">
        <v>109</v>
      </c>
      <c r="B1" s="36"/>
      <c r="C1" s="36"/>
      <c r="D1" s="36"/>
      <c r="E1" s="36"/>
      <c r="F1" s="36"/>
      <c r="G1" s="36"/>
      <c r="H1" s="56"/>
      <c r="K1" s="1" t="s">
        <v>1</v>
      </c>
      <c r="N1" s="2"/>
      <c r="R1" s="24"/>
      <c r="T1" s="3"/>
      <c r="U1" s="3"/>
      <c r="AD1" s="1" t="s">
        <v>2</v>
      </c>
      <c r="AG1" s="3"/>
      <c r="AP1" s="1" t="s">
        <v>3</v>
      </c>
      <c r="AZ1" s="2"/>
      <c r="BC1" s="4"/>
      <c r="BG1" s="1" t="s">
        <v>4</v>
      </c>
      <c r="BJ1" s="3"/>
      <c r="BV1" s="1" t="s">
        <v>217</v>
      </c>
      <c r="BY1" s="3"/>
    </row>
    <row r="2" spans="1:106">
      <c r="A2" s="36" t="s">
        <v>108</v>
      </c>
      <c r="B2" s="36"/>
      <c r="C2" s="36"/>
      <c r="D2" s="36"/>
      <c r="E2" s="36"/>
      <c r="F2" s="36"/>
      <c r="G2" s="36"/>
      <c r="H2" s="56"/>
      <c r="K2" s="1" t="s">
        <v>5</v>
      </c>
      <c r="N2" s="2"/>
      <c r="R2" s="24"/>
      <c r="T2" s="3"/>
      <c r="U2" s="3"/>
      <c r="AD2" s="1" t="s">
        <v>6</v>
      </c>
      <c r="AG2" s="3"/>
      <c r="AP2" s="1" t="s">
        <v>7</v>
      </c>
      <c r="AZ2" s="2"/>
      <c r="BC2" s="4"/>
      <c r="BD2" s="4"/>
      <c r="BG2" s="1" t="s">
        <v>8</v>
      </c>
      <c r="BJ2" s="3"/>
      <c r="BO2" s="3"/>
      <c r="BV2" s="1" t="s">
        <v>218</v>
      </c>
      <c r="BY2" s="3"/>
    </row>
    <row r="3" spans="1:106">
      <c r="N3" s="2"/>
      <c r="R3" s="24"/>
      <c r="AZ3" s="2"/>
      <c r="BD3" s="4"/>
      <c r="BG3" s="7"/>
      <c r="BO3" s="3"/>
      <c r="BV3" s="7"/>
    </row>
    <row r="4" spans="1:106">
      <c r="A4" s="5" t="s">
        <v>9</v>
      </c>
      <c r="B4" s="6" t="s">
        <v>94</v>
      </c>
      <c r="K4" s="3" t="s">
        <v>9</v>
      </c>
      <c r="M4" s="9" t="str">
        <f>B4</f>
        <v>Montana-Dakota Utilities Co.</v>
      </c>
      <c r="N4" s="2"/>
      <c r="R4" s="24"/>
      <c r="S4" s="113"/>
      <c r="AD4" s="3" t="s">
        <v>9</v>
      </c>
      <c r="AF4" s="9" t="str">
        <f>B4</f>
        <v>Montana-Dakota Utilities Co.</v>
      </c>
      <c r="AP4" s="3" t="s">
        <v>11</v>
      </c>
      <c r="AR4" s="9" t="str">
        <f>AF4</f>
        <v>Montana-Dakota Utilities Co.</v>
      </c>
      <c r="AZ4" s="2"/>
      <c r="BH4" s="2" t="s">
        <v>11</v>
      </c>
      <c r="BI4" s="9" t="str">
        <f>AR4</f>
        <v>Montana-Dakota Utilities Co.</v>
      </c>
      <c r="BW4" s="2" t="s">
        <v>11</v>
      </c>
      <c r="BX4" s="9" t="str">
        <f>BI4</f>
        <v>Montana-Dakota Utilities Co.</v>
      </c>
    </row>
    <row r="5" spans="1:106">
      <c r="A5" s="5" t="s">
        <v>10</v>
      </c>
      <c r="B5" s="8" t="s">
        <v>285</v>
      </c>
      <c r="K5" s="3" t="s">
        <v>10</v>
      </c>
      <c r="M5" s="9" t="str">
        <f>$B$5</f>
        <v>Commercial 95+% AFUE Furnace - Replacement</v>
      </c>
      <c r="N5" s="2"/>
      <c r="R5" s="24"/>
      <c r="AD5" s="3" t="s">
        <v>10</v>
      </c>
      <c r="AF5" s="9" t="str">
        <f>$B$5</f>
        <v>Commercial 95+% AFUE Furnace - Replacement</v>
      </c>
      <c r="AP5" s="3" t="s">
        <v>12</v>
      </c>
      <c r="AR5" s="9" t="str">
        <f>$B$5</f>
        <v>Commercial 95+% AFUE Furnace - Replacement</v>
      </c>
      <c r="AZ5" s="2"/>
      <c r="BH5" s="2" t="s">
        <v>12</v>
      </c>
      <c r="BI5" s="9" t="str">
        <f>$B$5</f>
        <v>Commercial 95+% AFUE Furnace - Replacement</v>
      </c>
      <c r="BW5" s="2" t="s">
        <v>12</v>
      </c>
      <c r="BX5" s="9" t="str">
        <f>$B$5</f>
        <v>Commercial 95+% AFUE Furnace - Replacement</v>
      </c>
    </row>
    <row r="6" spans="1:106">
      <c r="A6" s="5" t="s">
        <v>202</v>
      </c>
      <c r="B6" s="6">
        <f>'Total Program'!$B$6</f>
        <v>2025</v>
      </c>
      <c r="N6" s="2"/>
      <c r="R6" s="24"/>
      <c r="AZ6" s="2"/>
      <c r="BG6" s="7"/>
      <c r="BV6" s="7"/>
    </row>
    <row r="7" spans="1:106">
      <c r="N7" s="31" t="s">
        <v>14</v>
      </c>
      <c r="O7" s="31"/>
      <c r="P7" s="31"/>
      <c r="Q7" s="31"/>
      <c r="R7" s="81"/>
      <c r="S7" s="31"/>
      <c r="T7" s="31"/>
      <c r="U7" s="31"/>
      <c r="V7" s="31"/>
      <c r="X7" s="65" t="s">
        <v>15</v>
      </c>
      <c r="Y7" s="65"/>
      <c r="Z7" s="80"/>
      <c r="AA7" s="80"/>
      <c r="AB7" s="7"/>
      <c r="AF7" s="31" t="s">
        <v>14</v>
      </c>
      <c r="AG7" s="79"/>
      <c r="AH7" s="79"/>
      <c r="AJ7" s="65" t="s">
        <v>15</v>
      </c>
      <c r="AK7" s="65"/>
      <c r="AL7" s="65"/>
      <c r="AN7" s="56" t="s">
        <v>81</v>
      </c>
      <c r="AR7" s="31" t="s">
        <v>14</v>
      </c>
      <c r="AS7" s="31"/>
      <c r="AT7" s="31"/>
      <c r="AU7" s="31"/>
      <c r="AV7" s="31"/>
      <c r="AW7" s="31"/>
      <c r="AX7" s="31"/>
      <c r="AY7" s="31"/>
      <c r="AZ7" s="31"/>
      <c r="BB7" s="65" t="s">
        <v>15</v>
      </c>
      <c r="BC7" s="65"/>
      <c r="BD7" s="65"/>
      <c r="BE7" s="36" t="s">
        <v>81</v>
      </c>
      <c r="BG7" s="7"/>
      <c r="BI7" s="31" t="s">
        <v>14</v>
      </c>
      <c r="BJ7" s="79"/>
      <c r="BK7" s="79"/>
      <c r="BL7" s="79"/>
      <c r="BM7" s="79"/>
      <c r="BN7" s="79"/>
      <c r="BO7" s="79"/>
      <c r="BP7" s="79"/>
      <c r="BR7" s="88" t="s">
        <v>15</v>
      </c>
      <c r="BS7" s="36" t="s">
        <v>81</v>
      </c>
      <c r="BV7" s="7"/>
      <c r="BX7" s="31" t="s">
        <v>14</v>
      </c>
      <c r="BY7" s="79"/>
      <c r="BZ7" s="79"/>
      <c r="CA7" s="79"/>
      <c r="CC7" s="65" t="s">
        <v>15</v>
      </c>
      <c r="CD7" s="65"/>
      <c r="CE7" s="65"/>
      <c r="CF7" s="36" t="s">
        <v>81</v>
      </c>
    </row>
    <row r="8" spans="1:106">
      <c r="A8" s="100" t="s">
        <v>13</v>
      </c>
      <c r="B8" s="100"/>
      <c r="C8" s="10"/>
      <c r="E8" s="100"/>
      <c r="F8" s="106">
        <f>+'Total Program Inputs'!C6</f>
        <v>2025</v>
      </c>
      <c r="G8" s="7"/>
      <c r="H8" s="114"/>
      <c r="M8" s="101"/>
      <c r="N8" s="101"/>
      <c r="Q8" s="101"/>
      <c r="R8" s="24"/>
      <c r="S8" s="101"/>
      <c r="T8" s="101"/>
      <c r="U8" s="101"/>
      <c r="V8" s="101"/>
      <c r="W8" s="101"/>
      <c r="X8" s="101"/>
      <c r="Z8" s="101"/>
      <c r="AA8" s="7"/>
      <c r="AB8" s="7" t="s">
        <v>17</v>
      </c>
      <c r="AF8" s="101"/>
      <c r="AG8" s="101"/>
      <c r="AH8" s="101"/>
      <c r="AM8" s="101"/>
      <c r="AN8" s="7" t="s">
        <v>17</v>
      </c>
      <c r="AT8" s="7" t="s">
        <v>24</v>
      </c>
      <c r="AU8" s="101"/>
      <c r="AV8" s="7"/>
      <c r="AW8" s="101"/>
      <c r="AX8" s="7"/>
      <c r="AY8" s="101"/>
      <c r="AZ8" s="101"/>
      <c r="BA8" s="101"/>
      <c r="BB8" s="101"/>
      <c r="BC8" s="101"/>
      <c r="BD8" s="101"/>
      <c r="BE8" s="7" t="s">
        <v>17</v>
      </c>
      <c r="BG8" s="7"/>
      <c r="BH8" s="7"/>
      <c r="BI8" s="7"/>
      <c r="BT8" s="7" t="s">
        <v>17</v>
      </c>
      <c r="BV8" s="7"/>
      <c r="BW8" s="7"/>
      <c r="BX8" s="7"/>
      <c r="CG8" s="7" t="s">
        <v>17</v>
      </c>
      <c r="DA8" s="101"/>
      <c r="DB8" s="101"/>
    </row>
    <row r="9" spans="1:106">
      <c r="A9" s="3"/>
      <c r="E9" s="3"/>
      <c r="M9" s="7" t="s">
        <v>20</v>
      </c>
      <c r="N9" s="7" t="s">
        <v>23</v>
      </c>
      <c r="O9" s="7" t="s">
        <v>23</v>
      </c>
      <c r="P9" s="102" t="s">
        <v>21</v>
      </c>
      <c r="Q9" s="102" t="s">
        <v>21</v>
      </c>
      <c r="R9" s="103" t="s">
        <v>20</v>
      </c>
      <c r="S9" s="104" t="s">
        <v>97</v>
      </c>
      <c r="T9" s="7" t="s">
        <v>31</v>
      </c>
      <c r="U9" s="103" t="s">
        <v>20</v>
      </c>
      <c r="V9" s="7"/>
      <c r="W9" s="104" t="s">
        <v>96</v>
      </c>
      <c r="Y9" s="7" t="s">
        <v>35</v>
      </c>
      <c r="Z9" s="7"/>
      <c r="AA9" s="7" t="s">
        <v>20</v>
      </c>
      <c r="AB9" s="7" t="s">
        <v>14</v>
      </c>
      <c r="AF9" s="104" t="s">
        <v>20</v>
      </c>
      <c r="AG9" s="103" t="s">
        <v>20</v>
      </c>
      <c r="AH9" s="104" t="s">
        <v>17</v>
      </c>
      <c r="AJ9" s="7" t="s">
        <v>35</v>
      </c>
      <c r="AK9" s="7"/>
      <c r="AL9" s="7" t="s">
        <v>22</v>
      </c>
      <c r="AN9" s="7" t="s">
        <v>14</v>
      </c>
      <c r="AR9" s="104" t="s">
        <v>20</v>
      </c>
      <c r="AS9" s="7" t="s">
        <v>20</v>
      </c>
      <c r="AT9" s="7" t="s">
        <v>36</v>
      </c>
      <c r="AU9" s="7" t="s">
        <v>24</v>
      </c>
      <c r="AV9" s="102" t="s">
        <v>37</v>
      </c>
      <c r="AW9" s="102" t="s">
        <v>37</v>
      </c>
      <c r="AX9" s="7"/>
      <c r="AZ9" s="7" t="s">
        <v>17</v>
      </c>
      <c r="BB9" s="7" t="s">
        <v>22</v>
      </c>
      <c r="BC9" s="7" t="s">
        <v>39</v>
      </c>
      <c r="BD9" s="7" t="s">
        <v>17</v>
      </c>
      <c r="BE9" s="7" t="s">
        <v>14</v>
      </c>
      <c r="BG9" s="7"/>
      <c r="BH9" s="7"/>
      <c r="BI9" s="7"/>
      <c r="BJ9" s="7" t="s">
        <v>20</v>
      </c>
      <c r="BL9" s="7" t="s">
        <v>23</v>
      </c>
      <c r="BM9" s="7" t="s">
        <v>24</v>
      </c>
      <c r="BN9" s="7" t="s">
        <v>24</v>
      </c>
      <c r="BO9" s="7"/>
      <c r="BP9" s="7" t="s">
        <v>20</v>
      </c>
      <c r="BR9" s="7" t="s">
        <v>26</v>
      </c>
      <c r="BS9" s="7"/>
      <c r="BT9" s="7" t="s">
        <v>14</v>
      </c>
      <c r="BV9" s="7"/>
      <c r="BW9" s="7"/>
      <c r="BX9" s="7" t="s">
        <v>20</v>
      </c>
      <c r="BY9" s="7" t="s">
        <v>20</v>
      </c>
      <c r="BZ9" s="7" t="s">
        <v>24</v>
      </c>
      <c r="CA9" s="7" t="s">
        <v>20</v>
      </c>
      <c r="CC9" s="7" t="s">
        <v>22</v>
      </c>
      <c r="CD9" s="7" t="s">
        <v>39</v>
      </c>
      <c r="CE9" s="114"/>
      <c r="CF9" s="7"/>
      <c r="CG9" s="7" t="s">
        <v>14</v>
      </c>
    </row>
    <row r="10" spans="1:106">
      <c r="A10" s="3" t="s">
        <v>104</v>
      </c>
      <c r="C10" s="11">
        <f>+'Gas Input Table Summary'!$E$7</f>
        <v>6.9710000000000001</v>
      </c>
      <c r="D10" s="12"/>
      <c r="E10" s="3" t="s">
        <v>16</v>
      </c>
      <c r="J10" s="15"/>
      <c r="M10" s="7" t="s">
        <v>28</v>
      </c>
      <c r="N10" s="7" t="s">
        <v>29</v>
      </c>
      <c r="O10" s="7" t="s">
        <v>29</v>
      </c>
      <c r="P10" s="102" t="s">
        <v>30</v>
      </c>
      <c r="Q10" s="102" t="s">
        <v>30</v>
      </c>
      <c r="R10" s="103" t="s">
        <v>36</v>
      </c>
      <c r="S10" s="7" t="s">
        <v>31</v>
      </c>
      <c r="T10" s="7" t="s">
        <v>38</v>
      </c>
      <c r="U10" s="103" t="s">
        <v>31</v>
      </c>
      <c r="V10" s="7" t="s">
        <v>20</v>
      </c>
      <c r="W10" s="7" t="s">
        <v>119</v>
      </c>
      <c r="X10" s="7" t="s">
        <v>92</v>
      </c>
      <c r="Y10" s="7" t="s">
        <v>145</v>
      </c>
      <c r="Z10" s="7" t="s">
        <v>118</v>
      </c>
      <c r="AA10" s="7" t="s">
        <v>35</v>
      </c>
      <c r="AB10" s="7" t="s">
        <v>34</v>
      </c>
      <c r="AF10" s="104" t="s">
        <v>36</v>
      </c>
      <c r="AG10" s="103" t="s">
        <v>31</v>
      </c>
      <c r="AH10" s="104" t="s">
        <v>20</v>
      </c>
      <c r="AJ10" s="7" t="s">
        <v>145</v>
      </c>
      <c r="AK10" s="7" t="s">
        <v>118</v>
      </c>
      <c r="AL10" s="7" t="s">
        <v>35</v>
      </c>
      <c r="AN10" s="7" t="s">
        <v>34</v>
      </c>
      <c r="AR10" s="7" t="s">
        <v>28</v>
      </c>
      <c r="AS10" s="7" t="s">
        <v>132</v>
      </c>
      <c r="AT10" s="7" t="s">
        <v>38</v>
      </c>
      <c r="AU10" s="7" t="s">
        <v>36</v>
      </c>
      <c r="AV10" s="7" t="s">
        <v>99</v>
      </c>
      <c r="AW10" s="104" t="s">
        <v>99</v>
      </c>
      <c r="AX10" s="7"/>
      <c r="AY10" s="102"/>
      <c r="AZ10" s="7" t="s">
        <v>20</v>
      </c>
      <c r="BB10" s="7" t="s">
        <v>35</v>
      </c>
      <c r="BC10" s="104" t="s">
        <v>100</v>
      </c>
      <c r="BD10" s="7" t="s">
        <v>20</v>
      </c>
      <c r="BE10" s="7" t="s">
        <v>34</v>
      </c>
      <c r="BG10" s="7"/>
      <c r="BH10" s="7"/>
      <c r="BI10" s="7" t="s">
        <v>25</v>
      </c>
      <c r="BJ10" s="7" t="s">
        <v>28</v>
      </c>
      <c r="BK10" s="7" t="s">
        <v>32</v>
      </c>
      <c r="BL10" s="7" t="s">
        <v>33</v>
      </c>
      <c r="BM10" s="7" t="s">
        <v>137</v>
      </c>
      <c r="BN10" s="7" t="s">
        <v>36</v>
      </c>
      <c r="BO10" s="7"/>
      <c r="BP10" s="7" t="s">
        <v>17</v>
      </c>
      <c r="BR10" s="7" t="s">
        <v>112</v>
      </c>
      <c r="BS10" s="7"/>
      <c r="BT10" s="7" t="s">
        <v>34</v>
      </c>
      <c r="BV10" s="7"/>
      <c r="BW10" s="7"/>
      <c r="BX10" s="7" t="s">
        <v>28</v>
      </c>
      <c r="BY10" s="114" t="s">
        <v>31</v>
      </c>
      <c r="BZ10" s="7" t="s">
        <v>36</v>
      </c>
      <c r="CA10" s="7" t="s">
        <v>17</v>
      </c>
      <c r="CC10" s="7" t="s">
        <v>35</v>
      </c>
      <c r="CD10" s="104" t="s">
        <v>100</v>
      </c>
      <c r="CE10" s="114" t="s">
        <v>20</v>
      </c>
      <c r="CF10" s="7"/>
      <c r="CG10" s="7" t="s">
        <v>34</v>
      </c>
    </row>
    <row r="11" spans="1:106">
      <c r="A11" s="3" t="s">
        <v>18</v>
      </c>
      <c r="C11" s="13">
        <f>+'Gas Input Table Summary'!$E$8</f>
        <v>0.03</v>
      </c>
      <c r="E11" s="3" t="s">
        <v>19</v>
      </c>
      <c r="F11" s="137">
        <f>+'Total Program Inputs'!M19</f>
        <v>912</v>
      </c>
      <c r="G11" s="256"/>
      <c r="H11" s="256"/>
      <c r="J11" s="5"/>
      <c r="M11" s="7" t="s">
        <v>44</v>
      </c>
      <c r="N11" s="7" t="s">
        <v>107</v>
      </c>
      <c r="O11" s="7" t="s">
        <v>38</v>
      </c>
      <c r="P11" s="102" t="s">
        <v>107</v>
      </c>
      <c r="Q11" s="102" t="s">
        <v>38</v>
      </c>
      <c r="R11" s="103" t="s">
        <v>38</v>
      </c>
      <c r="S11" s="7" t="s">
        <v>44</v>
      </c>
      <c r="T11" s="7" t="s">
        <v>95</v>
      </c>
      <c r="U11" s="103" t="s">
        <v>38</v>
      </c>
      <c r="V11" s="7" t="s">
        <v>38</v>
      </c>
      <c r="W11" s="7" t="s">
        <v>120</v>
      </c>
      <c r="X11" s="7" t="s">
        <v>93</v>
      </c>
      <c r="Y11" s="7" t="s">
        <v>15</v>
      </c>
      <c r="Z11" s="7" t="s">
        <v>15</v>
      </c>
      <c r="AA11" s="7" t="s">
        <v>15</v>
      </c>
      <c r="AB11" s="7" t="s">
        <v>15</v>
      </c>
      <c r="AF11" s="7" t="s">
        <v>38</v>
      </c>
      <c r="AG11" s="103" t="s">
        <v>38</v>
      </c>
      <c r="AH11" s="103" t="s">
        <v>38</v>
      </c>
      <c r="AJ11" s="7" t="s">
        <v>15</v>
      </c>
      <c r="AK11" s="7" t="s">
        <v>15</v>
      </c>
      <c r="AL11" s="7" t="s">
        <v>15</v>
      </c>
      <c r="AN11" s="7" t="s">
        <v>15</v>
      </c>
      <c r="AR11" s="7" t="s">
        <v>38</v>
      </c>
      <c r="AS11" s="7" t="s">
        <v>38</v>
      </c>
      <c r="AT11" s="7" t="s">
        <v>134</v>
      </c>
      <c r="AU11" s="7" t="s">
        <v>38</v>
      </c>
      <c r="AV11" s="105" t="s">
        <v>133</v>
      </c>
      <c r="AW11" s="105" t="s">
        <v>38</v>
      </c>
      <c r="AX11" s="7"/>
      <c r="AY11" s="102"/>
      <c r="AZ11" s="104" t="s">
        <v>38</v>
      </c>
      <c r="BB11" s="7" t="s">
        <v>15</v>
      </c>
      <c r="BC11" s="48" t="s">
        <v>101</v>
      </c>
      <c r="BD11" s="104" t="s">
        <v>15</v>
      </c>
      <c r="BE11" s="7" t="s">
        <v>15</v>
      </c>
      <c r="BH11" s="7"/>
      <c r="BI11" s="7" t="s">
        <v>46</v>
      </c>
      <c r="BJ11" s="7" t="s">
        <v>44</v>
      </c>
      <c r="BK11" s="7" t="s">
        <v>45</v>
      </c>
      <c r="BL11" s="7" t="s">
        <v>38</v>
      </c>
      <c r="BM11" s="7" t="s">
        <v>0</v>
      </c>
      <c r="BN11" s="7" t="s">
        <v>38</v>
      </c>
      <c r="BO11" s="7"/>
      <c r="BP11" s="7" t="s">
        <v>14</v>
      </c>
      <c r="BR11" s="7" t="s">
        <v>15</v>
      </c>
      <c r="BS11" s="7"/>
      <c r="BT11" s="7" t="s">
        <v>15</v>
      </c>
      <c r="BW11" s="7"/>
      <c r="BX11" s="114" t="s">
        <v>38</v>
      </c>
      <c r="BY11" s="114" t="s">
        <v>38</v>
      </c>
      <c r="BZ11" s="7" t="s">
        <v>38</v>
      </c>
      <c r="CA11" s="7" t="s">
        <v>14</v>
      </c>
      <c r="CC11" s="7" t="s">
        <v>15</v>
      </c>
      <c r="CD11" s="48" t="s">
        <v>101</v>
      </c>
      <c r="CE11" s="7" t="s">
        <v>15</v>
      </c>
      <c r="CF11" s="7"/>
      <c r="CG11" s="7" t="s">
        <v>15</v>
      </c>
    </row>
    <row r="12" spans="1:106">
      <c r="A12" s="3"/>
      <c r="C12" s="13"/>
      <c r="E12" s="3" t="s">
        <v>27</v>
      </c>
      <c r="F12" s="129">
        <f>+'Total Program Inputs'!I19</f>
        <v>2700</v>
      </c>
      <c r="G12" s="22"/>
      <c r="H12" s="22"/>
      <c r="L12" s="106" t="s">
        <v>43</v>
      </c>
      <c r="M12" s="106" t="s">
        <v>48</v>
      </c>
      <c r="N12" s="106" t="s">
        <v>49</v>
      </c>
      <c r="O12" s="106" t="s">
        <v>50</v>
      </c>
      <c r="P12" s="106" t="s">
        <v>51</v>
      </c>
      <c r="Q12" s="106" t="s">
        <v>52</v>
      </c>
      <c r="R12" s="106" t="s">
        <v>53</v>
      </c>
      <c r="S12" s="106" t="s">
        <v>54</v>
      </c>
      <c r="T12" s="106" t="s">
        <v>55</v>
      </c>
      <c r="U12" s="106" t="s">
        <v>56</v>
      </c>
      <c r="V12" s="106" t="s">
        <v>57</v>
      </c>
      <c r="W12" s="106" t="s">
        <v>58</v>
      </c>
      <c r="X12" s="106" t="s">
        <v>59</v>
      </c>
      <c r="Y12" s="106" t="s">
        <v>60</v>
      </c>
      <c r="Z12" s="106" t="s">
        <v>61</v>
      </c>
      <c r="AA12" s="106" t="s">
        <v>138</v>
      </c>
      <c r="AB12" s="106" t="s">
        <v>146</v>
      </c>
      <c r="AE12" s="106" t="s">
        <v>43</v>
      </c>
      <c r="AF12" s="106" t="s">
        <v>48</v>
      </c>
      <c r="AG12" s="106" t="s">
        <v>49</v>
      </c>
      <c r="AH12" s="106" t="s">
        <v>50</v>
      </c>
      <c r="AJ12" s="106" t="s">
        <v>51</v>
      </c>
      <c r="AK12" s="106" t="s">
        <v>52</v>
      </c>
      <c r="AL12" s="106" t="s">
        <v>53</v>
      </c>
      <c r="AN12" s="106" t="s">
        <v>54</v>
      </c>
      <c r="AQ12" s="106" t="s">
        <v>43</v>
      </c>
      <c r="AR12" s="106" t="s">
        <v>48</v>
      </c>
      <c r="AS12" s="106" t="s">
        <v>49</v>
      </c>
      <c r="AT12" s="106" t="s">
        <v>50</v>
      </c>
      <c r="AU12" s="106" t="s">
        <v>51</v>
      </c>
      <c r="AV12" s="106" t="s">
        <v>52</v>
      </c>
      <c r="AW12" s="106" t="s">
        <v>53</v>
      </c>
      <c r="AX12" s="106"/>
      <c r="AY12" s="106"/>
      <c r="AZ12" s="106" t="s">
        <v>54</v>
      </c>
      <c r="BB12" s="106" t="s">
        <v>55</v>
      </c>
      <c r="BC12" s="106" t="s">
        <v>56</v>
      </c>
      <c r="BD12" s="106" t="s">
        <v>57</v>
      </c>
      <c r="BE12" s="106" t="s">
        <v>58</v>
      </c>
      <c r="BH12" s="106" t="s">
        <v>43</v>
      </c>
      <c r="BI12" s="106" t="s">
        <v>48</v>
      </c>
      <c r="BJ12" s="106" t="s">
        <v>49</v>
      </c>
      <c r="BK12" s="106" t="s">
        <v>50</v>
      </c>
      <c r="BL12" s="106" t="s">
        <v>51</v>
      </c>
      <c r="BM12" s="106" t="s">
        <v>52</v>
      </c>
      <c r="BN12" s="106" t="s">
        <v>53</v>
      </c>
      <c r="BO12" s="106"/>
      <c r="BP12" s="106" t="s">
        <v>54</v>
      </c>
      <c r="BR12" s="106" t="s">
        <v>55</v>
      </c>
      <c r="BS12" s="7"/>
      <c r="BT12" s="106" t="s">
        <v>56</v>
      </c>
      <c r="BW12" s="106" t="s">
        <v>43</v>
      </c>
      <c r="BX12" s="106" t="s">
        <v>48</v>
      </c>
      <c r="BY12" s="106" t="s">
        <v>49</v>
      </c>
      <c r="BZ12" s="106" t="s">
        <v>50</v>
      </c>
      <c r="CA12" s="117" t="s">
        <v>51</v>
      </c>
      <c r="CC12" s="117" t="s">
        <v>52</v>
      </c>
      <c r="CD12" s="117" t="s">
        <v>53</v>
      </c>
      <c r="CE12" s="117" t="s">
        <v>54</v>
      </c>
      <c r="CF12" s="7"/>
      <c r="CG12" s="117" t="s">
        <v>55</v>
      </c>
    </row>
    <row r="13" spans="1:106">
      <c r="A13" s="3" t="s">
        <v>40</v>
      </c>
      <c r="C13" s="140">
        <f>+'Gas Input Table Summary'!$E$9</f>
        <v>0.13053000000000001</v>
      </c>
      <c r="E13" s="3" t="s">
        <v>41</v>
      </c>
      <c r="F13" s="12">
        <f>SUM(F11:F12)</f>
        <v>3612</v>
      </c>
      <c r="G13" s="12"/>
      <c r="H13" s="12"/>
      <c r="J13" s="7"/>
      <c r="L13" s="7"/>
      <c r="M13" s="7"/>
      <c r="N13" s="7"/>
      <c r="Q13" s="7"/>
      <c r="R13" s="24"/>
      <c r="S13" s="7"/>
      <c r="T13" s="7"/>
      <c r="V13" s="7"/>
      <c r="W13" s="7"/>
      <c r="X13" s="7"/>
      <c r="Z13" s="7"/>
      <c r="AA13" s="7"/>
      <c r="AB13" s="7"/>
      <c r="AE13" s="7"/>
      <c r="AF13" s="7"/>
      <c r="AH13" s="7"/>
      <c r="AL13" s="7"/>
      <c r="AN13" s="7"/>
      <c r="AQ13" s="7"/>
      <c r="AR13" s="7"/>
      <c r="AS13" s="7"/>
      <c r="AU13" s="7"/>
      <c r="AW13" s="4"/>
      <c r="AY13" s="4"/>
      <c r="BB13" s="7"/>
      <c r="BC13" s="7"/>
      <c r="BD13" s="7"/>
      <c r="BE13" s="7"/>
      <c r="BH13" s="7"/>
      <c r="BI13" s="7"/>
      <c r="BJ13" s="7"/>
      <c r="BK13" s="7"/>
      <c r="BL13" s="7"/>
      <c r="BN13" s="7"/>
      <c r="BO13" s="7"/>
      <c r="BP13" s="7"/>
      <c r="BR13" s="7"/>
      <c r="BS13" s="7"/>
      <c r="BT13" s="7"/>
      <c r="BW13" s="7"/>
      <c r="BX13" s="7"/>
      <c r="BY13" s="7"/>
      <c r="BZ13" s="7"/>
      <c r="CA13" s="7"/>
      <c r="CC13" s="7"/>
      <c r="CD13" s="7"/>
      <c r="CE13" s="7"/>
      <c r="CF13" s="7"/>
      <c r="CG13" s="7"/>
    </row>
    <row r="14" spans="1:106">
      <c r="A14" s="3" t="s">
        <v>47</v>
      </c>
      <c r="C14" s="13">
        <f>+'Gas Input Table Summary'!$E$10</f>
        <v>0.03</v>
      </c>
      <c r="F14" s="16"/>
      <c r="G14" s="16"/>
      <c r="H14" s="16"/>
      <c r="J14" s="2">
        <f>$C$47-$C$45</f>
        <v>0</v>
      </c>
      <c r="L14" s="7">
        <f>$C$47</f>
        <v>2025</v>
      </c>
      <c r="M14" s="16">
        <f>ROUND(IF($C$47+$F$23&gt;L14,F25*F30,0),0)</f>
        <v>223</v>
      </c>
      <c r="N14" s="107">
        <f t="shared" ref="N14:N34" si="0">ROUND($C$17*(1+$C$18)^J14,3)</f>
        <v>3.4159999999999999</v>
      </c>
      <c r="O14" s="12">
        <f t="shared" ref="O14:O34" si="1">ROUND(M14*N14,0)</f>
        <v>762</v>
      </c>
      <c r="P14" s="107">
        <f t="shared" ref="P14:P34" si="2">ROUND($C$25*(1+$C$26)^J14,3)</f>
        <v>0</v>
      </c>
      <c r="Q14" s="12">
        <f>ROUND(M14*P14,0)</f>
        <v>0</v>
      </c>
      <c r="R14" s="108">
        <f t="shared" ref="R14:R34" si="3">O14+Q14</f>
        <v>762</v>
      </c>
      <c r="S14" s="42">
        <f t="shared" ref="S14:S34" si="4">ROUND(M14*$C$23,1)</f>
        <v>2.2000000000000002</v>
      </c>
      <c r="T14" s="12">
        <f t="shared" ref="T14:T34" si="5">ROUND($C$20*(1+$C$21)^J14,0)</f>
        <v>175</v>
      </c>
      <c r="U14" s="109">
        <f>ROUND(S14*T14,0)</f>
        <v>385</v>
      </c>
      <c r="V14" s="12">
        <f>ROUND(+U14+R14,0)</f>
        <v>1147</v>
      </c>
      <c r="W14" s="110">
        <f t="shared" ref="W14:W34" si="6">ROUND($H$36*(1+$C$11)^J14,3)</f>
        <v>1.1479999999999999</v>
      </c>
      <c r="X14" s="111">
        <f t="shared" ref="X14:X34" si="7">ROUND((1-$H$38)*(W14*M14),0)</f>
        <v>202</v>
      </c>
      <c r="Y14" s="111">
        <f>ROUND($F$11,0)</f>
        <v>912</v>
      </c>
      <c r="Z14" s="111">
        <f>ROUND($F$12,0)</f>
        <v>2700</v>
      </c>
      <c r="AA14" s="111">
        <f t="shared" ref="AA14:AA34" si="8">SUM(X14:Z14)</f>
        <v>3814</v>
      </c>
      <c r="AB14" s="12">
        <f t="shared" ref="AB14:AB34" si="9">V14-AA14</f>
        <v>-2667</v>
      </c>
      <c r="AE14" s="7">
        <f>$C$47</f>
        <v>2025</v>
      </c>
      <c r="AF14" s="12">
        <f t="shared" ref="AF14:AF34" si="10">+R14</f>
        <v>762</v>
      </c>
      <c r="AG14" s="12">
        <f t="shared" ref="AG14:AG34" si="11">+U14</f>
        <v>385</v>
      </c>
      <c r="AH14" s="111">
        <f>+AG14+AF14</f>
        <v>1147</v>
      </c>
      <c r="AJ14" s="12">
        <f>ROUND(Y14,0)</f>
        <v>912</v>
      </c>
      <c r="AK14" s="12">
        <f>ROUND(Z14,0)</f>
        <v>2700</v>
      </c>
      <c r="AL14" s="12">
        <f t="shared" ref="AL14:AL34" si="12">SUM(AJ14:AK14)</f>
        <v>3612</v>
      </c>
      <c r="AN14" s="12">
        <f t="shared" ref="AN14:AN34" si="13">+AH14-AL14</f>
        <v>-2465</v>
      </c>
      <c r="AQ14" s="7">
        <f>$C$47</f>
        <v>2025</v>
      </c>
      <c r="AR14" s="12">
        <f t="shared" ref="AR14:AR34" si="14">AF14</f>
        <v>762</v>
      </c>
      <c r="AS14" s="12">
        <f t="shared" ref="AS14:AS34" si="15">+AG14</f>
        <v>385</v>
      </c>
      <c r="AT14" s="107">
        <f t="shared" ref="AT14:AT34" si="16">ROUND(($C$28/(1-$C$31))*(1+$C$29)^J14,3)</f>
        <v>0.03</v>
      </c>
      <c r="AU14" s="12">
        <f>ROUND(IF($C$47+$F$23&gt;$AQ14,$F$30*$F$27,0)*AT14,0)</f>
        <v>0</v>
      </c>
      <c r="AV14" s="107">
        <f t="shared" ref="AV14:AV34" si="17">ROUND($C$33*(1+$C$34)^J14,3)</f>
        <v>2.0699999999999998</v>
      </c>
      <c r="AW14" s="12">
        <f t="shared" ref="AW14:AW34" si="18">ROUND(AV14*M14,0)</f>
        <v>462</v>
      </c>
      <c r="AX14" s="107"/>
      <c r="AY14" s="12"/>
      <c r="AZ14" s="12">
        <f>ROUND(AR14+AS14+AU14+AW14+AY14,0)</f>
        <v>1609</v>
      </c>
      <c r="BA14" s="17"/>
      <c r="BB14" s="111">
        <f>ROUND($F$13,0)</f>
        <v>3612</v>
      </c>
      <c r="BC14" s="111">
        <f>ROUND((F15*F30)-Z14,0)</f>
        <v>3924</v>
      </c>
      <c r="BD14" s="109">
        <f>BB14+BC14</f>
        <v>7536</v>
      </c>
      <c r="BE14" s="111">
        <f t="shared" ref="BE14:BE34" si="19">AZ14-BD14</f>
        <v>-5927</v>
      </c>
      <c r="BH14" s="7">
        <f>$C$47</f>
        <v>2025</v>
      </c>
      <c r="BI14" s="12">
        <f>+F12</f>
        <v>2700</v>
      </c>
      <c r="BJ14" s="16">
        <f t="shared" ref="BJ14:BJ34" si="20">+M14</f>
        <v>223</v>
      </c>
      <c r="BK14" s="112">
        <f t="shared" ref="BK14:BK34" si="21">ROUND($C$10*(1+$C$11)^J14,3)</f>
        <v>6.9710000000000001</v>
      </c>
      <c r="BL14" s="12">
        <f>ROUND(BJ14*BK14,0)</f>
        <v>1555</v>
      </c>
      <c r="BM14" s="112">
        <f t="shared" ref="BM14:BM34" si="22">ROUND($C$13*(1+$C$14)^J14,3)</f>
        <v>0.13100000000000001</v>
      </c>
      <c r="BN14" s="12">
        <f>ROUND(IF($C$47+$F$23&gt;$BH14,$F$30*$F$27,0)*BM14,0)</f>
        <v>0</v>
      </c>
      <c r="BO14" s="12"/>
      <c r="BP14" s="12">
        <f t="shared" ref="BP14:BP34" si="23">BI14+BL14+BN14+BO14</f>
        <v>4255</v>
      </c>
      <c r="BR14" s="12">
        <f>ROUND(F15*F30,0)</f>
        <v>6624</v>
      </c>
      <c r="BS14" s="12"/>
      <c r="BT14" s="12">
        <f>BP14-BR14</f>
        <v>-2369</v>
      </c>
      <c r="BW14" s="7">
        <f>$C$47</f>
        <v>2025</v>
      </c>
      <c r="BX14" s="12">
        <f t="shared" ref="BX14:BX36" si="24">$R14</f>
        <v>762</v>
      </c>
      <c r="BY14" s="12">
        <f>U14</f>
        <v>385</v>
      </c>
      <c r="BZ14" s="115">
        <f>AU14</f>
        <v>0</v>
      </c>
      <c r="CA14" s="12">
        <f>SUM(BX14:BZ14)</f>
        <v>1147</v>
      </c>
      <c r="CC14" s="12">
        <f>BB14</f>
        <v>3612</v>
      </c>
      <c r="CD14" s="12">
        <f>BC14</f>
        <v>3924</v>
      </c>
      <c r="CE14" s="12">
        <f>SUM(CC14:CD14)</f>
        <v>7536</v>
      </c>
      <c r="CF14" s="12"/>
      <c r="CG14" s="12">
        <f>CA14-CE14</f>
        <v>-6389</v>
      </c>
    </row>
    <row r="15" spans="1:106">
      <c r="A15" s="3" t="s">
        <v>62</v>
      </c>
      <c r="C15" s="131" t="str">
        <f>+'Gas Input Table Summary'!$E$11</f>
        <v>kWh</v>
      </c>
      <c r="E15" s="3" t="s">
        <v>63</v>
      </c>
      <c r="F15" s="258">
        <f>ROUND('Database Inputs'!K17,0)</f>
        <v>736</v>
      </c>
      <c r="G15" s="257"/>
      <c r="H15" s="257"/>
      <c r="J15" s="2">
        <f t="shared" ref="J15:J36" si="25">J14+1</f>
        <v>1</v>
      </c>
      <c r="L15" s="7">
        <f t="shared" ref="L15:L36" si="26">L14+1</f>
        <v>2026</v>
      </c>
      <c r="M15" s="16">
        <f>ROUND(IF($C$47+$F$23&gt;L15,$F$25*$F$30,0)+IF($C$48+$G$23&gt;L15,$G$25*$G$30,0),0)</f>
        <v>223</v>
      </c>
      <c r="N15" s="53">
        <f t="shared" si="0"/>
        <v>3.5179999999999998</v>
      </c>
      <c r="O15" s="32">
        <f t="shared" si="1"/>
        <v>785</v>
      </c>
      <c r="P15" s="53">
        <f t="shared" si="2"/>
        <v>0</v>
      </c>
      <c r="Q15" s="46">
        <f t="shared" ref="Q15:Q34" si="27">ROUND(M15*P15,0)</f>
        <v>0</v>
      </c>
      <c r="R15" s="43">
        <f t="shared" si="3"/>
        <v>785</v>
      </c>
      <c r="S15" s="42">
        <f t="shared" si="4"/>
        <v>2.2000000000000002</v>
      </c>
      <c r="T15" s="46">
        <f t="shared" si="5"/>
        <v>177</v>
      </c>
      <c r="U15" s="44">
        <f>ROUND(S15*T15,0)</f>
        <v>389</v>
      </c>
      <c r="V15" s="16">
        <f t="shared" ref="V15:V34" si="28">ROUND(+U15+R15,0)</f>
        <v>1174</v>
      </c>
      <c r="W15" s="45">
        <f t="shared" si="6"/>
        <v>1.1819999999999999</v>
      </c>
      <c r="X15" s="46">
        <f t="shared" si="7"/>
        <v>208</v>
      </c>
      <c r="Y15" s="46">
        <f>ROUND($G$11,0)</f>
        <v>0</v>
      </c>
      <c r="Z15" s="46">
        <f>ROUND($G$12,0)</f>
        <v>0</v>
      </c>
      <c r="AA15" s="46">
        <f t="shared" si="8"/>
        <v>208</v>
      </c>
      <c r="AB15" s="46">
        <f t="shared" si="9"/>
        <v>966</v>
      </c>
      <c r="AE15" s="7">
        <f t="shared" ref="AE15:AE36" si="29">AE14+1</f>
        <v>2026</v>
      </c>
      <c r="AF15" s="46">
        <f t="shared" si="10"/>
        <v>785</v>
      </c>
      <c r="AG15" s="16">
        <f t="shared" si="11"/>
        <v>389</v>
      </c>
      <c r="AH15" s="46">
        <f>+AG15+AF15</f>
        <v>1174</v>
      </c>
      <c r="AJ15" s="32">
        <f t="shared" ref="AJ15:AK34" si="30">ROUND(Y15,0)</f>
        <v>0</v>
      </c>
      <c r="AK15" s="32">
        <f t="shared" si="30"/>
        <v>0</v>
      </c>
      <c r="AL15" s="32">
        <f t="shared" si="12"/>
        <v>0</v>
      </c>
      <c r="AN15" s="77">
        <f t="shared" si="13"/>
        <v>1174</v>
      </c>
      <c r="AQ15" s="7">
        <f t="shared" ref="AQ15:AQ36" si="31">AQ14+1</f>
        <v>2026</v>
      </c>
      <c r="AR15" s="46">
        <f t="shared" si="14"/>
        <v>785</v>
      </c>
      <c r="AS15" s="46">
        <f t="shared" si="15"/>
        <v>389</v>
      </c>
      <c r="AT15" s="91">
        <f t="shared" si="16"/>
        <v>0.03</v>
      </c>
      <c r="AU15" s="16">
        <f>ROUND((IF($C$47+$F$23&gt;$AQ15,$F$27*$F$30,0)+IF($C$48+$G$23&gt;AQ15,$G$27*$G$30,0))*AT15,0)</f>
        <v>0</v>
      </c>
      <c r="AV15" s="53">
        <f t="shared" si="17"/>
        <v>2.105</v>
      </c>
      <c r="AW15" s="46">
        <f t="shared" si="18"/>
        <v>469</v>
      </c>
      <c r="AX15" s="91"/>
      <c r="AY15" s="92"/>
      <c r="AZ15" s="46">
        <f t="shared" ref="AZ15:AZ34" si="32">ROUND(AR15+AS15+AU15+AW15+AY15,0)</f>
        <v>1643</v>
      </c>
      <c r="BA15" s="17"/>
      <c r="BB15" s="46">
        <f>ROUND($G$13,0)</f>
        <v>0</v>
      </c>
      <c r="BC15" s="46">
        <f>ROUND(($G$15*$G$30)-$Z$15,0)</f>
        <v>0</v>
      </c>
      <c r="BD15" s="47">
        <f t="shared" ref="BD15:BD34" si="33">BB15+BC15</f>
        <v>0</v>
      </c>
      <c r="BE15" s="46">
        <f t="shared" si="19"/>
        <v>1643</v>
      </c>
      <c r="BH15" s="7">
        <f t="shared" ref="BH15:BH36" si="34">BH14+1</f>
        <v>2026</v>
      </c>
      <c r="BI15" s="46">
        <f>+G12</f>
        <v>0</v>
      </c>
      <c r="BJ15" s="16">
        <f t="shared" si="20"/>
        <v>223</v>
      </c>
      <c r="BK15" s="87">
        <f t="shared" si="21"/>
        <v>7.18</v>
      </c>
      <c r="BL15" s="46">
        <f>ROUND(BJ15*BK15,0)</f>
        <v>1601</v>
      </c>
      <c r="BM15" s="87">
        <f t="shared" si="22"/>
        <v>0.13400000000000001</v>
      </c>
      <c r="BN15" s="16">
        <f>ROUND((IF($C$47+$F$23&gt;BH15,$F$27*$F$30,0)+IF($C$48+$G$23&gt;BH15,$G$27*$G$30,0))*BM15,0)</f>
        <v>0</v>
      </c>
      <c r="BO15" s="16"/>
      <c r="BP15" s="46">
        <f t="shared" si="23"/>
        <v>1601</v>
      </c>
      <c r="BR15" s="46">
        <f>ROUND($G$15*$G$30,0)</f>
        <v>0</v>
      </c>
      <c r="BS15" s="46"/>
      <c r="BT15" s="46">
        <f t="shared" ref="BT15:BT34" si="35">BP15-BR15</f>
        <v>1601</v>
      </c>
      <c r="BW15" s="7">
        <f t="shared" ref="BW15:BW36" si="36">BW14+1</f>
        <v>2026</v>
      </c>
      <c r="BX15" s="46">
        <f t="shared" si="24"/>
        <v>785</v>
      </c>
      <c r="BY15" s="16">
        <f t="shared" ref="BY15:BY34" si="37">U15</f>
        <v>389</v>
      </c>
      <c r="BZ15" s="116">
        <f t="shared" ref="BZ15:BZ34" si="38">AU15</f>
        <v>0</v>
      </c>
      <c r="CA15" s="46">
        <f t="shared" ref="CA15:CA34" si="39">SUM(BX15:BZ15)</f>
        <v>1174</v>
      </c>
      <c r="CC15" s="46">
        <f t="shared" ref="CC15:CD34" si="40">BB15</f>
        <v>0</v>
      </c>
      <c r="CD15" s="46">
        <f t="shared" si="40"/>
        <v>0</v>
      </c>
      <c r="CE15" s="46">
        <f t="shared" ref="CE15:CE34" si="41">SUM(CC15:CD15)</f>
        <v>0</v>
      </c>
      <c r="CF15" s="46"/>
      <c r="CG15" s="46">
        <f>CA15-CE15</f>
        <v>1174</v>
      </c>
    </row>
    <row r="16" spans="1:106">
      <c r="F16" s="16"/>
      <c r="G16" s="16"/>
      <c r="H16" s="16"/>
      <c r="J16" s="2">
        <f t="shared" si="25"/>
        <v>2</v>
      </c>
      <c r="L16" s="7">
        <f t="shared" si="26"/>
        <v>2027</v>
      </c>
      <c r="M16" s="16">
        <f>ROUND(IF($C$47+$F$23&gt;L16,$F$25*$F$30,0)+IF($C$48+$G$23&gt;L16,$G$25*$G$30,0)+IF($C$49+$H$23&gt;L16,$H$25*$H$30,0),0)</f>
        <v>223</v>
      </c>
      <c r="N16" s="53">
        <f t="shared" si="0"/>
        <v>3.6240000000000001</v>
      </c>
      <c r="O16" s="32">
        <f t="shared" si="1"/>
        <v>808</v>
      </c>
      <c r="P16" s="53">
        <f t="shared" si="2"/>
        <v>0</v>
      </c>
      <c r="Q16" s="46">
        <f t="shared" si="27"/>
        <v>0</v>
      </c>
      <c r="R16" s="43">
        <f t="shared" si="3"/>
        <v>808</v>
      </c>
      <c r="S16" s="42">
        <f t="shared" si="4"/>
        <v>2.2000000000000002</v>
      </c>
      <c r="T16" s="46">
        <f t="shared" si="5"/>
        <v>179</v>
      </c>
      <c r="U16" s="44">
        <f t="shared" ref="U16:U34" si="42">ROUND(S16*T16,0)</f>
        <v>394</v>
      </c>
      <c r="V16" s="16">
        <f t="shared" si="28"/>
        <v>1202</v>
      </c>
      <c r="W16" s="45">
        <f t="shared" si="6"/>
        <v>1.218</v>
      </c>
      <c r="X16" s="46">
        <f t="shared" si="7"/>
        <v>215</v>
      </c>
      <c r="Y16" s="46">
        <f>ROUND($H$11,0)</f>
        <v>0</v>
      </c>
      <c r="Z16" s="46">
        <f>ROUND($H$12,0)</f>
        <v>0</v>
      </c>
      <c r="AA16" s="46">
        <f t="shared" si="8"/>
        <v>215</v>
      </c>
      <c r="AB16" s="46">
        <f t="shared" si="9"/>
        <v>987</v>
      </c>
      <c r="AE16" s="7">
        <f t="shared" si="29"/>
        <v>2027</v>
      </c>
      <c r="AF16" s="46">
        <f t="shared" si="10"/>
        <v>808</v>
      </c>
      <c r="AG16" s="16">
        <f t="shared" si="11"/>
        <v>394</v>
      </c>
      <c r="AH16" s="46">
        <f t="shared" ref="AH16:AH34" si="43">+AG16+AF16</f>
        <v>1202</v>
      </c>
      <c r="AJ16" s="32">
        <f t="shared" si="30"/>
        <v>0</v>
      </c>
      <c r="AK16" s="32">
        <f t="shared" si="30"/>
        <v>0</v>
      </c>
      <c r="AL16" s="32">
        <f t="shared" si="12"/>
        <v>0</v>
      </c>
      <c r="AN16" s="77">
        <f t="shared" si="13"/>
        <v>1202</v>
      </c>
      <c r="AQ16" s="7">
        <f t="shared" si="31"/>
        <v>2027</v>
      </c>
      <c r="AR16" s="46">
        <f t="shared" si="14"/>
        <v>808</v>
      </c>
      <c r="AS16" s="46">
        <f t="shared" si="15"/>
        <v>394</v>
      </c>
      <c r="AT16" s="91">
        <f t="shared" si="16"/>
        <v>3.1E-2</v>
      </c>
      <c r="AU16" s="16">
        <f>ROUND((IF($C$47+$F$23&gt;$AQ16,$F$27*$F$30,0)+IF($C$48+$G$23&gt;AQ16,$G$27*$G$30,0)+IF($C$49+$H$23&gt;AQ16,$H$27*$H$30,0))*AT16,0)</f>
        <v>0</v>
      </c>
      <c r="AV16" s="53">
        <f t="shared" si="17"/>
        <v>2.141</v>
      </c>
      <c r="AW16" s="46">
        <f t="shared" si="18"/>
        <v>477</v>
      </c>
      <c r="AX16" s="91"/>
      <c r="AY16" s="92"/>
      <c r="AZ16" s="46">
        <f t="shared" si="32"/>
        <v>1679</v>
      </c>
      <c r="BA16" s="17"/>
      <c r="BB16" s="46">
        <f>ROUND($H$13,0)</f>
        <v>0</v>
      </c>
      <c r="BC16" s="46">
        <f>ROUND(($H$15*$H$30)-$Z$16,0)</f>
        <v>0</v>
      </c>
      <c r="BD16" s="47">
        <f t="shared" si="33"/>
        <v>0</v>
      </c>
      <c r="BE16" s="46">
        <f t="shared" si="19"/>
        <v>1679</v>
      </c>
      <c r="BH16" s="7">
        <f t="shared" si="34"/>
        <v>2027</v>
      </c>
      <c r="BI16" s="46">
        <f>ROUND(H12,0)</f>
        <v>0</v>
      </c>
      <c r="BJ16" s="16">
        <f t="shared" si="20"/>
        <v>223</v>
      </c>
      <c r="BK16" s="87">
        <f t="shared" si="21"/>
        <v>7.3959999999999999</v>
      </c>
      <c r="BL16" s="46">
        <f t="shared" ref="BL16:BL34" si="44">ROUND(BJ16*BK16,0)</f>
        <v>1649</v>
      </c>
      <c r="BM16" s="87">
        <f t="shared" si="22"/>
        <v>0.13800000000000001</v>
      </c>
      <c r="BN16" s="16">
        <f>ROUND((IF($C$47+$F$23&gt;BH16,$F$27*$F$30,0)+IF($C$49+$H$23&gt;BH16,$H$27*$H$30,0)+IF($C$48+$G$23&gt;BH16,$G$27*$G$30,0))*BM16,0)</f>
        <v>0</v>
      </c>
      <c r="BO16" s="16"/>
      <c r="BP16" s="46">
        <f t="shared" si="23"/>
        <v>1649</v>
      </c>
      <c r="BR16" s="46">
        <f>ROUND($H$15*$H$30,0)</f>
        <v>0</v>
      </c>
      <c r="BS16" s="46"/>
      <c r="BT16" s="46">
        <f t="shared" si="35"/>
        <v>1649</v>
      </c>
      <c r="BW16" s="7">
        <f t="shared" si="36"/>
        <v>2027</v>
      </c>
      <c r="BX16" s="46">
        <f t="shared" si="24"/>
        <v>808</v>
      </c>
      <c r="BY16" s="16">
        <f t="shared" si="37"/>
        <v>394</v>
      </c>
      <c r="BZ16" s="116">
        <f t="shared" si="38"/>
        <v>0</v>
      </c>
      <c r="CA16" s="46">
        <f t="shared" si="39"/>
        <v>1202</v>
      </c>
      <c r="CC16" s="46">
        <f t="shared" si="40"/>
        <v>0</v>
      </c>
      <c r="CD16" s="46">
        <f t="shared" si="40"/>
        <v>0</v>
      </c>
      <c r="CE16" s="46">
        <f t="shared" si="41"/>
        <v>0</v>
      </c>
      <c r="CF16" s="46"/>
      <c r="CG16" s="46">
        <f t="shared" ref="CG16:CG34" si="45">CA16-CE16</f>
        <v>1202</v>
      </c>
    </row>
    <row r="17" spans="1:106">
      <c r="A17" s="3" t="s">
        <v>105</v>
      </c>
      <c r="C17" s="11">
        <f>+'Gas Input Table Summary'!$E$12</f>
        <v>3.4159999999999999</v>
      </c>
      <c r="D17" s="19"/>
      <c r="E17" s="3" t="s">
        <v>64</v>
      </c>
      <c r="F17" s="14">
        <f>+'Gas Input Table Summary'!$E$35</f>
        <v>0</v>
      </c>
      <c r="G17" s="14"/>
      <c r="H17" s="14"/>
      <c r="J17" s="2">
        <f t="shared" si="25"/>
        <v>3</v>
      </c>
      <c r="L17" s="7">
        <f t="shared" si="26"/>
        <v>2028</v>
      </c>
      <c r="M17" s="16">
        <f t="shared" ref="M17:M34" si="46">ROUND(IF($C$47+$F$23&gt;L17,$F$25*$F$30,0)+IF($C$48+$G$23&gt;L17,$G$25*$G$30,0)+IF($C$49+$H$23&gt;L17,$H$25*$H$30,0),0)</f>
        <v>223</v>
      </c>
      <c r="N17" s="53">
        <f t="shared" si="0"/>
        <v>3.7330000000000001</v>
      </c>
      <c r="O17" s="32">
        <f t="shared" si="1"/>
        <v>832</v>
      </c>
      <c r="P17" s="53">
        <f t="shared" si="2"/>
        <v>0</v>
      </c>
      <c r="Q17" s="46">
        <f t="shared" si="27"/>
        <v>0</v>
      </c>
      <c r="R17" s="43">
        <f t="shared" si="3"/>
        <v>832</v>
      </c>
      <c r="S17" s="42">
        <f t="shared" si="4"/>
        <v>2.2000000000000002</v>
      </c>
      <c r="T17" s="46">
        <f t="shared" si="5"/>
        <v>181</v>
      </c>
      <c r="U17" s="44">
        <f t="shared" si="42"/>
        <v>398</v>
      </c>
      <c r="V17" s="16">
        <f t="shared" si="28"/>
        <v>1230</v>
      </c>
      <c r="W17" s="45">
        <f t="shared" si="6"/>
        <v>1.254</v>
      </c>
      <c r="X17" s="46">
        <f t="shared" si="7"/>
        <v>221</v>
      </c>
      <c r="Y17" s="46">
        <v>0</v>
      </c>
      <c r="Z17" s="46">
        <v>0</v>
      </c>
      <c r="AA17" s="46">
        <f t="shared" si="8"/>
        <v>221</v>
      </c>
      <c r="AB17" s="46">
        <f t="shared" si="9"/>
        <v>1009</v>
      </c>
      <c r="AE17" s="7">
        <f t="shared" si="29"/>
        <v>2028</v>
      </c>
      <c r="AF17" s="46">
        <f t="shared" si="10"/>
        <v>832</v>
      </c>
      <c r="AG17" s="16">
        <f t="shared" si="11"/>
        <v>398</v>
      </c>
      <c r="AH17" s="46">
        <f t="shared" si="43"/>
        <v>1230</v>
      </c>
      <c r="AJ17" s="32">
        <f t="shared" si="30"/>
        <v>0</v>
      </c>
      <c r="AK17" s="32">
        <f t="shared" si="30"/>
        <v>0</v>
      </c>
      <c r="AL17" s="32">
        <f t="shared" si="12"/>
        <v>0</v>
      </c>
      <c r="AN17" s="77">
        <f t="shared" si="13"/>
        <v>1230</v>
      </c>
      <c r="AQ17" s="7">
        <f t="shared" si="31"/>
        <v>2028</v>
      </c>
      <c r="AR17" s="46">
        <f t="shared" si="14"/>
        <v>832</v>
      </c>
      <c r="AS17" s="46">
        <f t="shared" si="15"/>
        <v>398</v>
      </c>
      <c r="AT17" s="91">
        <f t="shared" si="16"/>
        <v>3.2000000000000001E-2</v>
      </c>
      <c r="AU17" s="16">
        <f t="shared" ref="AU17:AU34" si="47">ROUND((IF($C$47+$F$23&gt;$AQ17,$F$27*$F$30,0)+IF($C$48+$G$23&gt;AQ17,$G$27*$G$30,0)+IF($C$49+$H$23&gt;AQ17,$H$27*$H$30,0))*AT17,0)</f>
        <v>0</v>
      </c>
      <c r="AV17" s="53">
        <f t="shared" si="17"/>
        <v>2.177</v>
      </c>
      <c r="AW17" s="46">
        <f t="shared" si="18"/>
        <v>485</v>
      </c>
      <c r="AX17" s="91"/>
      <c r="AY17" s="92"/>
      <c r="AZ17" s="46">
        <f t="shared" si="32"/>
        <v>1715</v>
      </c>
      <c r="BA17" s="17"/>
      <c r="BB17" s="46">
        <v>0</v>
      </c>
      <c r="BC17" s="46">
        <v>0</v>
      </c>
      <c r="BD17" s="47">
        <f t="shared" si="33"/>
        <v>0</v>
      </c>
      <c r="BE17" s="46">
        <f t="shared" si="19"/>
        <v>1715</v>
      </c>
      <c r="BH17" s="7">
        <f t="shared" si="34"/>
        <v>2028</v>
      </c>
      <c r="BI17" s="46">
        <v>0</v>
      </c>
      <c r="BJ17" s="16">
        <f t="shared" si="20"/>
        <v>223</v>
      </c>
      <c r="BK17" s="87">
        <f t="shared" si="21"/>
        <v>7.617</v>
      </c>
      <c r="BL17" s="46">
        <f t="shared" si="44"/>
        <v>1699</v>
      </c>
      <c r="BM17" s="87">
        <f t="shared" si="22"/>
        <v>0.14299999999999999</v>
      </c>
      <c r="BN17" s="16">
        <f t="shared" ref="BN17:BN34" si="48">ROUND((IF($C$47+$F$23&gt;BH17,$F$27*$F$30,0)+IF($C$49+$H$23&gt;BH17,$H$27*$H$30,0)+IF($C$48+$G$23&gt;BH17,$G$27*$G$30,0))*BM17,0)</f>
        <v>0</v>
      </c>
      <c r="BO17" s="16"/>
      <c r="BP17" s="46">
        <f t="shared" si="23"/>
        <v>1699</v>
      </c>
      <c r="BR17" s="46">
        <f t="shared" ref="BR17:BR34" si="49">+BC17</f>
        <v>0</v>
      </c>
      <c r="BS17" s="46"/>
      <c r="BT17" s="46">
        <f t="shared" si="35"/>
        <v>1699</v>
      </c>
      <c r="BW17" s="7">
        <f t="shared" si="36"/>
        <v>2028</v>
      </c>
      <c r="BX17" s="46">
        <f t="shared" si="24"/>
        <v>832</v>
      </c>
      <c r="BY17" s="16">
        <f t="shared" si="37"/>
        <v>398</v>
      </c>
      <c r="BZ17" s="116">
        <f t="shared" si="38"/>
        <v>0</v>
      </c>
      <c r="CA17" s="46">
        <f t="shared" si="39"/>
        <v>1230</v>
      </c>
      <c r="CC17" s="46">
        <f t="shared" si="40"/>
        <v>0</v>
      </c>
      <c r="CD17" s="46">
        <f t="shared" si="40"/>
        <v>0</v>
      </c>
      <c r="CE17" s="46">
        <f t="shared" si="41"/>
        <v>0</v>
      </c>
      <c r="CF17" s="46"/>
      <c r="CG17" s="46">
        <f t="shared" si="45"/>
        <v>1230</v>
      </c>
    </row>
    <row r="18" spans="1:106">
      <c r="A18" s="3" t="s">
        <v>18</v>
      </c>
      <c r="C18" s="15">
        <f>+'Gas Input Table Summary'!$E$13</f>
        <v>0.03</v>
      </c>
      <c r="E18" s="2" t="s">
        <v>65</v>
      </c>
      <c r="F18" s="15">
        <f>+'Gas Input Table Summary'!$E$38</f>
        <v>0</v>
      </c>
      <c r="G18" s="15"/>
      <c r="H18" s="15"/>
      <c r="J18" s="2">
        <f t="shared" si="25"/>
        <v>4</v>
      </c>
      <c r="L18" s="7">
        <f t="shared" si="26"/>
        <v>2029</v>
      </c>
      <c r="M18" s="16">
        <f t="shared" si="46"/>
        <v>223</v>
      </c>
      <c r="N18" s="53">
        <f t="shared" si="0"/>
        <v>3.8450000000000002</v>
      </c>
      <c r="O18" s="32">
        <f t="shared" si="1"/>
        <v>857</v>
      </c>
      <c r="P18" s="53">
        <f t="shared" si="2"/>
        <v>0</v>
      </c>
      <c r="Q18" s="46">
        <f t="shared" si="27"/>
        <v>0</v>
      </c>
      <c r="R18" s="43">
        <f t="shared" si="3"/>
        <v>857</v>
      </c>
      <c r="S18" s="42">
        <f t="shared" si="4"/>
        <v>2.2000000000000002</v>
      </c>
      <c r="T18" s="46">
        <f t="shared" si="5"/>
        <v>182</v>
      </c>
      <c r="U18" s="44">
        <f t="shared" si="42"/>
        <v>400</v>
      </c>
      <c r="V18" s="16">
        <f t="shared" si="28"/>
        <v>1257</v>
      </c>
      <c r="W18" s="45">
        <f t="shared" si="6"/>
        <v>1.292</v>
      </c>
      <c r="X18" s="46">
        <f t="shared" si="7"/>
        <v>228</v>
      </c>
      <c r="Y18" s="46">
        <v>0</v>
      </c>
      <c r="Z18" s="46">
        <v>0</v>
      </c>
      <c r="AA18" s="46">
        <f t="shared" si="8"/>
        <v>228</v>
      </c>
      <c r="AB18" s="46">
        <f t="shared" si="9"/>
        <v>1029</v>
      </c>
      <c r="AE18" s="7">
        <f t="shared" si="29"/>
        <v>2029</v>
      </c>
      <c r="AF18" s="46">
        <f t="shared" si="10"/>
        <v>857</v>
      </c>
      <c r="AG18" s="16">
        <f t="shared" si="11"/>
        <v>400</v>
      </c>
      <c r="AH18" s="46">
        <f t="shared" si="43"/>
        <v>1257</v>
      </c>
      <c r="AJ18" s="32">
        <f t="shared" si="30"/>
        <v>0</v>
      </c>
      <c r="AK18" s="32">
        <f t="shared" si="30"/>
        <v>0</v>
      </c>
      <c r="AL18" s="32">
        <f t="shared" si="12"/>
        <v>0</v>
      </c>
      <c r="AN18" s="77">
        <f t="shared" si="13"/>
        <v>1257</v>
      </c>
      <c r="AQ18" s="7">
        <f t="shared" si="31"/>
        <v>2029</v>
      </c>
      <c r="AR18" s="46">
        <f t="shared" si="14"/>
        <v>857</v>
      </c>
      <c r="AS18" s="46">
        <f t="shared" si="15"/>
        <v>400</v>
      </c>
      <c r="AT18" s="91">
        <f t="shared" si="16"/>
        <v>3.3000000000000002E-2</v>
      </c>
      <c r="AU18" s="16">
        <f t="shared" si="47"/>
        <v>0</v>
      </c>
      <c r="AV18" s="53">
        <f t="shared" si="17"/>
        <v>2.214</v>
      </c>
      <c r="AW18" s="46">
        <f t="shared" si="18"/>
        <v>494</v>
      </c>
      <c r="AX18" s="91"/>
      <c r="AY18" s="92"/>
      <c r="AZ18" s="46">
        <f t="shared" si="32"/>
        <v>1751</v>
      </c>
      <c r="BA18" s="17"/>
      <c r="BB18" s="46">
        <v>0</v>
      </c>
      <c r="BC18" s="46">
        <v>0</v>
      </c>
      <c r="BD18" s="47">
        <f t="shared" si="33"/>
        <v>0</v>
      </c>
      <c r="BE18" s="46">
        <f t="shared" si="19"/>
        <v>1751</v>
      </c>
      <c r="BH18" s="7">
        <f t="shared" si="34"/>
        <v>2029</v>
      </c>
      <c r="BI18" s="46">
        <v>0</v>
      </c>
      <c r="BJ18" s="16">
        <f t="shared" si="20"/>
        <v>223</v>
      </c>
      <c r="BK18" s="87">
        <f t="shared" si="21"/>
        <v>7.8460000000000001</v>
      </c>
      <c r="BL18" s="46">
        <f t="shared" si="44"/>
        <v>1750</v>
      </c>
      <c r="BM18" s="87">
        <f t="shared" si="22"/>
        <v>0.14699999999999999</v>
      </c>
      <c r="BN18" s="16">
        <f t="shared" si="48"/>
        <v>0</v>
      </c>
      <c r="BO18" s="16"/>
      <c r="BP18" s="46">
        <f t="shared" si="23"/>
        <v>1750</v>
      </c>
      <c r="BR18" s="46">
        <f t="shared" si="49"/>
        <v>0</v>
      </c>
      <c r="BS18" s="46"/>
      <c r="BT18" s="46">
        <f t="shared" si="35"/>
        <v>1750</v>
      </c>
      <c r="BW18" s="7">
        <f t="shared" si="36"/>
        <v>2029</v>
      </c>
      <c r="BX18" s="46">
        <f t="shared" si="24"/>
        <v>857</v>
      </c>
      <c r="BY18" s="16">
        <f t="shared" si="37"/>
        <v>400</v>
      </c>
      <c r="BZ18" s="116">
        <f t="shared" si="38"/>
        <v>0</v>
      </c>
      <c r="CA18" s="46">
        <f t="shared" si="39"/>
        <v>1257</v>
      </c>
      <c r="CC18" s="46">
        <f t="shared" si="40"/>
        <v>0</v>
      </c>
      <c r="CD18" s="46">
        <f t="shared" si="40"/>
        <v>0</v>
      </c>
      <c r="CE18" s="46">
        <f t="shared" si="41"/>
        <v>0</v>
      </c>
      <c r="CF18" s="46"/>
      <c r="CG18" s="46">
        <f t="shared" si="45"/>
        <v>1257</v>
      </c>
      <c r="DB18" s="5"/>
    </row>
    <row r="19" spans="1:106">
      <c r="C19" s="3"/>
      <c r="J19" s="2">
        <f t="shared" si="25"/>
        <v>5</v>
      </c>
      <c r="L19" s="7">
        <f t="shared" si="26"/>
        <v>2030</v>
      </c>
      <c r="M19" s="16">
        <f t="shared" si="46"/>
        <v>223</v>
      </c>
      <c r="N19" s="53">
        <f t="shared" si="0"/>
        <v>3.96</v>
      </c>
      <c r="O19" s="32">
        <f t="shared" si="1"/>
        <v>883</v>
      </c>
      <c r="P19" s="53">
        <f t="shared" si="2"/>
        <v>0</v>
      </c>
      <c r="Q19" s="46">
        <f t="shared" si="27"/>
        <v>0</v>
      </c>
      <c r="R19" s="43">
        <f t="shared" si="3"/>
        <v>883</v>
      </c>
      <c r="S19" s="42">
        <f t="shared" si="4"/>
        <v>2.2000000000000002</v>
      </c>
      <c r="T19" s="46">
        <f t="shared" si="5"/>
        <v>184</v>
      </c>
      <c r="U19" s="44">
        <f t="shared" si="42"/>
        <v>405</v>
      </c>
      <c r="V19" s="16">
        <f t="shared" si="28"/>
        <v>1288</v>
      </c>
      <c r="W19" s="45">
        <f t="shared" si="6"/>
        <v>1.331</v>
      </c>
      <c r="X19" s="46">
        <f t="shared" si="7"/>
        <v>234</v>
      </c>
      <c r="Y19" s="46">
        <v>0</v>
      </c>
      <c r="Z19" s="46">
        <v>0</v>
      </c>
      <c r="AA19" s="46">
        <f t="shared" si="8"/>
        <v>234</v>
      </c>
      <c r="AB19" s="46">
        <f t="shared" si="9"/>
        <v>1054</v>
      </c>
      <c r="AE19" s="7">
        <f t="shared" si="29"/>
        <v>2030</v>
      </c>
      <c r="AF19" s="46">
        <f t="shared" si="10"/>
        <v>883</v>
      </c>
      <c r="AG19" s="16">
        <f t="shared" si="11"/>
        <v>405</v>
      </c>
      <c r="AH19" s="46">
        <f t="shared" si="43"/>
        <v>1288</v>
      </c>
      <c r="AJ19" s="32">
        <f t="shared" si="30"/>
        <v>0</v>
      </c>
      <c r="AK19" s="32">
        <f t="shared" si="30"/>
        <v>0</v>
      </c>
      <c r="AL19" s="32">
        <f t="shared" si="12"/>
        <v>0</v>
      </c>
      <c r="AN19" s="77">
        <f t="shared" si="13"/>
        <v>1288</v>
      </c>
      <c r="AQ19" s="7">
        <f t="shared" si="31"/>
        <v>2030</v>
      </c>
      <c r="AR19" s="46">
        <f t="shared" si="14"/>
        <v>883</v>
      </c>
      <c r="AS19" s="46">
        <f t="shared" si="15"/>
        <v>405</v>
      </c>
      <c r="AT19" s="91">
        <f t="shared" si="16"/>
        <v>3.4000000000000002E-2</v>
      </c>
      <c r="AU19" s="16">
        <f t="shared" si="47"/>
        <v>0</v>
      </c>
      <c r="AV19" s="53">
        <f t="shared" si="17"/>
        <v>2.2509999999999999</v>
      </c>
      <c r="AW19" s="46">
        <f t="shared" si="18"/>
        <v>502</v>
      </c>
      <c r="AX19" s="91"/>
      <c r="AY19" s="92"/>
      <c r="AZ19" s="46">
        <f t="shared" si="32"/>
        <v>1790</v>
      </c>
      <c r="BA19" s="17"/>
      <c r="BB19" s="46">
        <v>0</v>
      </c>
      <c r="BC19" s="46">
        <v>0</v>
      </c>
      <c r="BD19" s="47">
        <f t="shared" si="33"/>
        <v>0</v>
      </c>
      <c r="BE19" s="46">
        <f t="shared" si="19"/>
        <v>1790</v>
      </c>
      <c r="BH19" s="7">
        <f t="shared" si="34"/>
        <v>2030</v>
      </c>
      <c r="BI19" s="46">
        <v>0</v>
      </c>
      <c r="BJ19" s="16">
        <f t="shared" si="20"/>
        <v>223</v>
      </c>
      <c r="BK19" s="87">
        <f t="shared" si="21"/>
        <v>8.0809999999999995</v>
      </c>
      <c r="BL19" s="46">
        <f t="shared" si="44"/>
        <v>1802</v>
      </c>
      <c r="BM19" s="87">
        <f t="shared" si="22"/>
        <v>0.151</v>
      </c>
      <c r="BN19" s="16">
        <f t="shared" si="48"/>
        <v>0</v>
      </c>
      <c r="BO19" s="16"/>
      <c r="BP19" s="46">
        <f t="shared" si="23"/>
        <v>1802</v>
      </c>
      <c r="BR19" s="46">
        <f t="shared" si="49"/>
        <v>0</v>
      </c>
      <c r="BS19" s="46"/>
      <c r="BT19" s="46">
        <f t="shared" si="35"/>
        <v>1802</v>
      </c>
      <c r="BW19" s="7">
        <f t="shared" si="36"/>
        <v>2030</v>
      </c>
      <c r="BX19" s="46">
        <f t="shared" si="24"/>
        <v>883</v>
      </c>
      <c r="BY19" s="16">
        <f t="shared" si="37"/>
        <v>405</v>
      </c>
      <c r="BZ19" s="116">
        <f t="shared" si="38"/>
        <v>0</v>
      </c>
      <c r="CA19" s="46">
        <f t="shared" si="39"/>
        <v>1288</v>
      </c>
      <c r="CC19" s="46">
        <f t="shared" si="40"/>
        <v>0</v>
      </c>
      <c r="CD19" s="46">
        <f t="shared" si="40"/>
        <v>0</v>
      </c>
      <c r="CE19" s="46">
        <f t="shared" si="41"/>
        <v>0</v>
      </c>
      <c r="CF19" s="46"/>
      <c r="CG19" s="46">
        <f t="shared" si="45"/>
        <v>1288</v>
      </c>
    </row>
    <row r="20" spans="1:106">
      <c r="A20" s="3" t="s">
        <v>66</v>
      </c>
      <c r="C20" s="20">
        <f>+'Gas Input Table Summary'!$E$14</f>
        <v>175.3</v>
      </c>
      <c r="E20" s="127" t="s">
        <v>67</v>
      </c>
      <c r="F20" s="14">
        <f>+'Gas Input Table Summary'!$E$41</f>
        <v>0</v>
      </c>
      <c r="G20" s="14"/>
      <c r="H20" s="14"/>
      <c r="J20" s="2">
        <f t="shared" si="25"/>
        <v>6</v>
      </c>
      <c r="L20" s="7">
        <f t="shared" si="26"/>
        <v>2031</v>
      </c>
      <c r="M20" s="16">
        <f t="shared" si="46"/>
        <v>223</v>
      </c>
      <c r="N20" s="53">
        <f t="shared" si="0"/>
        <v>4.0789999999999997</v>
      </c>
      <c r="O20" s="32">
        <f t="shared" si="1"/>
        <v>910</v>
      </c>
      <c r="P20" s="53">
        <f t="shared" si="2"/>
        <v>0</v>
      </c>
      <c r="Q20" s="46">
        <f t="shared" si="27"/>
        <v>0</v>
      </c>
      <c r="R20" s="43">
        <f t="shared" si="3"/>
        <v>910</v>
      </c>
      <c r="S20" s="42">
        <f t="shared" si="4"/>
        <v>2.2000000000000002</v>
      </c>
      <c r="T20" s="46">
        <f t="shared" si="5"/>
        <v>186</v>
      </c>
      <c r="U20" s="44">
        <f t="shared" si="42"/>
        <v>409</v>
      </c>
      <c r="V20" s="16">
        <f t="shared" si="28"/>
        <v>1319</v>
      </c>
      <c r="W20" s="45">
        <f t="shared" si="6"/>
        <v>1.371</v>
      </c>
      <c r="X20" s="46">
        <f t="shared" si="7"/>
        <v>242</v>
      </c>
      <c r="Y20" s="46">
        <v>0</v>
      </c>
      <c r="Z20" s="46">
        <v>0</v>
      </c>
      <c r="AA20" s="46">
        <f t="shared" si="8"/>
        <v>242</v>
      </c>
      <c r="AB20" s="46">
        <f t="shared" si="9"/>
        <v>1077</v>
      </c>
      <c r="AE20" s="7">
        <f t="shared" si="29"/>
        <v>2031</v>
      </c>
      <c r="AF20" s="46">
        <f t="shared" si="10"/>
        <v>910</v>
      </c>
      <c r="AG20" s="16">
        <f t="shared" si="11"/>
        <v>409</v>
      </c>
      <c r="AH20" s="46">
        <f t="shared" si="43"/>
        <v>1319</v>
      </c>
      <c r="AJ20" s="32">
        <f t="shared" si="30"/>
        <v>0</v>
      </c>
      <c r="AK20" s="32">
        <f t="shared" si="30"/>
        <v>0</v>
      </c>
      <c r="AL20" s="32">
        <f t="shared" si="12"/>
        <v>0</v>
      </c>
      <c r="AN20" s="77">
        <f t="shared" si="13"/>
        <v>1319</v>
      </c>
      <c r="AQ20" s="7">
        <f t="shared" si="31"/>
        <v>2031</v>
      </c>
      <c r="AR20" s="46">
        <f t="shared" si="14"/>
        <v>910</v>
      </c>
      <c r="AS20" s="46">
        <f t="shared" si="15"/>
        <v>409</v>
      </c>
      <c r="AT20" s="91">
        <f t="shared" si="16"/>
        <v>3.5000000000000003E-2</v>
      </c>
      <c r="AU20" s="16">
        <f t="shared" si="47"/>
        <v>0</v>
      </c>
      <c r="AV20" s="53">
        <f t="shared" si="17"/>
        <v>2.2890000000000001</v>
      </c>
      <c r="AW20" s="46">
        <f t="shared" si="18"/>
        <v>510</v>
      </c>
      <c r="AX20" s="91"/>
      <c r="AY20" s="92"/>
      <c r="AZ20" s="46">
        <f t="shared" si="32"/>
        <v>1829</v>
      </c>
      <c r="BA20" s="17"/>
      <c r="BB20" s="46">
        <v>0</v>
      </c>
      <c r="BC20" s="46">
        <v>0</v>
      </c>
      <c r="BD20" s="47">
        <f t="shared" si="33"/>
        <v>0</v>
      </c>
      <c r="BE20" s="46">
        <f t="shared" si="19"/>
        <v>1829</v>
      </c>
      <c r="BH20" s="7">
        <f t="shared" si="34"/>
        <v>2031</v>
      </c>
      <c r="BI20" s="46">
        <v>0</v>
      </c>
      <c r="BJ20" s="16">
        <f t="shared" si="20"/>
        <v>223</v>
      </c>
      <c r="BK20" s="87">
        <f t="shared" si="21"/>
        <v>8.3239999999999998</v>
      </c>
      <c r="BL20" s="46">
        <f t="shared" si="44"/>
        <v>1856</v>
      </c>
      <c r="BM20" s="87">
        <f t="shared" si="22"/>
        <v>0.156</v>
      </c>
      <c r="BN20" s="16">
        <f t="shared" si="48"/>
        <v>0</v>
      </c>
      <c r="BO20" s="16"/>
      <c r="BP20" s="46">
        <f t="shared" si="23"/>
        <v>1856</v>
      </c>
      <c r="BR20" s="46">
        <f t="shared" si="49"/>
        <v>0</v>
      </c>
      <c r="BS20" s="46"/>
      <c r="BT20" s="46">
        <f t="shared" si="35"/>
        <v>1856</v>
      </c>
      <c r="BW20" s="7">
        <f t="shared" si="36"/>
        <v>2031</v>
      </c>
      <c r="BX20" s="46">
        <f t="shared" si="24"/>
        <v>910</v>
      </c>
      <c r="BY20" s="16">
        <f t="shared" si="37"/>
        <v>409</v>
      </c>
      <c r="BZ20" s="116">
        <f t="shared" si="38"/>
        <v>0</v>
      </c>
      <c r="CA20" s="46">
        <f t="shared" si="39"/>
        <v>1319</v>
      </c>
      <c r="CC20" s="46">
        <f t="shared" si="40"/>
        <v>0</v>
      </c>
      <c r="CD20" s="46">
        <f t="shared" si="40"/>
        <v>0</v>
      </c>
      <c r="CE20" s="46">
        <f t="shared" si="41"/>
        <v>0</v>
      </c>
      <c r="CF20" s="46"/>
      <c r="CG20" s="46">
        <f t="shared" si="45"/>
        <v>1319</v>
      </c>
      <c r="DB20" s="7"/>
    </row>
    <row r="21" spans="1:106">
      <c r="A21" s="3" t="s">
        <v>18</v>
      </c>
      <c r="C21" s="15">
        <f>+'Gas Input Table Summary'!$E$15</f>
        <v>0.01</v>
      </c>
      <c r="E21" s="2" t="s">
        <v>65</v>
      </c>
      <c r="F21" s="15">
        <f>+'Gas Input Table Summary'!$E$44</f>
        <v>0</v>
      </c>
      <c r="G21" s="15"/>
      <c r="H21" s="15"/>
      <c r="J21" s="2">
        <f t="shared" si="25"/>
        <v>7</v>
      </c>
      <c r="L21" s="7">
        <f t="shared" si="26"/>
        <v>2032</v>
      </c>
      <c r="M21" s="16">
        <f t="shared" si="46"/>
        <v>223</v>
      </c>
      <c r="N21" s="53">
        <f t="shared" si="0"/>
        <v>4.2009999999999996</v>
      </c>
      <c r="O21" s="32">
        <f t="shared" si="1"/>
        <v>937</v>
      </c>
      <c r="P21" s="53">
        <f t="shared" si="2"/>
        <v>0</v>
      </c>
      <c r="Q21" s="46">
        <f t="shared" si="27"/>
        <v>0</v>
      </c>
      <c r="R21" s="43">
        <f t="shared" si="3"/>
        <v>937</v>
      </c>
      <c r="S21" s="42">
        <f t="shared" si="4"/>
        <v>2.2000000000000002</v>
      </c>
      <c r="T21" s="46">
        <f t="shared" si="5"/>
        <v>188</v>
      </c>
      <c r="U21" s="44">
        <f t="shared" si="42"/>
        <v>414</v>
      </c>
      <c r="V21" s="16">
        <f t="shared" si="28"/>
        <v>1351</v>
      </c>
      <c r="W21" s="45">
        <f t="shared" si="6"/>
        <v>1.4119999999999999</v>
      </c>
      <c r="X21" s="46">
        <f t="shared" si="7"/>
        <v>249</v>
      </c>
      <c r="Y21" s="46">
        <v>0</v>
      </c>
      <c r="Z21" s="46">
        <v>0</v>
      </c>
      <c r="AA21" s="46">
        <f t="shared" si="8"/>
        <v>249</v>
      </c>
      <c r="AB21" s="46">
        <f t="shared" si="9"/>
        <v>1102</v>
      </c>
      <c r="AE21" s="7">
        <f t="shared" si="29"/>
        <v>2032</v>
      </c>
      <c r="AF21" s="46">
        <f t="shared" si="10"/>
        <v>937</v>
      </c>
      <c r="AG21" s="16">
        <f t="shared" si="11"/>
        <v>414</v>
      </c>
      <c r="AH21" s="46">
        <f t="shared" si="43"/>
        <v>1351</v>
      </c>
      <c r="AJ21" s="32">
        <f t="shared" si="30"/>
        <v>0</v>
      </c>
      <c r="AK21" s="32">
        <f t="shared" si="30"/>
        <v>0</v>
      </c>
      <c r="AL21" s="32">
        <f t="shared" si="12"/>
        <v>0</v>
      </c>
      <c r="AN21" s="77">
        <f t="shared" si="13"/>
        <v>1351</v>
      </c>
      <c r="AQ21" s="7">
        <f t="shared" si="31"/>
        <v>2032</v>
      </c>
      <c r="AR21" s="46">
        <f t="shared" si="14"/>
        <v>937</v>
      </c>
      <c r="AS21" s="46">
        <f t="shared" si="15"/>
        <v>414</v>
      </c>
      <c r="AT21" s="91">
        <f t="shared" si="16"/>
        <v>3.5999999999999997E-2</v>
      </c>
      <c r="AU21" s="16">
        <f t="shared" si="47"/>
        <v>0</v>
      </c>
      <c r="AV21" s="53">
        <f t="shared" si="17"/>
        <v>2.3279999999999998</v>
      </c>
      <c r="AW21" s="46">
        <f t="shared" si="18"/>
        <v>519</v>
      </c>
      <c r="AX21" s="91"/>
      <c r="AY21" s="92"/>
      <c r="AZ21" s="46">
        <f t="shared" si="32"/>
        <v>1870</v>
      </c>
      <c r="BA21" s="17"/>
      <c r="BB21" s="46">
        <v>0</v>
      </c>
      <c r="BC21" s="46">
        <v>0</v>
      </c>
      <c r="BD21" s="47">
        <f t="shared" si="33"/>
        <v>0</v>
      </c>
      <c r="BE21" s="46">
        <f t="shared" si="19"/>
        <v>1870</v>
      </c>
      <c r="BH21" s="7">
        <f t="shared" si="34"/>
        <v>2032</v>
      </c>
      <c r="BI21" s="46">
        <v>0</v>
      </c>
      <c r="BJ21" s="16">
        <f t="shared" si="20"/>
        <v>223</v>
      </c>
      <c r="BK21" s="87">
        <f t="shared" si="21"/>
        <v>8.5730000000000004</v>
      </c>
      <c r="BL21" s="46">
        <f t="shared" si="44"/>
        <v>1912</v>
      </c>
      <c r="BM21" s="87">
        <f t="shared" si="22"/>
        <v>0.161</v>
      </c>
      <c r="BN21" s="16">
        <f t="shared" si="48"/>
        <v>0</v>
      </c>
      <c r="BO21" s="16"/>
      <c r="BP21" s="46">
        <f t="shared" si="23"/>
        <v>1912</v>
      </c>
      <c r="BR21" s="46">
        <f t="shared" si="49"/>
        <v>0</v>
      </c>
      <c r="BS21" s="46"/>
      <c r="BT21" s="46">
        <f t="shared" si="35"/>
        <v>1912</v>
      </c>
      <c r="BW21" s="7">
        <f t="shared" si="36"/>
        <v>2032</v>
      </c>
      <c r="BX21" s="46">
        <f t="shared" si="24"/>
        <v>937</v>
      </c>
      <c r="BY21" s="16">
        <f t="shared" si="37"/>
        <v>414</v>
      </c>
      <c r="BZ21" s="116">
        <f t="shared" si="38"/>
        <v>0</v>
      </c>
      <c r="CA21" s="46">
        <f t="shared" si="39"/>
        <v>1351</v>
      </c>
      <c r="CC21" s="46">
        <f t="shared" si="40"/>
        <v>0</v>
      </c>
      <c r="CD21" s="46">
        <f t="shared" si="40"/>
        <v>0</v>
      </c>
      <c r="CE21" s="46">
        <f t="shared" si="41"/>
        <v>0</v>
      </c>
      <c r="CF21" s="46"/>
      <c r="CG21" s="46">
        <f t="shared" si="45"/>
        <v>1351</v>
      </c>
    </row>
    <row r="22" spans="1:106">
      <c r="F22" s="16"/>
      <c r="G22" s="16"/>
      <c r="H22" s="16"/>
      <c r="J22" s="2">
        <f t="shared" si="25"/>
        <v>8</v>
      </c>
      <c r="L22" s="7">
        <f t="shared" si="26"/>
        <v>2033</v>
      </c>
      <c r="M22" s="16">
        <f t="shared" si="46"/>
        <v>223</v>
      </c>
      <c r="N22" s="53">
        <f t="shared" si="0"/>
        <v>4.327</v>
      </c>
      <c r="O22" s="32">
        <f t="shared" si="1"/>
        <v>965</v>
      </c>
      <c r="P22" s="53">
        <f t="shared" si="2"/>
        <v>0</v>
      </c>
      <c r="Q22" s="46">
        <f t="shared" si="27"/>
        <v>0</v>
      </c>
      <c r="R22" s="43">
        <f t="shared" si="3"/>
        <v>965</v>
      </c>
      <c r="S22" s="42">
        <f t="shared" si="4"/>
        <v>2.2000000000000002</v>
      </c>
      <c r="T22" s="46">
        <f t="shared" si="5"/>
        <v>190</v>
      </c>
      <c r="U22" s="44">
        <f t="shared" si="42"/>
        <v>418</v>
      </c>
      <c r="V22" s="16">
        <f t="shared" si="28"/>
        <v>1383</v>
      </c>
      <c r="W22" s="45">
        <f t="shared" si="6"/>
        <v>1.454</v>
      </c>
      <c r="X22" s="46">
        <f t="shared" si="7"/>
        <v>256</v>
      </c>
      <c r="Y22" s="46">
        <v>0</v>
      </c>
      <c r="Z22" s="46">
        <v>0</v>
      </c>
      <c r="AA22" s="46">
        <f t="shared" si="8"/>
        <v>256</v>
      </c>
      <c r="AB22" s="46">
        <f t="shared" si="9"/>
        <v>1127</v>
      </c>
      <c r="AE22" s="7">
        <f t="shared" si="29"/>
        <v>2033</v>
      </c>
      <c r="AF22" s="46">
        <f t="shared" si="10"/>
        <v>965</v>
      </c>
      <c r="AG22" s="16">
        <f t="shared" si="11"/>
        <v>418</v>
      </c>
      <c r="AH22" s="46">
        <f t="shared" si="43"/>
        <v>1383</v>
      </c>
      <c r="AJ22" s="32">
        <f t="shared" si="30"/>
        <v>0</v>
      </c>
      <c r="AK22" s="32">
        <f t="shared" si="30"/>
        <v>0</v>
      </c>
      <c r="AL22" s="32">
        <f t="shared" si="12"/>
        <v>0</v>
      </c>
      <c r="AN22" s="77">
        <f t="shared" si="13"/>
        <v>1383</v>
      </c>
      <c r="AQ22" s="7">
        <f t="shared" si="31"/>
        <v>2033</v>
      </c>
      <c r="AR22" s="46">
        <f t="shared" si="14"/>
        <v>965</v>
      </c>
      <c r="AS22" s="46">
        <f t="shared" si="15"/>
        <v>418</v>
      </c>
      <c r="AT22" s="91">
        <f t="shared" si="16"/>
        <v>3.6999999999999998E-2</v>
      </c>
      <c r="AU22" s="16">
        <f t="shared" si="47"/>
        <v>0</v>
      </c>
      <c r="AV22" s="53">
        <f t="shared" si="17"/>
        <v>2.367</v>
      </c>
      <c r="AW22" s="46">
        <f t="shared" si="18"/>
        <v>528</v>
      </c>
      <c r="AX22" s="91"/>
      <c r="AY22" s="92"/>
      <c r="AZ22" s="46">
        <f t="shared" si="32"/>
        <v>1911</v>
      </c>
      <c r="BA22" s="17"/>
      <c r="BB22" s="46">
        <v>0</v>
      </c>
      <c r="BC22" s="46">
        <v>0</v>
      </c>
      <c r="BD22" s="47">
        <f t="shared" si="33"/>
        <v>0</v>
      </c>
      <c r="BE22" s="46">
        <f t="shared" si="19"/>
        <v>1911</v>
      </c>
      <c r="BH22" s="7">
        <f t="shared" si="34"/>
        <v>2033</v>
      </c>
      <c r="BI22" s="46">
        <v>0</v>
      </c>
      <c r="BJ22" s="16">
        <f t="shared" si="20"/>
        <v>223</v>
      </c>
      <c r="BK22" s="87">
        <f t="shared" si="21"/>
        <v>8.8309999999999995</v>
      </c>
      <c r="BL22" s="46">
        <f t="shared" si="44"/>
        <v>1969</v>
      </c>
      <c r="BM22" s="87">
        <f t="shared" si="22"/>
        <v>0.16500000000000001</v>
      </c>
      <c r="BN22" s="16">
        <f t="shared" si="48"/>
        <v>0</v>
      </c>
      <c r="BO22" s="16"/>
      <c r="BP22" s="46">
        <f t="shared" si="23"/>
        <v>1969</v>
      </c>
      <c r="BR22" s="46">
        <f t="shared" si="49"/>
        <v>0</v>
      </c>
      <c r="BS22" s="46"/>
      <c r="BT22" s="46">
        <f t="shared" si="35"/>
        <v>1969</v>
      </c>
      <c r="BW22" s="7">
        <f t="shared" si="36"/>
        <v>2033</v>
      </c>
      <c r="BX22" s="46">
        <f t="shared" si="24"/>
        <v>965</v>
      </c>
      <c r="BY22" s="16">
        <f t="shared" si="37"/>
        <v>418</v>
      </c>
      <c r="BZ22" s="116">
        <f t="shared" si="38"/>
        <v>0</v>
      </c>
      <c r="CA22" s="46">
        <f t="shared" si="39"/>
        <v>1383</v>
      </c>
      <c r="CC22" s="46">
        <f t="shared" si="40"/>
        <v>0</v>
      </c>
      <c r="CD22" s="46">
        <f t="shared" si="40"/>
        <v>0</v>
      </c>
      <c r="CE22" s="46">
        <f t="shared" si="41"/>
        <v>0</v>
      </c>
      <c r="CF22" s="46"/>
      <c r="CG22" s="46">
        <f t="shared" si="45"/>
        <v>1383</v>
      </c>
    </row>
    <row r="23" spans="1:106">
      <c r="A23" s="3" t="s">
        <v>68</v>
      </c>
      <c r="C23" s="21">
        <f>+'Gas Input Table Summary'!$E$16</f>
        <v>0.01</v>
      </c>
      <c r="E23" s="3" t="s">
        <v>69</v>
      </c>
      <c r="F23" s="138">
        <f>ROUND('Database Inputs'!D17,0)</f>
        <v>20</v>
      </c>
      <c r="G23" s="132"/>
      <c r="H23" s="132"/>
      <c r="J23" s="2">
        <f t="shared" si="25"/>
        <v>9</v>
      </c>
      <c r="L23" s="7">
        <f t="shared" si="26"/>
        <v>2034</v>
      </c>
      <c r="M23" s="16">
        <f t="shared" si="46"/>
        <v>223</v>
      </c>
      <c r="N23" s="53">
        <f t="shared" si="0"/>
        <v>4.4569999999999999</v>
      </c>
      <c r="O23" s="32">
        <f t="shared" si="1"/>
        <v>994</v>
      </c>
      <c r="P23" s="53">
        <f t="shared" si="2"/>
        <v>0</v>
      </c>
      <c r="Q23" s="46">
        <f t="shared" si="27"/>
        <v>0</v>
      </c>
      <c r="R23" s="43">
        <f t="shared" si="3"/>
        <v>994</v>
      </c>
      <c r="S23" s="42">
        <f t="shared" si="4"/>
        <v>2.2000000000000002</v>
      </c>
      <c r="T23" s="46">
        <f t="shared" si="5"/>
        <v>192</v>
      </c>
      <c r="U23" s="44">
        <f t="shared" si="42"/>
        <v>422</v>
      </c>
      <c r="V23" s="16">
        <f t="shared" si="28"/>
        <v>1416</v>
      </c>
      <c r="W23" s="45">
        <f t="shared" si="6"/>
        <v>1.498</v>
      </c>
      <c r="X23" s="46">
        <f t="shared" si="7"/>
        <v>264</v>
      </c>
      <c r="Y23" s="46">
        <v>0</v>
      </c>
      <c r="Z23" s="46">
        <v>0</v>
      </c>
      <c r="AA23" s="46">
        <f t="shared" si="8"/>
        <v>264</v>
      </c>
      <c r="AB23" s="46">
        <f t="shared" si="9"/>
        <v>1152</v>
      </c>
      <c r="AE23" s="7">
        <f t="shared" si="29"/>
        <v>2034</v>
      </c>
      <c r="AF23" s="46">
        <f t="shared" si="10"/>
        <v>994</v>
      </c>
      <c r="AG23" s="16">
        <f t="shared" si="11"/>
        <v>422</v>
      </c>
      <c r="AH23" s="46">
        <f t="shared" si="43"/>
        <v>1416</v>
      </c>
      <c r="AJ23" s="32">
        <f t="shared" si="30"/>
        <v>0</v>
      </c>
      <c r="AK23" s="32">
        <f t="shared" si="30"/>
        <v>0</v>
      </c>
      <c r="AL23" s="32">
        <f t="shared" si="12"/>
        <v>0</v>
      </c>
      <c r="AN23" s="77">
        <f t="shared" si="13"/>
        <v>1416</v>
      </c>
      <c r="AQ23" s="7">
        <f t="shared" si="31"/>
        <v>2034</v>
      </c>
      <c r="AR23" s="46">
        <f t="shared" si="14"/>
        <v>994</v>
      </c>
      <c r="AS23" s="46">
        <f t="shared" si="15"/>
        <v>422</v>
      </c>
      <c r="AT23" s="91">
        <f t="shared" si="16"/>
        <v>3.9E-2</v>
      </c>
      <c r="AU23" s="16">
        <f t="shared" si="47"/>
        <v>0</v>
      </c>
      <c r="AV23" s="53">
        <f t="shared" si="17"/>
        <v>2.407</v>
      </c>
      <c r="AW23" s="46">
        <f t="shared" si="18"/>
        <v>537</v>
      </c>
      <c r="AX23" s="91"/>
      <c r="AY23" s="92"/>
      <c r="AZ23" s="46">
        <f t="shared" si="32"/>
        <v>1953</v>
      </c>
      <c r="BA23" s="17"/>
      <c r="BB23" s="46">
        <v>0</v>
      </c>
      <c r="BC23" s="46">
        <v>0</v>
      </c>
      <c r="BD23" s="47">
        <f t="shared" si="33"/>
        <v>0</v>
      </c>
      <c r="BE23" s="46">
        <f t="shared" si="19"/>
        <v>1953</v>
      </c>
      <c r="BH23" s="7">
        <f t="shared" si="34"/>
        <v>2034</v>
      </c>
      <c r="BI23" s="46">
        <v>0</v>
      </c>
      <c r="BJ23" s="16">
        <f t="shared" si="20"/>
        <v>223</v>
      </c>
      <c r="BK23" s="87">
        <f t="shared" si="21"/>
        <v>9.0960000000000001</v>
      </c>
      <c r="BL23" s="46">
        <f t="shared" si="44"/>
        <v>2028</v>
      </c>
      <c r="BM23" s="87">
        <f t="shared" si="22"/>
        <v>0.17</v>
      </c>
      <c r="BN23" s="16">
        <f t="shared" si="48"/>
        <v>0</v>
      </c>
      <c r="BO23" s="16"/>
      <c r="BP23" s="46">
        <f t="shared" si="23"/>
        <v>2028</v>
      </c>
      <c r="BR23" s="46">
        <f t="shared" si="49"/>
        <v>0</v>
      </c>
      <c r="BS23" s="46"/>
      <c r="BT23" s="46">
        <f t="shared" si="35"/>
        <v>2028</v>
      </c>
      <c r="BW23" s="7">
        <f t="shared" si="36"/>
        <v>2034</v>
      </c>
      <c r="BX23" s="46">
        <f t="shared" si="24"/>
        <v>994</v>
      </c>
      <c r="BY23" s="16">
        <f t="shared" si="37"/>
        <v>422</v>
      </c>
      <c r="BZ23" s="116">
        <f t="shared" si="38"/>
        <v>0</v>
      </c>
      <c r="CA23" s="46">
        <f t="shared" si="39"/>
        <v>1416</v>
      </c>
      <c r="CC23" s="46">
        <f t="shared" si="40"/>
        <v>0</v>
      </c>
      <c r="CD23" s="46">
        <f t="shared" si="40"/>
        <v>0</v>
      </c>
      <c r="CE23" s="46">
        <f t="shared" si="41"/>
        <v>0</v>
      </c>
      <c r="CF23" s="46"/>
      <c r="CG23" s="46">
        <f t="shared" si="45"/>
        <v>1416</v>
      </c>
    </row>
    <row r="24" spans="1:106">
      <c r="F24" s="250"/>
      <c r="G24" s="16"/>
      <c r="H24" s="16"/>
      <c r="J24" s="2">
        <f t="shared" si="25"/>
        <v>10</v>
      </c>
      <c r="L24" s="7">
        <f t="shared" si="26"/>
        <v>2035</v>
      </c>
      <c r="M24" s="16">
        <f t="shared" si="46"/>
        <v>223</v>
      </c>
      <c r="N24" s="53">
        <f t="shared" si="0"/>
        <v>4.5910000000000002</v>
      </c>
      <c r="O24" s="32">
        <f t="shared" si="1"/>
        <v>1024</v>
      </c>
      <c r="P24" s="53">
        <f t="shared" si="2"/>
        <v>0</v>
      </c>
      <c r="Q24" s="46">
        <f t="shared" si="27"/>
        <v>0</v>
      </c>
      <c r="R24" s="43">
        <f t="shared" si="3"/>
        <v>1024</v>
      </c>
      <c r="S24" s="42">
        <f t="shared" si="4"/>
        <v>2.2000000000000002</v>
      </c>
      <c r="T24" s="46">
        <f t="shared" si="5"/>
        <v>194</v>
      </c>
      <c r="U24" s="44">
        <f t="shared" si="42"/>
        <v>427</v>
      </c>
      <c r="V24" s="16">
        <f t="shared" si="28"/>
        <v>1451</v>
      </c>
      <c r="W24" s="45">
        <f t="shared" si="6"/>
        <v>1.5429999999999999</v>
      </c>
      <c r="X24" s="46">
        <f t="shared" si="7"/>
        <v>272</v>
      </c>
      <c r="Y24" s="46">
        <v>0</v>
      </c>
      <c r="Z24" s="46">
        <v>0</v>
      </c>
      <c r="AA24" s="46">
        <f t="shared" si="8"/>
        <v>272</v>
      </c>
      <c r="AB24" s="46">
        <f t="shared" si="9"/>
        <v>1179</v>
      </c>
      <c r="AE24" s="7">
        <f t="shared" si="29"/>
        <v>2035</v>
      </c>
      <c r="AF24" s="46">
        <f t="shared" si="10"/>
        <v>1024</v>
      </c>
      <c r="AG24" s="16">
        <f t="shared" si="11"/>
        <v>427</v>
      </c>
      <c r="AH24" s="46">
        <f t="shared" si="43"/>
        <v>1451</v>
      </c>
      <c r="AJ24" s="32">
        <f t="shared" si="30"/>
        <v>0</v>
      </c>
      <c r="AK24" s="32">
        <f t="shared" si="30"/>
        <v>0</v>
      </c>
      <c r="AL24" s="32">
        <f t="shared" si="12"/>
        <v>0</v>
      </c>
      <c r="AN24" s="77">
        <f t="shared" si="13"/>
        <v>1451</v>
      </c>
      <c r="AQ24" s="7">
        <f t="shared" si="31"/>
        <v>2035</v>
      </c>
      <c r="AR24" s="46">
        <f t="shared" si="14"/>
        <v>1024</v>
      </c>
      <c r="AS24" s="46">
        <f t="shared" si="15"/>
        <v>427</v>
      </c>
      <c r="AT24" s="91">
        <f t="shared" si="16"/>
        <v>0.04</v>
      </c>
      <c r="AU24" s="16">
        <f t="shared" si="47"/>
        <v>0</v>
      </c>
      <c r="AV24" s="53">
        <f t="shared" si="17"/>
        <v>2.448</v>
      </c>
      <c r="AW24" s="46">
        <f t="shared" si="18"/>
        <v>546</v>
      </c>
      <c r="AX24" s="91"/>
      <c r="AY24" s="92"/>
      <c r="AZ24" s="46">
        <f t="shared" si="32"/>
        <v>1997</v>
      </c>
      <c r="BA24" s="17"/>
      <c r="BB24" s="46">
        <v>0</v>
      </c>
      <c r="BC24" s="46">
        <v>0</v>
      </c>
      <c r="BD24" s="47">
        <f t="shared" si="33"/>
        <v>0</v>
      </c>
      <c r="BE24" s="46">
        <f t="shared" si="19"/>
        <v>1997</v>
      </c>
      <c r="BH24" s="7">
        <f t="shared" si="34"/>
        <v>2035</v>
      </c>
      <c r="BI24" s="46">
        <v>0</v>
      </c>
      <c r="BJ24" s="16">
        <f t="shared" si="20"/>
        <v>223</v>
      </c>
      <c r="BK24" s="87">
        <f t="shared" si="21"/>
        <v>9.3680000000000003</v>
      </c>
      <c r="BL24" s="46">
        <f t="shared" si="44"/>
        <v>2089</v>
      </c>
      <c r="BM24" s="87">
        <f t="shared" si="22"/>
        <v>0.17499999999999999</v>
      </c>
      <c r="BN24" s="16">
        <f t="shared" si="48"/>
        <v>0</v>
      </c>
      <c r="BO24" s="16"/>
      <c r="BP24" s="46">
        <f t="shared" si="23"/>
        <v>2089</v>
      </c>
      <c r="BR24" s="46">
        <f t="shared" si="49"/>
        <v>0</v>
      </c>
      <c r="BS24" s="46"/>
      <c r="BT24" s="46">
        <f t="shared" si="35"/>
        <v>2089</v>
      </c>
      <c r="BW24" s="7">
        <f t="shared" si="36"/>
        <v>2035</v>
      </c>
      <c r="BX24" s="46">
        <f t="shared" si="24"/>
        <v>1024</v>
      </c>
      <c r="BY24" s="16">
        <f t="shared" si="37"/>
        <v>427</v>
      </c>
      <c r="BZ24" s="116">
        <f t="shared" si="38"/>
        <v>0</v>
      </c>
      <c r="CA24" s="46">
        <f t="shared" si="39"/>
        <v>1451</v>
      </c>
      <c r="CC24" s="46">
        <f t="shared" si="40"/>
        <v>0</v>
      </c>
      <c r="CD24" s="46">
        <f t="shared" si="40"/>
        <v>0</v>
      </c>
      <c r="CE24" s="46">
        <f t="shared" si="41"/>
        <v>0</v>
      </c>
      <c r="CF24" s="46"/>
      <c r="CG24" s="46">
        <f t="shared" si="45"/>
        <v>1451</v>
      </c>
    </row>
    <row r="25" spans="1:106">
      <c r="A25" s="130" t="s">
        <v>106</v>
      </c>
      <c r="C25" s="11">
        <f>+'Gas Input Table Summary'!$E$17</f>
        <v>0</v>
      </c>
      <c r="E25" s="119" t="s">
        <v>102</v>
      </c>
      <c r="F25" s="139">
        <f>+ROUND(F32/F30,3)</f>
        <v>24.777999999999999</v>
      </c>
      <c r="G25" s="133"/>
      <c r="H25" s="133"/>
      <c r="J25" s="2">
        <f t="shared" si="25"/>
        <v>11</v>
      </c>
      <c r="L25" s="7">
        <f t="shared" si="26"/>
        <v>2036</v>
      </c>
      <c r="M25" s="16">
        <f t="shared" si="46"/>
        <v>223</v>
      </c>
      <c r="N25" s="53">
        <f t="shared" si="0"/>
        <v>4.7290000000000001</v>
      </c>
      <c r="O25" s="32">
        <f t="shared" si="1"/>
        <v>1055</v>
      </c>
      <c r="P25" s="53">
        <f t="shared" si="2"/>
        <v>0</v>
      </c>
      <c r="Q25" s="46">
        <f t="shared" si="27"/>
        <v>0</v>
      </c>
      <c r="R25" s="43">
        <f t="shared" si="3"/>
        <v>1055</v>
      </c>
      <c r="S25" s="42">
        <f t="shared" si="4"/>
        <v>2.2000000000000002</v>
      </c>
      <c r="T25" s="46">
        <f t="shared" si="5"/>
        <v>196</v>
      </c>
      <c r="U25" s="44">
        <f t="shared" si="42"/>
        <v>431</v>
      </c>
      <c r="V25" s="16">
        <f t="shared" si="28"/>
        <v>1486</v>
      </c>
      <c r="W25" s="45">
        <f t="shared" si="6"/>
        <v>1.589</v>
      </c>
      <c r="X25" s="46">
        <f t="shared" si="7"/>
        <v>280</v>
      </c>
      <c r="Y25" s="46">
        <v>0</v>
      </c>
      <c r="Z25" s="46">
        <v>0</v>
      </c>
      <c r="AA25" s="46">
        <f t="shared" si="8"/>
        <v>280</v>
      </c>
      <c r="AB25" s="46">
        <f t="shared" si="9"/>
        <v>1206</v>
      </c>
      <c r="AE25" s="7">
        <f t="shared" si="29"/>
        <v>2036</v>
      </c>
      <c r="AF25" s="46">
        <f t="shared" si="10"/>
        <v>1055</v>
      </c>
      <c r="AG25" s="16">
        <f t="shared" si="11"/>
        <v>431</v>
      </c>
      <c r="AH25" s="46">
        <f t="shared" si="43"/>
        <v>1486</v>
      </c>
      <c r="AJ25" s="32">
        <f t="shared" si="30"/>
        <v>0</v>
      </c>
      <c r="AK25" s="32">
        <f t="shared" si="30"/>
        <v>0</v>
      </c>
      <c r="AL25" s="32">
        <f t="shared" si="12"/>
        <v>0</v>
      </c>
      <c r="AN25" s="77">
        <f t="shared" si="13"/>
        <v>1486</v>
      </c>
      <c r="AQ25" s="7">
        <f t="shared" si="31"/>
        <v>2036</v>
      </c>
      <c r="AR25" s="46">
        <f t="shared" si="14"/>
        <v>1055</v>
      </c>
      <c r="AS25" s="46">
        <f t="shared" si="15"/>
        <v>431</v>
      </c>
      <c r="AT25" s="91">
        <f t="shared" si="16"/>
        <v>4.1000000000000002E-2</v>
      </c>
      <c r="AU25" s="16">
        <f t="shared" si="47"/>
        <v>0</v>
      </c>
      <c r="AV25" s="53">
        <f t="shared" si="17"/>
        <v>2.4889999999999999</v>
      </c>
      <c r="AW25" s="46">
        <f t="shared" si="18"/>
        <v>555</v>
      </c>
      <c r="AX25" s="91"/>
      <c r="AY25" s="92"/>
      <c r="AZ25" s="46">
        <f t="shared" si="32"/>
        <v>2041</v>
      </c>
      <c r="BA25" s="17"/>
      <c r="BB25" s="46">
        <v>0</v>
      </c>
      <c r="BC25" s="46">
        <v>0</v>
      </c>
      <c r="BD25" s="47">
        <f t="shared" si="33"/>
        <v>0</v>
      </c>
      <c r="BE25" s="46">
        <f t="shared" si="19"/>
        <v>2041</v>
      </c>
      <c r="BH25" s="7">
        <f t="shared" si="34"/>
        <v>2036</v>
      </c>
      <c r="BI25" s="46">
        <v>0</v>
      </c>
      <c r="BJ25" s="16">
        <f t="shared" si="20"/>
        <v>223</v>
      </c>
      <c r="BK25" s="87">
        <f t="shared" si="21"/>
        <v>9.6489999999999991</v>
      </c>
      <c r="BL25" s="46">
        <f t="shared" si="44"/>
        <v>2152</v>
      </c>
      <c r="BM25" s="87">
        <f t="shared" si="22"/>
        <v>0.18099999999999999</v>
      </c>
      <c r="BN25" s="16">
        <f t="shared" si="48"/>
        <v>0</v>
      </c>
      <c r="BO25" s="16"/>
      <c r="BP25" s="46">
        <f t="shared" si="23"/>
        <v>2152</v>
      </c>
      <c r="BR25" s="46">
        <f t="shared" si="49"/>
        <v>0</v>
      </c>
      <c r="BS25" s="46"/>
      <c r="BT25" s="46">
        <f t="shared" si="35"/>
        <v>2152</v>
      </c>
      <c r="BW25" s="7">
        <f t="shared" si="36"/>
        <v>2036</v>
      </c>
      <c r="BX25" s="46">
        <f t="shared" si="24"/>
        <v>1055</v>
      </c>
      <c r="BY25" s="16">
        <f t="shared" si="37"/>
        <v>431</v>
      </c>
      <c r="BZ25" s="116">
        <f t="shared" si="38"/>
        <v>0</v>
      </c>
      <c r="CA25" s="46">
        <f t="shared" si="39"/>
        <v>1486</v>
      </c>
      <c r="CC25" s="46">
        <f t="shared" si="40"/>
        <v>0</v>
      </c>
      <c r="CD25" s="46">
        <f t="shared" si="40"/>
        <v>0</v>
      </c>
      <c r="CE25" s="46">
        <f t="shared" si="41"/>
        <v>0</v>
      </c>
      <c r="CF25" s="46"/>
      <c r="CG25" s="46">
        <f t="shared" si="45"/>
        <v>1486</v>
      </c>
    </row>
    <row r="26" spans="1:106">
      <c r="A26" s="3" t="s">
        <v>18</v>
      </c>
      <c r="C26" s="15">
        <f>+'Gas Input Table Summary'!$E$18</f>
        <v>0</v>
      </c>
      <c r="F26" s="250"/>
      <c r="G26" s="16"/>
      <c r="H26" s="16"/>
      <c r="J26" s="2">
        <f t="shared" si="25"/>
        <v>12</v>
      </c>
      <c r="L26" s="7">
        <f t="shared" si="26"/>
        <v>2037</v>
      </c>
      <c r="M26" s="16">
        <f t="shared" si="46"/>
        <v>223</v>
      </c>
      <c r="N26" s="53">
        <f t="shared" si="0"/>
        <v>4.87</v>
      </c>
      <c r="O26" s="32">
        <f t="shared" si="1"/>
        <v>1086</v>
      </c>
      <c r="P26" s="53">
        <f t="shared" si="2"/>
        <v>0</v>
      </c>
      <c r="Q26" s="46">
        <f t="shared" si="27"/>
        <v>0</v>
      </c>
      <c r="R26" s="43">
        <f t="shared" si="3"/>
        <v>1086</v>
      </c>
      <c r="S26" s="42">
        <f t="shared" si="4"/>
        <v>2.2000000000000002</v>
      </c>
      <c r="T26" s="46">
        <f t="shared" si="5"/>
        <v>198</v>
      </c>
      <c r="U26" s="44">
        <f t="shared" si="42"/>
        <v>436</v>
      </c>
      <c r="V26" s="16">
        <f t="shared" si="28"/>
        <v>1522</v>
      </c>
      <c r="W26" s="45">
        <f t="shared" si="6"/>
        <v>1.637</v>
      </c>
      <c r="X26" s="46">
        <f t="shared" si="7"/>
        <v>288</v>
      </c>
      <c r="Y26" s="46">
        <v>0</v>
      </c>
      <c r="Z26" s="46">
        <v>0</v>
      </c>
      <c r="AA26" s="46">
        <f t="shared" si="8"/>
        <v>288</v>
      </c>
      <c r="AB26" s="46">
        <f t="shared" si="9"/>
        <v>1234</v>
      </c>
      <c r="AE26" s="7">
        <f t="shared" si="29"/>
        <v>2037</v>
      </c>
      <c r="AF26" s="46">
        <f t="shared" si="10"/>
        <v>1086</v>
      </c>
      <c r="AG26" s="16">
        <f t="shared" si="11"/>
        <v>436</v>
      </c>
      <c r="AH26" s="46">
        <f t="shared" si="43"/>
        <v>1522</v>
      </c>
      <c r="AJ26" s="32">
        <f t="shared" si="30"/>
        <v>0</v>
      </c>
      <c r="AK26" s="32">
        <f t="shared" si="30"/>
        <v>0</v>
      </c>
      <c r="AL26" s="32">
        <f t="shared" si="12"/>
        <v>0</v>
      </c>
      <c r="AN26" s="77">
        <f t="shared" si="13"/>
        <v>1522</v>
      </c>
      <c r="AQ26" s="7">
        <f t="shared" si="31"/>
        <v>2037</v>
      </c>
      <c r="AR26" s="46">
        <f t="shared" si="14"/>
        <v>1086</v>
      </c>
      <c r="AS26" s="46">
        <f t="shared" si="15"/>
        <v>436</v>
      </c>
      <c r="AT26" s="91">
        <f t="shared" si="16"/>
        <v>4.2000000000000003E-2</v>
      </c>
      <c r="AU26" s="16">
        <f t="shared" si="47"/>
        <v>0</v>
      </c>
      <c r="AV26" s="53">
        <f t="shared" si="17"/>
        <v>2.5310000000000001</v>
      </c>
      <c r="AW26" s="46">
        <f t="shared" si="18"/>
        <v>564</v>
      </c>
      <c r="AX26" s="91"/>
      <c r="AY26" s="92"/>
      <c r="AZ26" s="46">
        <f t="shared" si="32"/>
        <v>2086</v>
      </c>
      <c r="BA26" s="17"/>
      <c r="BB26" s="46">
        <v>0</v>
      </c>
      <c r="BC26" s="46">
        <v>0</v>
      </c>
      <c r="BD26" s="47">
        <f t="shared" si="33"/>
        <v>0</v>
      </c>
      <c r="BE26" s="46">
        <f t="shared" si="19"/>
        <v>2086</v>
      </c>
      <c r="BH26" s="7">
        <f t="shared" si="34"/>
        <v>2037</v>
      </c>
      <c r="BI26" s="46">
        <v>0</v>
      </c>
      <c r="BJ26" s="16">
        <f t="shared" si="20"/>
        <v>223</v>
      </c>
      <c r="BK26" s="87">
        <f t="shared" si="21"/>
        <v>9.9390000000000001</v>
      </c>
      <c r="BL26" s="46">
        <f t="shared" si="44"/>
        <v>2216</v>
      </c>
      <c r="BM26" s="87">
        <f t="shared" si="22"/>
        <v>0.186</v>
      </c>
      <c r="BN26" s="16">
        <f t="shared" si="48"/>
        <v>0</v>
      </c>
      <c r="BO26" s="16"/>
      <c r="BP26" s="46">
        <f t="shared" si="23"/>
        <v>2216</v>
      </c>
      <c r="BR26" s="46">
        <f t="shared" si="49"/>
        <v>0</v>
      </c>
      <c r="BS26" s="46"/>
      <c r="BT26" s="46">
        <f t="shared" si="35"/>
        <v>2216</v>
      </c>
      <c r="BW26" s="7">
        <f t="shared" si="36"/>
        <v>2037</v>
      </c>
      <c r="BX26" s="46">
        <f t="shared" si="24"/>
        <v>1086</v>
      </c>
      <c r="BY26" s="16">
        <f t="shared" si="37"/>
        <v>436</v>
      </c>
      <c r="BZ26" s="116">
        <f t="shared" si="38"/>
        <v>0</v>
      </c>
      <c r="CA26" s="46">
        <f t="shared" si="39"/>
        <v>1522</v>
      </c>
      <c r="CC26" s="46">
        <f t="shared" si="40"/>
        <v>0</v>
      </c>
      <c r="CD26" s="46">
        <f t="shared" si="40"/>
        <v>0</v>
      </c>
      <c r="CE26" s="46">
        <f t="shared" si="41"/>
        <v>0</v>
      </c>
      <c r="CF26" s="46"/>
      <c r="CG26" s="46">
        <f t="shared" si="45"/>
        <v>1522</v>
      </c>
    </row>
    <row r="27" spans="1:106">
      <c r="A27" s="3"/>
      <c r="C27" s="15"/>
      <c r="E27" s="3" t="s">
        <v>70</v>
      </c>
      <c r="F27" s="250">
        <f>+'Database Inputs'!H17</f>
        <v>0</v>
      </c>
      <c r="G27" s="142"/>
      <c r="H27" s="142"/>
      <c r="J27" s="2">
        <f t="shared" si="25"/>
        <v>13</v>
      </c>
      <c r="L27" s="7">
        <f t="shared" si="26"/>
        <v>2038</v>
      </c>
      <c r="M27" s="16">
        <f t="shared" si="46"/>
        <v>223</v>
      </c>
      <c r="N27" s="53">
        <f t="shared" si="0"/>
        <v>5.0170000000000003</v>
      </c>
      <c r="O27" s="32">
        <f t="shared" si="1"/>
        <v>1119</v>
      </c>
      <c r="P27" s="53">
        <f t="shared" si="2"/>
        <v>0</v>
      </c>
      <c r="Q27" s="46">
        <f t="shared" si="27"/>
        <v>0</v>
      </c>
      <c r="R27" s="43">
        <f t="shared" si="3"/>
        <v>1119</v>
      </c>
      <c r="S27" s="42">
        <f t="shared" si="4"/>
        <v>2.2000000000000002</v>
      </c>
      <c r="T27" s="46">
        <f t="shared" si="5"/>
        <v>200</v>
      </c>
      <c r="U27" s="44">
        <f t="shared" si="42"/>
        <v>440</v>
      </c>
      <c r="V27" s="16">
        <f t="shared" si="28"/>
        <v>1559</v>
      </c>
      <c r="W27" s="45">
        <f t="shared" si="6"/>
        <v>1.6859999999999999</v>
      </c>
      <c r="X27" s="46">
        <f t="shared" si="7"/>
        <v>297</v>
      </c>
      <c r="Y27" s="46">
        <v>0</v>
      </c>
      <c r="Z27" s="46">
        <v>0</v>
      </c>
      <c r="AA27" s="46">
        <f t="shared" si="8"/>
        <v>297</v>
      </c>
      <c r="AB27" s="46">
        <f t="shared" si="9"/>
        <v>1262</v>
      </c>
      <c r="AE27" s="7">
        <f t="shared" si="29"/>
        <v>2038</v>
      </c>
      <c r="AF27" s="46">
        <f t="shared" si="10"/>
        <v>1119</v>
      </c>
      <c r="AG27" s="16">
        <f t="shared" si="11"/>
        <v>440</v>
      </c>
      <c r="AH27" s="46">
        <f t="shared" si="43"/>
        <v>1559</v>
      </c>
      <c r="AJ27" s="32">
        <f t="shared" si="30"/>
        <v>0</v>
      </c>
      <c r="AK27" s="32">
        <f t="shared" si="30"/>
        <v>0</v>
      </c>
      <c r="AL27" s="32">
        <f t="shared" si="12"/>
        <v>0</v>
      </c>
      <c r="AN27" s="77">
        <f t="shared" si="13"/>
        <v>1559</v>
      </c>
      <c r="AQ27" s="7">
        <f t="shared" si="31"/>
        <v>2038</v>
      </c>
      <c r="AR27" s="46">
        <f t="shared" si="14"/>
        <v>1119</v>
      </c>
      <c r="AS27" s="46">
        <f t="shared" si="15"/>
        <v>440</v>
      </c>
      <c r="AT27" s="91">
        <f t="shared" si="16"/>
        <v>4.2999999999999997E-2</v>
      </c>
      <c r="AU27" s="16">
        <f t="shared" si="47"/>
        <v>0</v>
      </c>
      <c r="AV27" s="53">
        <f t="shared" si="17"/>
        <v>2.5739999999999998</v>
      </c>
      <c r="AW27" s="46">
        <f t="shared" si="18"/>
        <v>574</v>
      </c>
      <c r="AX27" s="91"/>
      <c r="AY27" s="92"/>
      <c r="AZ27" s="46">
        <f t="shared" si="32"/>
        <v>2133</v>
      </c>
      <c r="BA27" s="17"/>
      <c r="BB27" s="46">
        <v>0</v>
      </c>
      <c r="BC27" s="46">
        <v>0</v>
      </c>
      <c r="BD27" s="47">
        <f t="shared" si="33"/>
        <v>0</v>
      </c>
      <c r="BE27" s="46">
        <f t="shared" si="19"/>
        <v>2133</v>
      </c>
      <c r="BH27" s="7">
        <f t="shared" si="34"/>
        <v>2038</v>
      </c>
      <c r="BI27" s="46">
        <v>0</v>
      </c>
      <c r="BJ27" s="16">
        <f t="shared" si="20"/>
        <v>223</v>
      </c>
      <c r="BK27" s="87">
        <f t="shared" si="21"/>
        <v>10.237</v>
      </c>
      <c r="BL27" s="46">
        <f t="shared" si="44"/>
        <v>2283</v>
      </c>
      <c r="BM27" s="87">
        <f t="shared" si="22"/>
        <v>0.192</v>
      </c>
      <c r="BN27" s="16">
        <f t="shared" si="48"/>
        <v>0</v>
      </c>
      <c r="BO27" s="16"/>
      <c r="BP27" s="46">
        <f t="shared" si="23"/>
        <v>2283</v>
      </c>
      <c r="BR27" s="46">
        <f t="shared" si="49"/>
        <v>0</v>
      </c>
      <c r="BS27" s="46"/>
      <c r="BT27" s="46">
        <f t="shared" si="35"/>
        <v>2283</v>
      </c>
      <c r="BW27" s="7">
        <f t="shared" si="36"/>
        <v>2038</v>
      </c>
      <c r="BX27" s="46">
        <f t="shared" si="24"/>
        <v>1119</v>
      </c>
      <c r="BY27" s="16">
        <f t="shared" si="37"/>
        <v>440</v>
      </c>
      <c r="BZ27" s="116">
        <f t="shared" si="38"/>
        <v>0</v>
      </c>
      <c r="CA27" s="46">
        <f t="shared" si="39"/>
        <v>1559</v>
      </c>
      <c r="CC27" s="46">
        <f t="shared" si="40"/>
        <v>0</v>
      </c>
      <c r="CD27" s="46">
        <f t="shared" si="40"/>
        <v>0</v>
      </c>
      <c r="CE27" s="46">
        <f t="shared" si="41"/>
        <v>0</v>
      </c>
      <c r="CF27" s="46"/>
      <c r="CG27" s="46">
        <f t="shared" si="45"/>
        <v>1559</v>
      </c>
    </row>
    <row r="28" spans="1:106">
      <c r="A28" s="3" t="s">
        <v>71</v>
      </c>
      <c r="C28" s="140">
        <f>+'Gas Input Table Summary'!$E$19</f>
        <v>2.7300000000000001E-2</v>
      </c>
      <c r="E28" s="127" t="s">
        <v>72</v>
      </c>
      <c r="F28" s="250">
        <v>0</v>
      </c>
      <c r="G28" s="142"/>
      <c r="H28" s="142"/>
      <c r="J28" s="2">
        <f t="shared" si="25"/>
        <v>14</v>
      </c>
      <c r="L28" s="7">
        <f t="shared" si="26"/>
        <v>2039</v>
      </c>
      <c r="M28" s="16">
        <f t="shared" si="46"/>
        <v>223</v>
      </c>
      <c r="N28" s="53">
        <f t="shared" si="0"/>
        <v>5.1669999999999998</v>
      </c>
      <c r="O28" s="32">
        <f t="shared" si="1"/>
        <v>1152</v>
      </c>
      <c r="P28" s="53">
        <f t="shared" si="2"/>
        <v>0</v>
      </c>
      <c r="Q28" s="46">
        <f t="shared" si="27"/>
        <v>0</v>
      </c>
      <c r="R28" s="43">
        <f t="shared" si="3"/>
        <v>1152</v>
      </c>
      <c r="S28" s="42">
        <f t="shared" si="4"/>
        <v>2.2000000000000002</v>
      </c>
      <c r="T28" s="46">
        <f t="shared" si="5"/>
        <v>202</v>
      </c>
      <c r="U28" s="44">
        <f t="shared" si="42"/>
        <v>444</v>
      </c>
      <c r="V28" s="16">
        <f t="shared" si="28"/>
        <v>1596</v>
      </c>
      <c r="W28" s="45">
        <f t="shared" si="6"/>
        <v>1.736</v>
      </c>
      <c r="X28" s="46">
        <f t="shared" si="7"/>
        <v>306</v>
      </c>
      <c r="Y28" s="46">
        <v>0</v>
      </c>
      <c r="Z28" s="46">
        <v>0</v>
      </c>
      <c r="AA28" s="46">
        <f t="shared" si="8"/>
        <v>306</v>
      </c>
      <c r="AB28" s="46">
        <f t="shared" si="9"/>
        <v>1290</v>
      </c>
      <c r="AE28" s="7">
        <f t="shared" si="29"/>
        <v>2039</v>
      </c>
      <c r="AF28" s="46">
        <f t="shared" si="10"/>
        <v>1152</v>
      </c>
      <c r="AG28" s="16">
        <f t="shared" si="11"/>
        <v>444</v>
      </c>
      <c r="AH28" s="46">
        <f t="shared" si="43"/>
        <v>1596</v>
      </c>
      <c r="AJ28" s="32">
        <f t="shared" si="30"/>
        <v>0</v>
      </c>
      <c r="AK28" s="32">
        <f t="shared" si="30"/>
        <v>0</v>
      </c>
      <c r="AL28" s="32">
        <f t="shared" si="12"/>
        <v>0</v>
      </c>
      <c r="AN28" s="77">
        <f t="shared" si="13"/>
        <v>1596</v>
      </c>
      <c r="AQ28" s="7">
        <f t="shared" si="31"/>
        <v>2039</v>
      </c>
      <c r="AR28" s="46">
        <f t="shared" si="14"/>
        <v>1152</v>
      </c>
      <c r="AS28" s="46">
        <f t="shared" si="15"/>
        <v>444</v>
      </c>
      <c r="AT28" s="91">
        <f t="shared" si="16"/>
        <v>4.4999999999999998E-2</v>
      </c>
      <c r="AU28" s="16">
        <f t="shared" si="47"/>
        <v>0</v>
      </c>
      <c r="AV28" s="53">
        <f t="shared" si="17"/>
        <v>2.617</v>
      </c>
      <c r="AW28" s="46">
        <f t="shared" si="18"/>
        <v>584</v>
      </c>
      <c r="AX28" s="91"/>
      <c r="AY28" s="92"/>
      <c r="AZ28" s="46">
        <f t="shared" si="32"/>
        <v>2180</v>
      </c>
      <c r="BA28" s="17"/>
      <c r="BB28" s="46">
        <v>0</v>
      </c>
      <c r="BC28" s="46">
        <v>0</v>
      </c>
      <c r="BD28" s="47">
        <f t="shared" si="33"/>
        <v>0</v>
      </c>
      <c r="BE28" s="46">
        <f t="shared" si="19"/>
        <v>2180</v>
      </c>
      <c r="BH28" s="7">
        <f t="shared" si="34"/>
        <v>2039</v>
      </c>
      <c r="BI28" s="46">
        <v>0</v>
      </c>
      <c r="BJ28" s="16">
        <f t="shared" si="20"/>
        <v>223</v>
      </c>
      <c r="BK28" s="87">
        <f t="shared" si="21"/>
        <v>10.544</v>
      </c>
      <c r="BL28" s="46">
        <f t="shared" si="44"/>
        <v>2351</v>
      </c>
      <c r="BM28" s="87">
        <f t="shared" si="22"/>
        <v>0.19700000000000001</v>
      </c>
      <c r="BN28" s="16">
        <f t="shared" si="48"/>
        <v>0</v>
      </c>
      <c r="BO28" s="16"/>
      <c r="BP28" s="46">
        <f t="shared" si="23"/>
        <v>2351</v>
      </c>
      <c r="BR28" s="46">
        <f t="shared" si="49"/>
        <v>0</v>
      </c>
      <c r="BS28" s="46"/>
      <c r="BT28" s="46">
        <f t="shared" si="35"/>
        <v>2351</v>
      </c>
      <c r="BW28" s="7">
        <f t="shared" si="36"/>
        <v>2039</v>
      </c>
      <c r="BX28" s="46">
        <f t="shared" si="24"/>
        <v>1152</v>
      </c>
      <c r="BY28" s="16">
        <f t="shared" si="37"/>
        <v>444</v>
      </c>
      <c r="BZ28" s="116">
        <f t="shared" si="38"/>
        <v>0</v>
      </c>
      <c r="CA28" s="46">
        <f t="shared" si="39"/>
        <v>1596</v>
      </c>
      <c r="CC28" s="46">
        <f t="shared" si="40"/>
        <v>0</v>
      </c>
      <c r="CD28" s="46">
        <f t="shared" si="40"/>
        <v>0</v>
      </c>
      <c r="CE28" s="46">
        <f t="shared" si="41"/>
        <v>0</v>
      </c>
      <c r="CF28" s="46"/>
      <c r="CG28" s="46">
        <f t="shared" si="45"/>
        <v>1596</v>
      </c>
    </row>
    <row r="29" spans="1:106">
      <c r="A29" s="3" t="s">
        <v>47</v>
      </c>
      <c r="C29" s="15">
        <f>+'Gas Input Table Summary'!$E$20</f>
        <v>0.03</v>
      </c>
      <c r="E29" s="3"/>
      <c r="F29" s="250"/>
      <c r="G29" s="16"/>
      <c r="H29" s="16"/>
      <c r="J29" s="2">
        <f t="shared" si="25"/>
        <v>15</v>
      </c>
      <c r="L29" s="7">
        <f t="shared" si="26"/>
        <v>2040</v>
      </c>
      <c r="M29" s="16">
        <f t="shared" si="46"/>
        <v>223</v>
      </c>
      <c r="N29" s="53">
        <f t="shared" si="0"/>
        <v>5.3220000000000001</v>
      </c>
      <c r="O29" s="32">
        <f t="shared" si="1"/>
        <v>1187</v>
      </c>
      <c r="P29" s="53">
        <f t="shared" si="2"/>
        <v>0</v>
      </c>
      <c r="Q29" s="46">
        <f t="shared" si="27"/>
        <v>0</v>
      </c>
      <c r="R29" s="43">
        <f t="shared" si="3"/>
        <v>1187</v>
      </c>
      <c r="S29" s="42">
        <f t="shared" si="4"/>
        <v>2.2000000000000002</v>
      </c>
      <c r="T29" s="46">
        <f t="shared" si="5"/>
        <v>204</v>
      </c>
      <c r="U29" s="44">
        <f t="shared" si="42"/>
        <v>449</v>
      </c>
      <c r="V29" s="16">
        <f t="shared" si="28"/>
        <v>1636</v>
      </c>
      <c r="W29" s="45">
        <f t="shared" si="6"/>
        <v>1.7889999999999999</v>
      </c>
      <c r="X29" s="46">
        <f t="shared" si="7"/>
        <v>315</v>
      </c>
      <c r="Y29" s="49">
        <v>0</v>
      </c>
      <c r="Z29" s="49">
        <v>0</v>
      </c>
      <c r="AA29" s="49">
        <f t="shared" si="8"/>
        <v>315</v>
      </c>
      <c r="AB29" s="49">
        <f t="shared" si="9"/>
        <v>1321</v>
      </c>
      <c r="AE29" s="7">
        <f t="shared" si="29"/>
        <v>2040</v>
      </c>
      <c r="AF29" s="46">
        <f t="shared" si="10"/>
        <v>1187</v>
      </c>
      <c r="AG29" s="16">
        <f t="shared" si="11"/>
        <v>449</v>
      </c>
      <c r="AH29" s="46">
        <f t="shared" si="43"/>
        <v>1636</v>
      </c>
      <c r="AJ29" s="32">
        <f t="shared" si="30"/>
        <v>0</v>
      </c>
      <c r="AK29" s="32">
        <f t="shared" si="30"/>
        <v>0</v>
      </c>
      <c r="AL29" s="32">
        <f t="shared" si="12"/>
        <v>0</v>
      </c>
      <c r="AN29" s="77">
        <f t="shared" si="13"/>
        <v>1636</v>
      </c>
      <c r="AQ29" s="7">
        <f t="shared" si="31"/>
        <v>2040</v>
      </c>
      <c r="AR29" s="49">
        <f t="shared" si="14"/>
        <v>1187</v>
      </c>
      <c r="AS29" s="46">
        <f t="shared" si="15"/>
        <v>449</v>
      </c>
      <c r="AT29" s="91">
        <f t="shared" si="16"/>
        <v>4.5999999999999999E-2</v>
      </c>
      <c r="AU29" s="16">
        <f t="shared" si="47"/>
        <v>0</v>
      </c>
      <c r="AV29" s="53">
        <f t="shared" si="17"/>
        <v>2.6619999999999999</v>
      </c>
      <c r="AW29" s="46">
        <f t="shared" si="18"/>
        <v>594</v>
      </c>
      <c r="AX29" s="91"/>
      <c r="AY29" s="92"/>
      <c r="AZ29" s="49">
        <f t="shared" si="32"/>
        <v>2230</v>
      </c>
      <c r="BA29" s="17"/>
      <c r="BB29" s="49">
        <v>0</v>
      </c>
      <c r="BC29" s="46">
        <v>0</v>
      </c>
      <c r="BD29" s="47">
        <f t="shared" si="33"/>
        <v>0</v>
      </c>
      <c r="BE29" s="49">
        <f t="shared" si="19"/>
        <v>2230</v>
      </c>
      <c r="BH29" s="7">
        <f t="shared" si="34"/>
        <v>2040</v>
      </c>
      <c r="BI29" s="46">
        <v>0</v>
      </c>
      <c r="BJ29" s="16">
        <f t="shared" si="20"/>
        <v>223</v>
      </c>
      <c r="BK29" s="87">
        <f t="shared" si="21"/>
        <v>10.861000000000001</v>
      </c>
      <c r="BL29" s="46">
        <f t="shared" si="44"/>
        <v>2422</v>
      </c>
      <c r="BM29" s="87">
        <f t="shared" si="22"/>
        <v>0.20300000000000001</v>
      </c>
      <c r="BN29" s="16">
        <f t="shared" si="48"/>
        <v>0</v>
      </c>
      <c r="BO29" s="16"/>
      <c r="BP29" s="46">
        <f t="shared" si="23"/>
        <v>2422</v>
      </c>
      <c r="BR29" s="46">
        <f t="shared" si="49"/>
        <v>0</v>
      </c>
      <c r="BS29" s="46"/>
      <c r="BT29" s="46">
        <f t="shared" si="35"/>
        <v>2422</v>
      </c>
      <c r="BW29" s="7">
        <f t="shared" si="36"/>
        <v>2040</v>
      </c>
      <c r="BX29" s="46">
        <f t="shared" si="24"/>
        <v>1187</v>
      </c>
      <c r="BY29" s="16">
        <f t="shared" si="37"/>
        <v>449</v>
      </c>
      <c r="BZ29" s="116">
        <f t="shared" si="38"/>
        <v>0</v>
      </c>
      <c r="CA29" s="46">
        <f t="shared" si="39"/>
        <v>1636</v>
      </c>
      <c r="CC29" s="46">
        <f t="shared" si="40"/>
        <v>0</v>
      </c>
      <c r="CD29" s="46">
        <f t="shared" si="40"/>
        <v>0</v>
      </c>
      <c r="CE29" s="46">
        <f t="shared" si="41"/>
        <v>0</v>
      </c>
      <c r="CF29" s="46"/>
      <c r="CG29" s="46">
        <f t="shared" si="45"/>
        <v>1636</v>
      </c>
    </row>
    <row r="30" spans="1:106">
      <c r="E30" s="3" t="s">
        <v>73</v>
      </c>
      <c r="F30" s="138">
        <f>ROUND('Database Inputs'!C17,0)</f>
        <v>9</v>
      </c>
      <c r="G30" s="132"/>
      <c r="H30" s="132"/>
      <c r="J30" s="2">
        <f t="shared" si="25"/>
        <v>16</v>
      </c>
      <c r="L30" s="7">
        <f t="shared" si="26"/>
        <v>2041</v>
      </c>
      <c r="M30" s="16">
        <f t="shared" si="46"/>
        <v>223</v>
      </c>
      <c r="N30" s="53">
        <f t="shared" si="0"/>
        <v>5.4820000000000002</v>
      </c>
      <c r="O30" s="32">
        <f t="shared" si="1"/>
        <v>1222</v>
      </c>
      <c r="P30" s="53">
        <f t="shared" si="2"/>
        <v>0</v>
      </c>
      <c r="Q30" s="46">
        <f t="shared" si="27"/>
        <v>0</v>
      </c>
      <c r="R30" s="43">
        <f t="shared" si="3"/>
        <v>1222</v>
      </c>
      <c r="S30" s="42">
        <f t="shared" si="4"/>
        <v>2.2000000000000002</v>
      </c>
      <c r="T30" s="46">
        <f t="shared" si="5"/>
        <v>206</v>
      </c>
      <c r="U30" s="44">
        <f t="shared" si="42"/>
        <v>453</v>
      </c>
      <c r="V30" s="16">
        <f t="shared" si="28"/>
        <v>1675</v>
      </c>
      <c r="W30" s="45">
        <f t="shared" si="6"/>
        <v>1.8420000000000001</v>
      </c>
      <c r="X30" s="46">
        <f t="shared" si="7"/>
        <v>325</v>
      </c>
      <c r="Y30" s="49">
        <v>0</v>
      </c>
      <c r="Z30" s="49">
        <v>0</v>
      </c>
      <c r="AA30" s="49">
        <f t="shared" si="8"/>
        <v>325</v>
      </c>
      <c r="AB30" s="49">
        <f t="shared" si="9"/>
        <v>1350</v>
      </c>
      <c r="AE30" s="7">
        <f t="shared" si="29"/>
        <v>2041</v>
      </c>
      <c r="AF30" s="46">
        <f t="shared" si="10"/>
        <v>1222</v>
      </c>
      <c r="AG30" s="16">
        <f t="shared" si="11"/>
        <v>453</v>
      </c>
      <c r="AH30" s="46">
        <f t="shared" si="43"/>
        <v>1675</v>
      </c>
      <c r="AJ30" s="32">
        <f t="shared" si="30"/>
        <v>0</v>
      </c>
      <c r="AK30" s="32">
        <f t="shared" si="30"/>
        <v>0</v>
      </c>
      <c r="AL30" s="32">
        <f t="shared" si="12"/>
        <v>0</v>
      </c>
      <c r="AN30" s="77">
        <f t="shared" si="13"/>
        <v>1675</v>
      </c>
      <c r="AQ30" s="7">
        <f t="shared" si="31"/>
        <v>2041</v>
      </c>
      <c r="AR30" s="49">
        <f t="shared" si="14"/>
        <v>1222</v>
      </c>
      <c r="AS30" s="46">
        <f t="shared" si="15"/>
        <v>453</v>
      </c>
      <c r="AT30" s="91">
        <f t="shared" si="16"/>
        <v>4.7E-2</v>
      </c>
      <c r="AU30" s="16">
        <f t="shared" si="47"/>
        <v>0</v>
      </c>
      <c r="AV30" s="53">
        <f t="shared" si="17"/>
        <v>2.7069999999999999</v>
      </c>
      <c r="AW30" s="46">
        <f t="shared" si="18"/>
        <v>604</v>
      </c>
      <c r="AX30" s="91"/>
      <c r="AY30" s="92"/>
      <c r="AZ30" s="49">
        <f t="shared" si="32"/>
        <v>2279</v>
      </c>
      <c r="BA30" s="17"/>
      <c r="BB30" s="49">
        <v>0</v>
      </c>
      <c r="BC30" s="46">
        <v>0</v>
      </c>
      <c r="BD30" s="47">
        <f t="shared" si="33"/>
        <v>0</v>
      </c>
      <c r="BE30" s="49">
        <f t="shared" si="19"/>
        <v>2279</v>
      </c>
      <c r="BH30" s="7">
        <f t="shared" si="34"/>
        <v>2041</v>
      </c>
      <c r="BI30" s="46">
        <v>0</v>
      </c>
      <c r="BJ30" s="16">
        <f t="shared" si="20"/>
        <v>223</v>
      </c>
      <c r="BK30" s="87">
        <f t="shared" si="21"/>
        <v>11.186</v>
      </c>
      <c r="BL30" s="46">
        <f t="shared" si="44"/>
        <v>2494</v>
      </c>
      <c r="BM30" s="87">
        <f t="shared" si="22"/>
        <v>0.20899999999999999</v>
      </c>
      <c r="BN30" s="16">
        <f t="shared" si="48"/>
        <v>0</v>
      </c>
      <c r="BO30" s="16"/>
      <c r="BP30" s="46">
        <f t="shared" si="23"/>
        <v>2494</v>
      </c>
      <c r="BR30" s="46">
        <f t="shared" si="49"/>
        <v>0</v>
      </c>
      <c r="BS30" s="46"/>
      <c r="BT30" s="46">
        <f t="shared" si="35"/>
        <v>2494</v>
      </c>
      <c r="BW30" s="7">
        <f t="shared" si="36"/>
        <v>2041</v>
      </c>
      <c r="BX30" s="46">
        <f t="shared" si="24"/>
        <v>1222</v>
      </c>
      <c r="BY30" s="16">
        <f t="shared" si="37"/>
        <v>453</v>
      </c>
      <c r="BZ30" s="116">
        <f t="shared" si="38"/>
        <v>0</v>
      </c>
      <c r="CA30" s="46">
        <f t="shared" si="39"/>
        <v>1675</v>
      </c>
      <c r="CC30" s="46">
        <f t="shared" si="40"/>
        <v>0</v>
      </c>
      <c r="CD30" s="46">
        <f t="shared" si="40"/>
        <v>0</v>
      </c>
      <c r="CE30" s="46">
        <f t="shared" si="41"/>
        <v>0</v>
      </c>
      <c r="CF30" s="46"/>
      <c r="CG30" s="46">
        <f t="shared" si="45"/>
        <v>1675</v>
      </c>
    </row>
    <row r="31" spans="1:106">
      <c r="A31" s="2" t="s">
        <v>74</v>
      </c>
      <c r="C31" s="13">
        <f>+'Gas Input Table Summary'!$E$21</f>
        <v>7.7189999999999995E-2</v>
      </c>
      <c r="F31" s="250"/>
      <c r="G31" s="16"/>
      <c r="H31" s="16"/>
      <c r="J31" s="2">
        <f t="shared" si="25"/>
        <v>17</v>
      </c>
      <c r="L31" s="7">
        <f t="shared" si="26"/>
        <v>2042</v>
      </c>
      <c r="M31" s="16">
        <f t="shared" si="46"/>
        <v>223</v>
      </c>
      <c r="N31" s="53">
        <f t="shared" si="0"/>
        <v>5.6459999999999999</v>
      </c>
      <c r="O31" s="32">
        <f t="shared" si="1"/>
        <v>1259</v>
      </c>
      <c r="P31" s="53">
        <f t="shared" si="2"/>
        <v>0</v>
      </c>
      <c r="Q31" s="46">
        <f t="shared" si="27"/>
        <v>0</v>
      </c>
      <c r="R31" s="43">
        <f t="shared" si="3"/>
        <v>1259</v>
      </c>
      <c r="S31" s="42">
        <f t="shared" si="4"/>
        <v>2.2000000000000002</v>
      </c>
      <c r="T31" s="46">
        <f t="shared" si="5"/>
        <v>208</v>
      </c>
      <c r="U31" s="44">
        <f t="shared" si="42"/>
        <v>458</v>
      </c>
      <c r="V31" s="16">
        <f t="shared" si="28"/>
        <v>1717</v>
      </c>
      <c r="W31" s="45">
        <f t="shared" si="6"/>
        <v>1.897</v>
      </c>
      <c r="X31" s="46">
        <f t="shared" si="7"/>
        <v>334</v>
      </c>
      <c r="Y31" s="49">
        <v>0</v>
      </c>
      <c r="Z31" s="49">
        <v>0</v>
      </c>
      <c r="AA31" s="49">
        <f t="shared" si="8"/>
        <v>334</v>
      </c>
      <c r="AB31" s="49">
        <f t="shared" si="9"/>
        <v>1383</v>
      </c>
      <c r="AE31" s="7">
        <f t="shared" si="29"/>
        <v>2042</v>
      </c>
      <c r="AF31" s="46">
        <f t="shared" si="10"/>
        <v>1259</v>
      </c>
      <c r="AG31" s="16">
        <f t="shared" si="11"/>
        <v>458</v>
      </c>
      <c r="AH31" s="46">
        <f t="shared" si="43"/>
        <v>1717</v>
      </c>
      <c r="AJ31" s="32">
        <f t="shared" si="30"/>
        <v>0</v>
      </c>
      <c r="AK31" s="32">
        <f t="shared" si="30"/>
        <v>0</v>
      </c>
      <c r="AL31" s="32">
        <f t="shared" si="12"/>
        <v>0</v>
      </c>
      <c r="AN31" s="77">
        <f t="shared" si="13"/>
        <v>1717</v>
      </c>
      <c r="AQ31" s="7">
        <f t="shared" si="31"/>
        <v>2042</v>
      </c>
      <c r="AR31" s="49">
        <f t="shared" si="14"/>
        <v>1259</v>
      </c>
      <c r="AS31" s="46">
        <f t="shared" si="15"/>
        <v>458</v>
      </c>
      <c r="AT31" s="91">
        <f t="shared" si="16"/>
        <v>4.9000000000000002E-2</v>
      </c>
      <c r="AU31" s="16">
        <f t="shared" si="47"/>
        <v>0</v>
      </c>
      <c r="AV31" s="53">
        <f t="shared" si="17"/>
        <v>2.7519999999999998</v>
      </c>
      <c r="AW31" s="46">
        <f t="shared" si="18"/>
        <v>614</v>
      </c>
      <c r="AX31" s="91"/>
      <c r="AY31" s="92"/>
      <c r="AZ31" s="49">
        <f t="shared" si="32"/>
        <v>2331</v>
      </c>
      <c r="BA31" s="17"/>
      <c r="BB31" s="49">
        <v>0</v>
      </c>
      <c r="BC31" s="46">
        <v>0</v>
      </c>
      <c r="BD31" s="47">
        <f t="shared" si="33"/>
        <v>0</v>
      </c>
      <c r="BE31" s="49">
        <f t="shared" si="19"/>
        <v>2331</v>
      </c>
      <c r="BH31" s="7">
        <f t="shared" si="34"/>
        <v>2042</v>
      </c>
      <c r="BI31" s="46">
        <v>0</v>
      </c>
      <c r="BJ31" s="16">
        <f t="shared" si="20"/>
        <v>223</v>
      </c>
      <c r="BK31" s="87">
        <f t="shared" si="21"/>
        <v>11.522</v>
      </c>
      <c r="BL31" s="46">
        <f t="shared" si="44"/>
        <v>2569</v>
      </c>
      <c r="BM31" s="87">
        <f t="shared" si="22"/>
        <v>0.216</v>
      </c>
      <c r="BN31" s="16">
        <f t="shared" si="48"/>
        <v>0</v>
      </c>
      <c r="BO31" s="16"/>
      <c r="BP31" s="46">
        <f t="shared" si="23"/>
        <v>2569</v>
      </c>
      <c r="BR31" s="46">
        <f t="shared" si="49"/>
        <v>0</v>
      </c>
      <c r="BS31" s="46"/>
      <c r="BT31" s="46">
        <f t="shared" si="35"/>
        <v>2569</v>
      </c>
      <c r="BW31" s="7">
        <f t="shared" si="36"/>
        <v>2042</v>
      </c>
      <c r="BX31" s="46">
        <f t="shared" si="24"/>
        <v>1259</v>
      </c>
      <c r="BY31" s="16">
        <f t="shared" si="37"/>
        <v>458</v>
      </c>
      <c r="BZ31" s="116">
        <f t="shared" si="38"/>
        <v>0</v>
      </c>
      <c r="CA31" s="46">
        <f t="shared" si="39"/>
        <v>1717</v>
      </c>
      <c r="CC31" s="46">
        <f t="shared" si="40"/>
        <v>0</v>
      </c>
      <c r="CD31" s="46">
        <f t="shared" si="40"/>
        <v>0</v>
      </c>
      <c r="CE31" s="46">
        <f t="shared" si="41"/>
        <v>0</v>
      </c>
      <c r="CF31" s="46"/>
      <c r="CG31" s="46">
        <f t="shared" si="45"/>
        <v>1717</v>
      </c>
    </row>
    <row r="32" spans="1:106">
      <c r="E32" s="48" t="s">
        <v>103</v>
      </c>
      <c r="F32" s="138">
        <f>+'Total Program Inputs'!G19</f>
        <v>223</v>
      </c>
      <c r="G32" s="22"/>
      <c r="H32" s="22"/>
      <c r="J32" s="2">
        <f t="shared" si="25"/>
        <v>18</v>
      </c>
      <c r="L32" s="7">
        <f t="shared" si="26"/>
        <v>2043</v>
      </c>
      <c r="M32" s="16">
        <f t="shared" si="46"/>
        <v>223</v>
      </c>
      <c r="N32" s="53">
        <f t="shared" si="0"/>
        <v>5.8159999999999998</v>
      </c>
      <c r="O32" s="32">
        <f t="shared" si="1"/>
        <v>1297</v>
      </c>
      <c r="P32" s="53">
        <f t="shared" si="2"/>
        <v>0</v>
      </c>
      <c r="Q32" s="46">
        <f t="shared" si="27"/>
        <v>0</v>
      </c>
      <c r="R32" s="43">
        <f t="shared" si="3"/>
        <v>1297</v>
      </c>
      <c r="S32" s="42">
        <f t="shared" si="4"/>
        <v>2.2000000000000002</v>
      </c>
      <c r="T32" s="46">
        <f t="shared" si="5"/>
        <v>210</v>
      </c>
      <c r="U32" s="44">
        <f t="shared" si="42"/>
        <v>462</v>
      </c>
      <c r="V32" s="16">
        <f t="shared" si="28"/>
        <v>1759</v>
      </c>
      <c r="W32" s="45">
        <f t="shared" si="6"/>
        <v>1.954</v>
      </c>
      <c r="X32" s="46">
        <f t="shared" si="7"/>
        <v>344</v>
      </c>
      <c r="Y32" s="49">
        <v>0</v>
      </c>
      <c r="Z32" s="49">
        <v>0</v>
      </c>
      <c r="AA32" s="49">
        <f t="shared" si="8"/>
        <v>344</v>
      </c>
      <c r="AB32" s="49">
        <f t="shared" si="9"/>
        <v>1415</v>
      </c>
      <c r="AE32" s="7">
        <f t="shared" si="29"/>
        <v>2043</v>
      </c>
      <c r="AF32" s="46">
        <f t="shared" si="10"/>
        <v>1297</v>
      </c>
      <c r="AG32" s="16">
        <f t="shared" si="11"/>
        <v>462</v>
      </c>
      <c r="AH32" s="46">
        <f t="shared" si="43"/>
        <v>1759</v>
      </c>
      <c r="AJ32" s="32">
        <f t="shared" si="30"/>
        <v>0</v>
      </c>
      <c r="AK32" s="32">
        <f t="shared" si="30"/>
        <v>0</v>
      </c>
      <c r="AL32" s="32">
        <f t="shared" si="12"/>
        <v>0</v>
      </c>
      <c r="AN32" s="77">
        <f t="shared" si="13"/>
        <v>1759</v>
      </c>
      <c r="AQ32" s="7">
        <f t="shared" si="31"/>
        <v>2043</v>
      </c>
      <c r="AR32" s="49">
        <f t="shared" si="14"/>
        <v>1297</v>
      </c>
      <c r="AS32" s="46">
        <f t="shared" si="15"/>
        <v>462</v>
      </c>
      <c r="AT32" s="91">
        <f t="shared" si="16"/>
        <v>0.05</v>
      </c>
      <c r="AU32" s="16">
        <f t="shared" si="47"/>
        <v>0</v>
      </c>
      <c r="AV32" s="53">
        <f t="shared" si="17"/>
        <v>2.7989999999999999</v>
      </c>
      <c r="AW32" s="46">
        <f t="shared" si="18"/>
        <v>624</v>
      </c>
      <c r="AX32" s="91"/>
      <c r="AY32" s="92"/>
      <c r="AZ32" s="49">
        <f t="shared" si="32"/>
        <v>2383</v>
      </c>
      <c r="BA32" s="17"/>
      <c r="BB32" s="49">
        <v>0</v>
      </c>
      <c r="BC32" s="46">
        <v>0</v>
      </c>
      <c r="BD32" s="47">
        <f t="shared" si="33"/>
        <v>0</v>
      </c>
      <c r="BE32" s="49">
        <f t="shared" si="19"/>
        <v>2383</v>
      </c>
      <c r="BH32" s="7">
        <f t="shared" si="34"/>
        <v>2043</v>
      </c>
      <c r="BI32" s="46">
        <v>0</v>
      </c>
      <c r="BJ32" s="16">
        <f t="shared" si="20"/>
        <v>223</v>
      </c>
      <c r="BK32" s="87">
        <f t="shared" si="21"/>
        <v>11.868</v>
      </c>
      <c r="BL32" s="46">
        <f t="shared" si="44"/>
        <v>2647</v>
      </c>
      <c r="BM32" s="87">
        <f t="shared" si="22"/>
        <v>0.222</v>
      </c>
      <c r="BN32" s="16">
        <f t="shared" si="48"/>
        <v>0</v>
      </c>
      <c r="BO32" s="16"/>
      <c r="BP32" s="46">
        <f t="shared" si="23"/>
        <v>2647</v>
      </c>
      <c r="BR32" s="46">
        <f t="shared" si="49"/>
        <v>0</v>
      </c>
      <c r="BS32" s="46"/>
      <c r="BT32" s="46">
        <f t="shared" si="35"/>
        <v>2647</v>
      </c>
      <c r="BW32" s="7">
        <f t="shared" si="36"/>
        <v>2043</v>
      </c>
      <c r="BX32" s="46">
        <f t="shared" si="24"/>
        <v>1297</v>
      </c>
      <c r="BY32" s="16">
        <f t="shared" si="37"/>
        <v>462</v>
      </c>
      <c r="BZ32" s="116">
        <f t="shared" si="38"/>
        <v>0</v>
      </c>
      <c r="CA32" s="46">
        <f t="shared" si="39"/>
        <v>1759</v>
      </c>
      <c r="CC32" s="46">
        <f t="shared" si="40"/>
        <v>0</v>
      </c>
      <c r="CD32" s="46">
        <f t="shared" si="40"/>
        <v>0</v>
      </c>
      <c r="CE32" s="46">
        <f t="shared" si="41"/>
        <v>0</v>
      </c>
      <c r="CF32" s="46"/>
      <c r="CG32" s="46">
        <f t="shared" si="45"/>
        <v>1759</v>
      </c>
    </row>
    <row r="33" spans="1:87">
      <c r="A33" s="2" t="s">
        <v>75</v>
      </c>
      <c r="C33" s="11">
        <f>+'Gas Input Table Summary'!$E$22</f>
        <v>2.0699999999999998</v>
      </c>
      <c r="F33" s="250"/>
      <c r="G33" s="16"/>
      <c r="H33" s="16"/>
      <c r="J33" s="2">
        <f t="shared" si="25"/>
        <v>19</v>
      </c>
      <c r="L33" s="7">
        <f t="shared" si="26"/>
        <v>2044</v>
      </c>
      <c r="M33" s="16">
        <f t="shared" si="46"/>
        <v>223</v>
      </c>
      <c r="N33" s="53">
        <f t="shared" si="0"/>
        <v>5.99</v>
      </c>
      <c r="O33" s="32">
        <f t="shared" si="1"/>
        <v>1336</v>
      </c>
      <c r="P33" s="53">
        <f t="shared" si="2"/>
        <v>0</v>
      </c>
      <c r="Q33" s="46">
        <f t="shared" si="27"/>
        <v>0</v>
      </c>
      <c r="R33" s="43">
        <f t="shared" si="3"/>
        <v>1336</v>
      </c>
      <c r="S33" s="42">
        <f t="shared" si="4"/>
        <v>2.2000000000000002</v>
      </c>
      <c r="T33" s="46">
        <f t="shared" si="5"/>
        <v>212</v>
      </c>
      <c r="U33" s="44">
        <f t="shared" si="42"/>
        <v>466</v>
      </c>
      <c r="V33" s="16">
        <f t="shared" si="28"/>
        <v>1802</v>
      </c>
      <c r="W33" s="45">
        <f t="shared" si="6"/>
        <v>2.0129999999999999</v>
      </c>
      <c r="X33" s="46">
        <f t="shared" si="7"/>
        <v>355</v>
      </c>
      <c r="Y33" s="49">
        <v>0</v>
      </c>
      <c r="Z33" s="49">
        <v>0</v>
      </c>
      <c r="AA33" s="49">
        <f t="shared" si="8"/>
        <v>355</v>
      </c>
      <c r="AB33" s="49">
        <f t="shared" si="9"/>
        <v>1447</v>
      </c>
      <c r="AE33" s="7">
        <f t="shared" si="29"/>
        <v>2044</v>
      </c>
      <c r="AF33" s="46">
        <f t="shared" si="10"/>
        <v>1336</v>
      </c>
      <c r="AG33" s="16">
        <f t="shared" si="11"/>
        <v>466</v>
      </c>
      <c r="AH33" s="46">
        <f t="shared" si="43"/>
        <v>1802</v>
      </c>
      <c r="AJ33" s="32">
        <f t="shared" si="30"/>
        <v>0</v>
      </c>
      <c r="AK33" s="32">
        <f t="shared" si="30"/>
        <v>0</v>
      </c>
      <c r="AL33" s="32">
        <f t="shared" si="12"/>
        <v>0</v>
      </c>
      <c r="AN33" s="77">
        <f t="shared" si="13"/>
        <v>1802</v>
      </c>
      <c r="AQ33" s="7">
        <f t="shared" si="31"/>
        <v>2044</v>
      </c>
      <c r="AR33" s="49">
        <f t="shared" si="14"/>
        <v>1336</v>
      </c>
      <c r="AS33" s="46">
        <f t="shared" si="15"/>
        <v>466</v>
      </c>
      <c r="AT33" s="91">
        <f t="shared" si="16"/>
        <v>5.1999999999999998E-2</v>
      </c>
      <c r="AU33" s="16">
        <f t="shared" si="47"/>
        <v>0</v>
      </c>
      <c r="AV33" s="53">
        <f t="shared" si="17"/>
        <v>2.8460000000000001</v>
      </c>
      <c r="AW33" s="46">
        <f t="shared" si="18"/>
        <v>635</v>
      </c>
      <c r="AX33" s="91"/>
      <c r="AY33" s="92"/>
      <c r="AZ33" s="49">
        <f t="shared" si="32"/>
        <v>2437</v>
      </c>
      <c r="BA33" s="17"/>
      <c r="BB33" s="49">
        <v>0</v>
      </c>
      <c r="BC33" s="46">
        <v>0</v>
      </c>
      <c r="BD33" s="47">
        <f t="shared" si="33"/>
        <v>0</v>
      </c>
      <c r="BE33" s="49">
        <f t="shared" si="19"/>
        <v>2437</v>
      </c>
      <c r="BH33" s="7">
        <f t="shared" si="34"/>
        <v>2044</v>
      </c>
      <c r="BI33" s="46">
        <v>0</v>
      </c>
      <c r="BJ33" s="16">
        <f t="shared" si="20"/>
        <v>223</v>
      </c>
      <c r="BK33" s="87">
        <f t="shared" si="21"/>
        <v>12.224</v>
      </c>
      <c r="BL33" s="46">
        <f t="shared" si="44"/>
        <v>2726</v>
      </c>
      <c r="BM33" s="87">
        <f t="shared" si="22"/>
        <v>0.22900000000000001</v>
      </c>
      <c r="BN33" s="16">
        <f t="shared" si="48"/>
        <v>0</v>
      </c>
      <c r="BO33" s="16"/>
      <c r="BP33" s="46">
        <f t="shared" si="23"/>
        <v>2726</v>
      </c>
      <c r="BR33" s="46">
        <f t="shared" si="49"/>
        <v>0</v>
      </c>
      <c r="BS33" s="46"/>
      <c r="BT33" s="46">
        <f t="shared" si="35"/>
        <v>2726</v>
      </c>
      <c r="BW33" s="7">
        <f t="shared" si="36"/>
        <v>2044</v>
      </c>
      <c r="BX33" s="46">
        <f t="shared" si="24"/>
        <v>1336</v>
      </c>
      <c r="BY33" s="16">
        <f t="shared" si="37"/>
        <v>466</v>
      </c>
      <c r="BZ33" s="116">
        <f t="shared" si="38"/>
        <v>0</v>
      </c>
      <c r="CA33" s="46">
        <f t="shared" si="39"/>
        <v>1802</v>
      </c>
      <c r="CC33" s="46">
        <f t="shared" si="40"/>
        <v>0</v>
      </c>
      <c r="CD33" s="46">
        <f t="shared" si="40"/>
        <v>0</v>
      </c>
      <c r="CE33" s="46">
        <f t="shared" si="41"/>
        <v>0</v>
      </c>
      <c r="CF33" s="46"/>
      <c r="CG33" s="46">
        <f t="shared" si="45"/>
        <v>1802</v>
      </c>
    </row>
    <row r="34" spans="1:87">
      <c r="A34" s="3" t="s">
        <v>18</v>
      </c>
      <c r="C34" s="15">
        <f>+'Gas Input Table Summary'!$E$23</f>
        <v>1.6899999999999998E-2</v>
      </c>
      <c r="E34" s="2" t="s">
        <v>76</v>
      </c>
      <c r="F34" s="259">
        <f>ROUND('Database Inputs'!L17,0)</f>
        <v>300</v>
      </c>
      <c r="G34" s="135"/>
      <c r="H34" s="135"/>
      <c r="J34" s="2">
        <f t="shared" si="25"/>
        <v>20</v>
      </c>
      <c r="L34" s="7">
        <f t="shared" si="26"/>
        <v>2045</v>
      </c>
      <c r="M34" s="16">
        <f t="shared" si="46"/>
        <v>0</v>
      </c>
      <c r="N34" s="95">
        <f t="shared" si="0"/>
        <v>6.17</v>
      </c>
      <c r="O34" s="32">
        <f t="shared" si="1"/>
        <v>0</v>
      </c>
      <c r="P34" s="95">
        <f t="shared" si="2"/>
        <v>0</v>
      </c>
      <c r="Q34" s="49">
        <f t="shared" si="27"/>
        <v>0</v>
      </c>
      <c r="R34" s="96">
        <f t="shared" si="3"/>
        <v>0</v>
      </c>
      <c r="S34" s="97">
        <f t="shared" si="4"/>
        <v>0</v>
      </c>
      <c r="T34" s="49">
        <f t="shared" si="5"/>
        <v>214</v>
      </c>
      <c r="U34" s="99">
        <f t="shared" si="42"/>
        <v>0</v>
      </c>
      <c r="V34" s="16">
        <f t="shared" si="28"/>
        <v>0</v>
      </c>
      <c r="W34" s="87">
        <f t="shared" si="6"/>
        <v>2.073</v>
      </c>
      <c r="X34" s="49">
        <f t="shared" si="7"/>
        <v>0</v>
      </c>
      <c r="Y34" s="49">
        <v>0</v>
      </c>
      <c r="Z34" s="49">
        <v>0</v>
      </c>
      <c r="AA34" s="49">
        <f t="shared" si="8"/>
        <v>0</v>
      </c>
      <c r="AB34" s="49">
        <f t="shared" si="9"/>
        <v>0</v>
      </c>
      <c r="AE34" s="7">
        <f t="shared" si="29"/>
        <v>2045</v>
      </c>
      <c r="AF34" s="49">
        <f t="shared" si="10"/>
        <v>0</v>
      </c>
      <c r="AG34" s="16">
        <f t="shared" si="11"/>
        <v>0</v>
      </c>
      <c r="AH34" s="49">
        <f t="shared" si="43"/>
        <v>0</v>
      </c>
      <c r="AJ34" s="32">
        <f t="shared" si="30"/>
        <v>0</v>
      </c>
      <c r="AK34" s="32">
        <f t="shared" si="30"/>
        <v>0</v>
      </c>
      <c r="AL34" s="32">
        <f t="shared" si="12"/>
        <v>0</v>
      </c>
      <c r="AN34" s="179">
        <f t="shared" si="13"/>
        <v>0</v>
      </c>
      <c r="AQ34" s="7">
        <f t="shared" si="31"/>
        <v>2045</v>
      </c>
      <c r="AR34" s="49">
        <f t="shared" si="14"/>
        <v>0</v>
      </c>
      <c r="AS34" s="49">
        <f t="shared" si="15"/>
        <v>0</v>
      </c>
      <c r="AT34" s="98">
        <f t="shared" si="16"/>
        <v>5.2999999999999999E-2</v>
      </c>
      <c r="AU34" s="16">
        <f t="shared" si="47"/>
        <v>0</v>
      </c>
      <c r="AV34" s="95">
        <f t="shared" si="17"/>
        <v>2.8940000000000001</v>
      </c>
      <c r="AW34" s="49">
        <f t="shared" si="18"/>
        <v>0</v>
      </c>
      <c r="AX34" s="98"/>
      <c r="AY34" s="180"/>
      <c r="AZ34" s="49">
        <f t="shared" si="32"/>
        <v>0</v>
      </c>
      <c r="BA34" s="17"/>
      <c r="BB34" s="49">
        <v>0</v>
      </c>
      <c r="BC34" s="49">
        <v>0</v>
      </c>
      <c r="BD34" s="181">
        <f t="shared" si="33"/>
        <v>0</v>
      </c>
      <c r="BE34" s="49">
        <f t="shared" si="19"/>
        <v>0</v>
      </c>
      <c r="BH34" s="7">
        <f t="shared" si="34"/>
        <v>2045</v>
      </c>
      <c r="BI34" s="49">
        <v>0</v>
      </c>
      <c r="BJ34" s="16">
        <f t="shared" si="20"/>
        <v>0</v>
      </c>
      <c r="BK34" s="87">
        <f t="shared" si="21"/>
        <v>12.59</v>
      </c>
      <c r="BL34" s="49">
        <f t="shared" si="44"/>
        <v>0</v>
      </c>
      <c r="BM34" s="87">
        <f t="shared" si="22"/>
        <v>0.23599999999999999</v>
      </c>
      <c r="BN34" s="16">
        <f t="shared" si="48"/>
        <v>0</v>
      </c>
      <c r="BO34" s="16"/>
      <c r="BP34" s="49">
        <f t="shared" si="23"/>
        <v>0</v>
      </c>
      <c r="BR34" s="49">
        <f t="shared" si="49"/>
        <v>0</v>
      </c>
      <c r="BS34" s="49"/>
      <c r="BT34" s="49">
        <f t="shared" si="35"/>
        <v>0</v>
      </c>
      <c r="BW34" s="7">
        <f t="shared" si="36"/>
        <v>2045</v>
      </c>
      <c r="BX34" s="49">
        <f t="shared" si="24"/>
        <v>0</v>
      </c>
      <c r="BY34" s="16">
        <f t="shared" si="37"/>
        <v>0</v>
      </c>
      <c r="BZ34" s="116">
        <f t="shared" si="38"/>
        <v>0</v>
      </c>
      <c r="CA34" s="49">
        <f t="shared" si="39"/>
        <v>0</v>
      </c>
      <c r="CC34" s="49">
        <f t="shared" si="40"/>
        <v>0</v>
      </c>
      <c r="CD34" s="49">
        <f t="shared" si="40"/>
        <v>0</v>
      </c>
      <c r="CE34" s="49">
        <f t="shared" si="41"/>
        <v>0</v>
      </c>
      <c r="CF34" s="49"/>
      <c r="CG34" s="49">
        <f t="shared" si="45"/>
        <v>0</v>
      </c>
    </row>
    <row r="35" spans="1:87">
      <c r="A35" s="3"/>
      <c r="C35" s="15"/>
      <c r="E35" s="3"/>
      <c r="F35" s="22"/>
      <c r="G35" s="50"/>
      <c r="H35" s="50"/>
      <c r="J35" s="2">
        <f t="shared" si="25"/>
        <v>21</v>
      </c>
      <c r="L35" s="7">
        <f t="shared" si="26"/>
        <v>2046</v>
      </c>
      <c r="M35" s="16">
        <f t="shared" ref="M35:M36" si="50">ROUND(IF($C$47+$F$23&gt;L35,$F$25*$F$30,0)+IF($C$48+$G$23&gt;L35,$G$25*$G$30,0)+IF($C$49+$H$23&gt;L35,$H$25*$H$30,0),0)</f>
        <v>0</v>
      </c>
      <c r="N35" s="95">
        <f t="shared" ref="N35:N36" si="51">ROUND($C$17*(1+$C$18)^J35,3)</f>
        <v>6.3550000000000004</v>
      </c>
      <c r="O35" s="32">
        <f t="shared" ref="O35:O36" si="52">ROUND(M35*N35,0)</f>
        <v>0</v>
      </c>
      <c r="P35" s="95">
        <f t="shared" ref="P35:P36" si="53">ROUND($C$25*(1+$C$26)^J35,3)</f>
        <v>0</v>
      </c>
      <c r="Q35" s="49">
        <f t="shared" ref="Q35:Q36" si="54">ROUND(M35*P35,0)</f>
        <v>0</v>
      </c>
      <c r="R35" s="96">
        <f t="shared" ref="R35:R36" si="55">O35+Q35</f>
        <v>0</v>
      </c>
      <c r="S35" s="97">
        <f t="shared" ref="S35:S36" si="56">ROUND(M35*$C$23,1)</f>
        <v>0</v>
      </c>
      <c r="T35" s="49">
        <f t="shared" ref="T35:T36" si="57">ROUND($C$20*(1+$C$21)^J35,0)</f>
        <v>216</v>
      </c>
      <c r="U35" s="99">
        <f t="shared" ref="U35:U36" si="58">ROUND(S35*T35,0)</f>
        <v>0</v>
      </c>
      <c r="V35" s="16">
        <f t="shared" ref="V35:V36" si="59">ROUND(+U35+R35,0)</f>
        <v>0</v>
      </c>
      <c r="W35" s="87">
        <f t="shared" ref="W35:W36" si="60">ROUND($H$36*(1+$C$11)^J35,3)</f>
        <v>2.1360000000000001</v>
      </c>
      <c r="X35" s="49">
        <f t="shared" ref="X35:X36" si="61">ROUND((1-$H$38)*(W35*M35),0)</f>
        <v>0</v>
      </c>
      <c r="Y35" s="49">
        <v>0</v>
      </c>
      <c r="Z35" s="49">
        <v>0</v>
      </c>
      <c r="AA35" s="49">
        <f t="shared" ref="AA35:AA36" si="62">SUM(X35:Z35)</f>
        <v>0</v>
      </c>
      <c r="AB35" s="49">
        <f t="shared" ref="AB35:AB36" si="63">V35-AA35</f>
        <v>0</v>
      </c>
      <c r="AE35" s="7">
        <f t="shared" si="29"/>
        <v>2046</v>
      </c>
      <c r="AF35" s="49">
        <f t="shared" ref="AF35:AF36" si="64">+R35</f>
        <v>0</v>
      </c>
      <c r="AG35" s="16">
        <f t="shared" ref="AG35:AG36" si="65">+U35</f>
        <v>0</v>
      </c>
      <c r="AH35" s="49">
        <f t="shared" ref="AH35:AH36" si="66">+AG35+AF35</f>
        <v>0</v>
      </c>
      <c r="AJ35" s="32">
        <f t="shared" ref="AJ35:AJ36" si="67">ROUND(Y35,0)</f>
        <v>0</v>
      </c>
      <c r="AK35" s="32">
        <f t="shared" ref="AK35:AK36" si="68">ROUND(Z35,0)</f>
        <v>0</v>
      </c>
      <c r="AL35" s="32">
        <f t="shared" ref="AL35:AL36" si="69">SUM(AJ35:AK35)</f>
        <v>0</v>
      </c>
      <c r="AN35" s="179">
        <f t="shared" ref="AN35:AN36" si="70">+AH35-AL35</f>
        <v>0</v>
      </c>
      <c r="AQ35" s="7">
        <f t="shared" si="31"/>
        <v>2046</v>
      </c>
      <c r="AR35" s="49">
        <f t="shared" ref="AR35:AR36" si="71">AF35</f>
        <v>0</v>
      </c>
      <c r="AS35" s="49">
        <f t="shared" ref="AS35:AS36" si="72">+AG35</f>
        <v>0</v>
      </c>
      <c r="AT35" s="98">
        <f t="shared" ref="AT35:AT36" si="73">ROUND(($C$28/(1-$C$31))*(1+$C$29)^J35,3)</f>
        <v>5.5E-2</v>
      </c>
      <c r="AU35" s="16">
        <f t="shared" ref="AU35:AU36" si="74">ROUND((IF($C$47+$F$23&gt;$AQ35,$F$27*$F$30,0)+IF($C$48+$G$23&gt;AQ35,$G$27*$G$30,0)+IF($C$49+$H$23&gt;AQ35,$H$27*$H$30,0))*AT35,0)</f>
        <v>0</v>
      </c>
      <c r="AV35" s="95">
        <f t="shared" ref="AV35:AV36" si="75">ROUND($C$33*(1+$C$34)^J35,3)</f>
        <v>2.9430000000000001</v>
      </c>
      <c r="AW35" s="49">
        <f t="shared" ref="AW35:AW36" si="76">ROUND(AV35*M35,0)</f>
        <v>0</v>
      </c>
      <c r="AX35" s="98"/>
      <c r="AY35" s="180"/>
      <c r="AZ35" s="49">
        <f t="shared" ref="AZ35:AZ36" si="77">ROUND(AR35+AS35+AU35+AW35+AY35,0)</f>
        <v>0</v>
      </c>
      <c r="BA35" s="17"/>
      <c r="BB35" s="49">
        <v>0</v>
      </c>
      <c r="BC35" s="49">
        <v>0</v>
      </c>
      <c r="BD35" s="181">
        <f t="shared" ref="BD35:BD36" si="78">BB35+BC35</f>
        <v>0</v>
      </c>
      <c r="BE35" s="49">
        <f t="shared" ref="BE35:BE36" si="79">AZ35-BD35</f>
        <v>0</v>
      </c>
      <c r="BH35" s="7">
        <f t="shared" si="34"/>
        <v>2046</v>
      </c>
      <c r="BI35" s="49">
        <v>0</v>
      </c>
      <c r="BJ35" s="16">
        <f t="shared" ref="BJ35:BJ36" si="80">+M35</f>
        <v>0</v>
      </c>
      <c r="BK35" s="87">
        <f t="shared" ref="BK35:BK36" si="81">ROUND($C$10*(1+$C$11)^J35,3)</f>
        <v>12.968</v>
      </c>
      <c r="BL35" s="49">
        <f t="shared" ref="BL35:BL36" si="82">ROUND(BJ35*BK35,0)</f>
        <v>0</v>
      </c>
      <c r="BM35" s="87">
        <f t="shared" ref="BM35:BM36" si="83">ROUND($C$13*(1+$C$14)^J35,3)</f>
        <v>0.24299999999999999</v>
      </c>
      <c r="BN35" s="16">
        <f t="shared" ref="BN35:BN36" si="84">ROUND((IF($C$47+$F$23&gt;BH35,$F$27*$F$30,0)+IF($C$49+$H$23&gt;BH35,$H$27*$H$30,0)+IF($C$48+$G$23&gt;BH35,$G$27*$G$30,0))*BM35,0)</f>
        <v>0</v>
      </c>
      <c r="BO35" s="16"/>
      <c r="BP35" s="49">
        <f t="shared" ref="BP35:BP36" si="85">BI35+BL35+BN35+BO35</f>
        <v>0</v>
      </c>
      <c r="BR35" s="49">
        <f t="shared" ref="BR35:BR36" si="86">+BC35</f>
        <v>0</v>
      </c>
      <c r="BS35" s="49"/>
      <c r="BT35" s="49">
        <f t="shared" ref="BT35:BT36" si="87">BP35-BR35</f>
        <v>0</v>
      </c>
      <c r="BW35" s="7">
        <f t="shared" si="36"/>
        <v>2046</v>
      </c>
      <c r="BX35" s="49">
        <f t="shared" si="24"/>
        <v>0</v>
      </c>
      <c r="BY35" s="16">
        <f t="shared" ref="BY35:BY36" si="88">U35</f>
        <v>0</v>
      </c>
      <c r="BZ35" s="116">
        <f t="shared" ref="BZ35:BZ36" si="89">AU35</f>
        <v>0</v>
      </c>
      <c r="CA35" s="49">
        <f t="shared" ref="CA35:CA36" si="90">SUM(BX35:BZ35)</f>
        <v>0</v>
      </c>
      <c r="CC35" s="49">
        <f t="shared" ref="CC35:CC36" si="91">BB35</f>
        <v>0</v>
      </c>
      <c r="CD35" s="49">
        <f t="shared" ref="CD35:CD36" si="92">BC35</f>
        <v>0</v>
      </c>
      <c r="CE35" s="49">
        <f t="shared" ref="CE35:CE36" si="93">SUM(CC35:CD35)</f>
        <v>0</v>
      </c>
      <c r="CF35" s="49"/>
      <c r="CG35" s="49">
        <f t="shared" ref="CG35:CG36" si="94">CA35-CE35</f>
        <v>0</v>
      </c>
    </row>
    <row r="36" spans="1:87">
      <c r="A36" s="3" t="s">
        <v>77</v>
      </c>
      <c r="C36" s="11">
        <f>+'Gas Input Table Summary'!$E$24</f>
        <v>0</v>
      </c>
      <c r="E36" s="3" t="s">
        <v>91</v>
      </c>
      <c r="F36" s="27"/>
      <c r="H36" s="30">
        <f>+'Gas Input Table Summary'!E58</f>
        <v>1.1479999999999999</v>
      </c>
      <c r="J36" s="2">
        <f t="shared" si="25"/>
        <v>22</v>
      </c>
      <c r="L36" s="7">
        <f t="shared" si="26"/>
        <v>2047</v>
      </c>
      <c r="M36" s="33">
        <f t="shared" si="50"/>
        <v>0</v>
      </c>
      <c r="N36" s="53">
        <f t="shared" si="51"/>
        <v>6.5449999999999999</v>
      </c>
      <c r="O36" s="32">
        <f t="shared" si="52"/>
        <v>0</v>
      </c>
      <c r="P36" s="95">
        <f t="shared" si="53"/>
        <v>0</v>
      </c>
      <c r="Q36" s="49">
        <f t="shared" si="54"/>
        <v>0</v>
      </c>
      <c r="R36" s="96">
        <f t="shared" si="55"/>
        <v>0</v>
      </c>
      <c r="S36" s="97">
        <f t="shared" si="56"/>
        <v>0</v>
      </c>
      <c r="T36" s="49">
        <f t="shared" si="57"/>
        <v>218</v>
      </c>
      <c r="U36" s="99">
        <f t="shared" si="58"/>
        <v>0</v>
      </c>
      <c r="V36" s="33">
        <f t="shared" si="59"/>
        <v>0</v>
      </c>
      <c r="W36" s="45">
        <f t="shared" si="60"/>
        <v>2.2000000000000002</v>
      </c>
      <c r="X36" s="49">
        <f t="shared" si="61"/>
        <v>0</v>
      </c>
      <c r="Y36" s="49">
        <v>0</v>
      </c>
      <c r="Z36" s="49">
        <v>0</v>
      </c>
      <c r="AA36" s="54">
        <f t="shared" si="62"/>
        <v>0</v>
      </c>
      <c r="AB36" s="54">
        <f t="shared" si="63"/>
        <v>0</v>
      </c>
      <c r="AE36" s="7">
        <f t="shared" si="29"/>
        <v>2047</v>
      </c>
      <c r="AF36" s="49">
        <f t="shared" si="64"/>
        <v>0</v>
      </c>
      <c r="AG36" s="16">
        <f t="shared" si="65"/>
        <v>0</v>
      </c>
      <c r="AH36" s="54">
        <f t="shared" si="66"/>
        <v>0</v>
      </c>
      <c r="AJ36" s="32">
        <f t="shared" si="67"/>
        <v>0</v>
      </c>
      <c r="AK36" s="32">
        <f t="shared" si="68"/>
        <v>0</v>
      </c>
      <c r="AL36" s="34">
        <f t="shared" si="69"/>
        <v>0</v>
      </c>
      <c r="AN36" s="78">
        <f t="shared" si="70"/>
        <v>0</v>
      </c>
      <c r="AQ36" s="7">
        <f t="shared" si="31"/>
        <v>2047</v>
      </c>
      <c r="AR36" s="49">
        <f t="shared" si="71"/>
        <v>0</v>
      </c>
      <c r="AS36" s="49">
        <f t="shared" si="72"/>
        <v>0</v>
      </c>
      <c r="AT36" s="98">
        <f t="shared" si="73"/>
        <v>5.7000000000000002E-2</v>
      </c>
      <c r="AU36" s="16">
        <f t="shared" si="74"/>
        <v>0</v>
      </c>
      <c r="AV36" s="95">
        <f t="shared" si="75"/>
        <v>2.9929999999999999</v>
      </c>
      <c r="AW36" s="49">
        <f t="shared" si="76"/>
        <v>0</v>
      </c>
      <c r="AX36" s="91"/>
      <c r="AY36" s="93"/>
      <c r="AZ36" s="54">
        <f t="shared" si="77"/>
        <v>0</v>
      </c>
      <c r="BA36" s="17"/>
      <c r="BB36" s="49">
        <v>0</v>
      </c>
      <c r="BC36" s="49">
        <v>0</v>
      </c>
      <c r="BD36" s="55">
        <f t="shared" si="78"/>
        <v>0</v>
      </c>
      <c r="BE36" s="54">
        <f t="shared" si="79"/>
        <v>0</v>
      </c>
      <c r="BH36" s="7">
        <f t="shared" si="34"/>
        <v>2047</v>
      </c>
      <c r="BI36" s="49">
        <v>0</v>
      </c>
      <c r="BJ36" s="33">
        <f t="shared" si="80"/>
        <v>0</v>
      </c>
      <c r="BK36" s="87">
        <f t="shared" si="81"/>
        <v>13.356999999999999</v>
      </c>
      <c r="BL36" s="49">
        <f t="shared" si="82"/>
        <v>0</v>
      </c>
      <c r="BM36" s="87">
        <f t="shared" si="83"/>
        <v>0.25</v>
      </c>
      <c r="BN36" s="16">
        <f t="shared" si="84"/>
        <v>0</v>
      </c>
      <c r="BO36" s="33"/>
      <c r="BP36" s="54">
        <f t="shared" si="85"/>
        <v>0</v>
      </c>
      <c r="BR36" s="54">
        <f t="shared" si="86"/>
        <v>0</v>
      </c>
      <c r="BS36" s="54"/>
      <c r="BT36" s="54">
        <f t="shared" si="87"/>
        <v>0</v>
      </c>
      <c r="BW36" s="7">
        <f t="shared" si="36"/>
        <v>2047</v>
      </c>
      <c r="BX36" s="49">
        <f t="shared" si="24"/>
        <v>0</v>
      </c>
      <c r="BY36" s="16">
        <f t="shared" si="88"/>
        <v>0</v>
      </c>
      <c r="BZ36" s="116">
        <f t="shared" si="89"/>
        <v>0</v>
      </c>
      <c r="CA36" s="54">
        <f t="shared" si="90"/>
        <v>0</v>
      </c>
      <c r="CC36" s="54">
        <f t="shared" si="91"/>
        <v>0</v>
      </c>
      <c r="CD36" s="54">
        <f t="shared" si="92"/>
        <v>0</v>
      </c>
      <c r="CE36" s="54">
        <f t="shared" si="93"/>
        <v>0</v>
      </c>
      <c r="CF36" s="54"/>
      <c r="CG36" s="54">
        <f t="shared" si="94"/>
        <v>0</v>
      </c>
    </row>
    <row r="37" spans="1:87">
      <c r="A37" s="2" t="s">
        <v>47</v>
      </c>
      <c r="C37" s="15">
        <f>+'Gas Input Table Summary'!$E$25</f>
        <v>0</v>
      </c>
      <c r="F37" s="16"/>
      <c r="M37" s="5"/>
      <c r="N37" s="2"/>
      <c r="R37" s="24"/>
      <c r="T37" s="18"/>
      <c r="V37" s="5"/>
      <c r="AA37" s="5"/>
      <c r="AB37" s="5"/>
      <c r="AF37" s="5"/>
      <c r="AH37" s="5"/>
      <c r="AN37" s="5"/>
      <c r="AR37" s="5"/>
      <c r="AU37" s="47"/>
      <c r="AW37" s="47"/>
      <c r="AY37" s="47"/>
      <c r="AZ37" s="47"/>
      <c r="BC37" s="16"/>
      <c r="BG37" s="7"/>
      <c r="BJ37" s="23"/>
      <c r="BP37" s="5"/>
      <c r="BT37" s="5"/>
      <c r="BV37" s="7"/>
      <c r="BY37" s="23"/>
      <c r="CA37" s="5"/>
      <c r="CG37" s="5"/>
    </row>
    <row r="38" spans="1:87">
      <c r="C38" s="15"/>
      <c r="E38" s="51" t="s">
        <v>98</v>
      </c>
      <c r="H38" s="128">
        <f>+'Gas Input Table Summary'!E59</f>
        <v>0.21</v>
      </c>
      <c r="J38" s="24"/>
      <c r="K38" s="2" t="s">
        <v>212</v>
      </c>
      <c r="M38" s="16">
        <f>SUM(M14:M36)</f>
        <v>4460</v>
      </c>
      <c r="N38" s="2"/>
      <c r="R38" s="24"/>
      <c r="S38" s="12"/>
      <c r="T38" s="18"/>
      <c r="V38" s="12">
        <f>SUM(V14:V36)</f>
        <v>28970</v>
      </c>
      <c r="X38" s="12"/>
      <c r="Y38" s="12"/>
      <c r="Z38" s="12"/>
      <c r="AA38" s="12">
        <f>SUM(AA14:AA36)</f>
        <v>9047</v>
      </c>
      <c r="AB38" s="12">
        <f>SUM(AB14:AB36)</f>
        <v>19923</v>
      </c>
      <c r="AD38" s="3" t="s">
        <v>78</v>
      </c>
      <c r="AE38" s="16"/>
      <c r="AF38" s="12"/>
      <c r="AG38" s="12"/>
      <c r="AH38" s="12">
        <f>SUM(AH14:AH36)</f>
        <v>28970</v>
      </c>
      <c r="AL38" s="12">
        <f>SUM(AL14:AL36)</f>
        <v>3612</v>
      </c>
      <c r="AN38" s="12">
        <f>SUM(AN14:AN36)</f>
        <v>25358</v>
      </c>
      <c r="AP38" s="3" t="s">
        <v>78</v>
      </c>
      <c r="AQ38" s="16"/>
      <c r="AR38" s="12"/>
      <c r="AS38" s="12"/>
      <c r="AU38" s="46"/>
      <c r="AW38" s="46"/>
      <c r="AY38" s="46"/>
      <c r="AZ38" s="94">
        <f>SUM(AZ14:AZ36)</f>
        <v>39847</v>
      </c>
      <c r="BB38" s="12"/>
      <c r="BC38" s="12"/>
      <c r="BD38" s="12">
        <f>SUM(BD14:BD36)</f>
        <v>7536</v>
      </c>
      <c r="BE38" s="12">
        <f>SUM(BE14:BE36)</f>
        <v>32311</v>
      </c>
      <c r="BG38" s="3" t="s">
        <v>212</v>
      </c>
      <c r="BI38" s="12"/>
      <c r="BJ38" s="16">
        <f>SUM(BJ14:BJ36)</f>
        <v>4460</v>
      </c>
      <c r="BK38" s="18"/>
      <c r="BL38" s="12"/>
      <c r="BN38" s="12"/>
      <c r="BO38" s="12"/>
      <c r="BP38" s="12">
        <f>SUM(BP14:BP36)</f>
        <v>44470</v>
      </c>
      <c r="BR38" s="12">
        <f>SUM(BR14:BR36)</f>
        <v>6624</v>
      </c>
      <c r="BS38" s="12"/>
      <c r="BT38" s="12">
        <f>SUM(BT14:BT36)</f>
        <v>37846</v>
      </c>
      <c r="BX38" s="12"/>
      <c r="BY38" s="16"/>
      <c r="BZ38" s="3" t="s">
        <v>212</v>
      </c>
      <c r="CA38" s="12">
        <f>SUM(CA14:CA36)</f>
        <v>28970</v>
      </c>
      <c r="CC38" s="12"/>
      <c r="CD38" s="12"/>
      <c r="CE38" s="12">
        <f>SUM(CE14:CE36)</f>
        <v>7536</v>
      </c>
      <c r="CF38" s="12"/>
      <c r="CG38" s="12">
        <f>SUM(CG14:CG36)</f>
        <v>21434</v>
      </c>
    </row>
    <row r="39" spans="1:87">
      <c r="A39" s="3" t="s">
        <v>79</v>
      </c>
      <c r="C39" s="13">
        <f>+'Gas Input Table Summary'!$E$26</f>
        <v>9.8699999999999996E-2</v>
      </c>
      <c r="E39" s="119" t="s">
        <v>227</v>
      </c>
      <c r="M39" s="16"/>
      <c r="N39" s="2"/>
      <c r="R39" s="24"/>
      <c r="S39" s="52"/>
      <c r="T39" s="5" t="s">
        <v>80</v>
      </c>
      <c r="V39" s="52">
        <f>ROUND(V14+NPV($C$41,V15:V36),0)</f>
        <v>15567</v>
      </c>
      <c r="X39" s="12"/>
      <c r="Y39" s="12"/>
      <c r="Z39" s="12"/>
      <c r="AA39" s="12">
        <f>ROUND(AA14+NPV($C$41,AA15:AA36),0)</f>
        <v>6495</v>
      </c>
      <c r="AB39" s="12">
        <f>ROUND(AB14+NPV($C$41,AB15:AB36),0)</f>
        <v>9072</v>
      </c>
      <c r="AF39" s="12"/>
      <c r="AG39" s="3" t="s">
        <v>80</v>
      </c>
      <c r="AH39" s="12">
        <f>ROUND(AH14+NPV($C$41,AH15:AH36),0)</f>
        <v>15567</v>
      </c>
      <c r="AL39" s="12">
        <f>ROUND(AL14+NPV($C$41,AL15:AL36),0)</f>
        <v>3612</v>
      </c>
      <c r="AN39" s="12">
        <f>+AH39-AL39</f>
        <v>11955</v>
      </c>
      <c r="AR39" s="12"/>
      <c r="AS39" s="12"/>
      <c r="AU39" s="46"/>
      <c r="AW39" s="3" t="s">
        <v>80</v>
      </c>
      <c r="AY39" s="46"/>
      <c r="AZ39" s="12">
        <f>ROUND(AZ14+NPV($C$43,AZ15:AZ36),0)</f>
        <v>31881</v>
      </c>
      <c r="BB39" s="12"/>
      <c r="BC39" s="12"/>
      <c r="BD39" s="12">
        <f>ROUND(BD14+NPV($C$43,BD15:BD36),0)</f>
        <v>7536</v>
      </c>
      <c r="BE39" s="12">
        <f>AZ39-BD39</f>
        <v>24345</v>
      </c>
      <c r="BG39" s="7"/>
      <c r="BI39" s="12"/>
      <c r="BL39" s="12"/>
      <c r="BN39" s="12" t="s">
        <v>205</v>
      </c>
      <c r="BO39" s="12"/>
      <c r="BP39" s="12">
        <f>ROUND(BP14+NPV($C$39,BP15:BP36),0)</f>
        <v>20727</v>
      </c>
      <c r="BR39" s="12">
        <f>ROUND(BR14+NPV($C$39,BR15:BR36),0)</f>
        <v>6624</v>
      </c>
      <c r="BS39" s="12"/>
      <c r="BT39" s="16">
        <f>ROUND(BT14+NPV($C$39,BT15:BT36),0)</f>
        <v>14103</v>
      </c>
      <c r="BV39" s="7"/>
      <c r="BX39" s="12"/>
      <c r="BZ39" s="12" t="s">
        <v>205</v>
      </c>
      <c r="CA39" s="12">
        <f>ROUND(CA14+NPV($C$41,CA15:CA36),0)</f>
        <v>15567</v>
      </c>
      <c r="CC39" s="12"/>
      <c r="CD39" s="12"/>
      <c r="CE39" s="12">
        <f>ROUND(CE14+NPV($C$41,CE15:CE36),0)</f>
        <v>7536</v>
      </c>
      <c r="CF39" s="12"/>
      <c r="CG39" s="16">
        <f>ROUND(CG14+NPV($C$41,CG15:CG36),0)</f>
        <v>8031</v>
      </c>
    </row>
    <row r="40" spans="1:87">
      <c r="A40" s="3"/>
      <c r="C40" s="13"/>
      <c r="F40" s="16"/>
      <c r="M40" s="16"/>
      <c r="N40" s="2"/>
      <c r="R40" s="24"/>
      <c r="T40" s="18"/>
      <c r="V40" s="16"/>
      <c r="X40" s="3" t="s">
        <v>81</v>
      </c>
      <c r="Z40" s="16"/>
      <c r="AA40" s="16"/>
      <c r="AB40" s="16"/>
      <c r="AF40" s="16"/>
      <c r="AH40" s="16"/>
      <c r="AI40" s="16"/>
      <c r="AR40" s="16"/>
      <c r="AY40" s="16"/>
      <c r="AZ40" s="16"/>
      <c r="BA40" s="16"/>
      <c r="BB40" s="16"/>
      <c r="BC40" s="16"/>
      <c r="BD40" s="16"/>
      <c r="BE40" s="16"/>
      <c r="BF40" s="16"/>
      <c r="BG40" s="7"/>
      <c r="BI40" s="12"/>
      <c r="BP40" s="16"/>
      <c r="BS40" s="16"/>
      <c r="BU40" s="16"/>
      <c r="BV40" s="7"/>
      <c r="BX40" s="12"/>
      <c r="CA40" s="16"/>
      <c r="CF40" s="16"/>
    </row>
    <row r="41" spans="1:87">
      <c r="A41" s="3" t="s">
        <v>82</v>
      </c>
      <c r="C41" s="13">
        <f>+'Gas Input Table Summary'!$E$27</f>
        <v>7.0099999999999996E-2</v>
      </c>
      <c r="E41" s="39" t="s">
        <v>88</v>
      </c>
      <c r="F41" s="40" t="s">
        <v>89</v>
      </c>
      <c r="G41" s="41" t="s">
        <v>90</v>
      </c>
      <c r="K41" s="3" t="s">
        <v>83</v>
      </c>
      <c r="M41" s="16"/>
      <c r="N41" s="12">
        <f>AB39</f>
        <v>9072</v>
      </c>
      <c r="Q41" s="12"/>
      <c r="R41" s="24"/>
      <c r="T41" s="18"/>
      <c r="U41" s="18"/>
      <c r="V41" s="16"/>
      <c r="X41" s="3" t="s">
        <v>81</v>
      </c>
      <c r="Z41" s="16"/>
      <c r="AA41" s="16"/>
      <c r="AB41" s="16"/>
      <c r="AD41" s="3" t="s">
        <v>83</v>
      </c>
      <c r="AF41" s="16"/>
      <c r="AG41" s="12">
        <f>AN39</f>
        <v>11955</v>
      </c>
      <c r="AH41" s="12"/>
      <c r="AI41" s="16"/>
      <c r="AM41" s="16"/>
      <c r="AP41" s="3" t="s">
        <v>83</v>
      </c>
      <c r="AR41" s="16"/>
      <c r="AS41" s="12">
        <f>BE39</f>
        <v>24345</v>
      </c>
      <c r="AU41" s="12"/>
      <c r="AW41" s="12"/>
      <c r="AY41" s="16"/>
      <c r="AZ41" s="16"/>
      <c r="BA41" s="25"/>
      <c r="BB41" s="16"/>
      <c r="BC41" s="16"/>
      <c r="BD41" s="16"/>
      <c r="BF41" s="16"/>
      <c r="BG41" s="3" t="s">
        <v>83</v>
      </c>
      <c r="BJ41" s="12">
        <f>BT39</f>
        <v>14103</v>
      </c>
      <c r="BK41" s="12"/>
      <c r="BP41" s="16"/>
      <c r="BS41" s="16"/>
      <c r="BT41" s="16"/>
      <c r="BU41" s="16"/>
      <c r="BV41" s="3" t="s">
        <v>83</v>
      </c>
      <c r="BY41" s="12">
        <f>CG39</f>
        <v>8031</v>
      </c>
      <c r="BZ41" s="12"/>
      <c r="CA41" s="16"/>
      <c r="CF41" s="16"/>
      <c r="CG41" s="16"/>
    </row>
    <row r="42" spans="1:87" ht="13.5" thickBot="1">
      <c r="E42" s="121" t="s">
        <v>5</v>
      </c>
      <c r="F42" s="122">
        <f>N41</f>
        <v>9072</v>
      </c>
      <c r="G42" s="123">
        <f>N42</f>
        <v>2.4</v>
      </c>
      <c r="K42" s="3" t="s">
        <v>84</v>
      </c>
      <c r="N42" s="90">
        <f>ROUND(V39/AA39,2)</f>
        <v>2.4</v>
      </c>
      <c r="Q42" s="18"/>
      <c r="R42" s="24"/>
      <c r="AB42" s="16"/>
      <c r="AD42" s="3" t="s">
        <v>84</v>
      </c>
      <c r="AF42" s="18"/>
      <c r="AG42" s="35">
        <f>ROUND(AH39/AL39,2)</f>
        <v>4.3099999999999996</v>
      </c>
      <c r="AH42" s="18"/>
      <c r="AP42" s="3" t="s">
        <v>84</v>
      </c>
      <c r="AR42" s="18"/>
      <c r="AS42" s="35">
        <f>ROUND(AZ39/BD39,2)</f>
        <v>4.2300000000000004</v>
      </c>
      <c r="AU42" s="18"/>
      <c r="AW42" s="18"/>
      <c r="AZ42" s="2"/>
      <c r="BD42" s="16"/>
      <c r="BG42" s="3" t="s">
        <v>84</v>
      </c>
      <c r="BJ42" s="35">
        <f>ROUND(BP39/BR39,2)</f>
        <v>3.13</v>
      </c>
      <c r="BK42" s="18"/>
      <c r="BV42" s="3" t="s">
        <v>84</v>
      </c>
      <c r="BY42" s="35">
        <f>ROUND(CA39/CE39,2)</f>
        <v>2.0699999999999998</v>
      </c>
      <c r="BZ42" s="18"/>
    </row>
    <row r="43" spans="1:87" ht="13.5" thickTop="1">
      <c r="A43" s="2" t="s">
        <v>85</v>
      </c>
      <c r="C43" s="13">
        <f>+'Gas Input Table Summary'!$E$28</f>
        <v>2.29E-2</v>
      </c>
      <c r="E43" s="37" t="s">
        <v>6</v>
      </c>
      <c r="F43" s="12">
        <f>AG41</f>
        <v>11955</v>
      </c>
      <c r="G43" s="120">
        <f>AG42</f>
        <v>4.3099999999999996</v>
      </c>
      <c r="J43" s="74"/>
      <c r="K43" s="75"/>
      <c r="L43" s="74"/>
      <c r="M43" s="74"/>
      <c r="N43" s="74"/>
      <c r="O43" s="74"/>
      <c r="Q43" s="74"/>
      <c r="R43" s="76"/>
      <c r="S43" s="74"/>
      <c r="T43" s="74"/>
      <c r="U43" s="74"/>
      <c r="V43" s="74"/>
      <c r="W43" s="74"/>
      <c r="X43" s="74"/>
      <c r="AB43" s="16"/>
      <c r="AD43" s="3"/>
      <c r="AM43" s="26"/>
      <c r="AN43" s="3"/>
      <c r="AP43" s="3"/>
      <c r="AZ43" s="2"/>
      <c r="BB43" s="26"/>
      <c r="BE43" s="3"/>
      <c r="BG43" s="7"/>
      <c r="BV43" s="7"/>
      <c r="CI43" s="17"/>
    </row>
    <row r="44" spans="1:87">
      <c r="E44" s="38" t="s">
        <v>7</v>
      </c>
      <c r="F44" s="12">
        <f>AS41</f>
        <v>24345</v>
      </c>
      <c r="G44" s="120">
        <f>AS42</f>
        <v>4.2300000000000004</v>
      </c>
      <c r="J44" s="57" t="s">
        <v>125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AB44" s="16"/>
      <c r="AZ44" s="2"/>
      <c r="BD44" s="7"/>
      <c r="BV44" s="57" t="s">
        <v>125</v>
      </c>
      <c r="BW44" s="58"/>
      <c r="BX44" s="66"/>
      <c r="BY44" s="66"/>
      <c r="BZ44" s="67"/>
      <c r="CI44" s="17"/>
    </row>
    <row r="45" spans="1:87">
      <c r="A45" s="3" t="s">
        <v>86</v>
      </c>
      <c r="C45" s="136">
        <f>+'Gas Input Table Summary'!$E$29</f>
        <v>2025</v>
      </c>
      <c r="E45" s="37" t="s">
        <v>8</v>
      </c>
      <c r="F45" s="12">
        <f>BJ41</f>
        <v>14103</v>
      </c>
      <c r="G45" s="120">
        <f>BJ42</f>
        <v>3.13</v>
      </c>
      <c r="J45" s="68" t="s">
        <v>48</v>
      </c>
      <c r="K45" s="69" t="s">
        <v>122</v>
      </c>
      <c r="L45" s="70"/>
      <c r="M45" s="70"/>
      <c r="N45" s="70"/>
      <c r="O45" s="70"/>
      <c r="P45" s="70"/>
      <c r="Q45" s="70"/>
      <c r="R45" s="70"/>
      <c r="S45" s="70"/>
      <c r="T45" s="71" t="s">
        <v>56</v>
      </c>
      <c r="U45" s="69" t="s">
        <v>143</v>
      </c>
      <c r="V45" s="70"/>
      <c r="W45" s="70"/>
      <c r="X45" s="72"/>
      <c r="AB45" s="16"/>
      <c r="AD45" s="57" t="s">
        <v>125</v>
      </c>
      <c r="AE45" s="58"/>
      <c r="AF45" s="66"/>
      <c r="AG45" s="66"/>
      <c r="AH45" s="67"/>
      <c r="AI45" s="67"/>
      <c r="AJ45" s="67"/>
      <c r="AK45" s="67"/>
      <c r="AN45" s="3"/>
      <c r="AP45" s="57" t="s">
        <v>125</v>
      </c>
      <c r="AQ45" s="58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7"/>
      <c r="BG45" s="57" t="s">
        <v>125</v>
      </c>
      <c r="BH45" s="58"/>
      <c r="BI45" s="66"/>
      <c r="BJ45" s="66"/>
      <c r="BK45" s="66"/>
      <c r="BL45" s="66"/>
      <c r="BM45" s="66"/>
      <c r="BN45" s="66"/>
      <c r="BO45" s="249"/>
      <c r="BP45" s="66"/>
      <c r="BQ45" s="66"/>
      <c r="BR45" s="66"/>
      <c r="BS45" s="66"/>
      <c r="BT45" s="67"/>
      <c r="BV45" s="85" t="s">
        <v>48</v>
      </c>
      <c r="BW45" s="118" t="s">
        <v>163</v>
      </c>
      <c r="BX45" s="70"/>
      <c r="BY45" s="70"/>
      <c r="BZ45" s="72"/>
      <c r="CA45" s="56" t="s">
        <v>81</v>
      </c>
      <c r="CB45" s="56"/>
      <c r="CC45" s="56"/>
      <c r="CD45" s="56"/>
      <c r="CE45" s="56"/>
      <c r="CI45" s="17"/>
    </row>
    <row r="46" spans="1:87">
      <c r="C46" s="7"/>
      <c r="E46" s="124" t="s">
        <v>218</v>
      </c>
      <c r="F46" s="125">
        <f>BY41</f>
        <v>8031</v>
      </c>
      <c r="G46" s="126">
        <f>BY42</f>
        <v>2.0699999999999998</v>
      </c>
      <c r="J46" s="38" t="s">
        <v>49</v>
      </c>
      <c r="K46" s="48" t="s">
        <v>140</v>
      </c>
      <c r="N46" s="2"/>
      <c r="T46" s="5" t="s">
        <v>57</v>
      </c>
      <c r="U46" s="48" t="s">
        <v>144</v>
      </c>
      <c r="X46" s="60"/>
      <c r="AB46" s="5"/>
      <c r="AD46" s="68" t="s">
        <v>48</v>
      </c>
      <c r="AE46" s="69" t="s">
        <v>163</v>
      </c>
      <c r="AF46" s="70"/>
      <c r="AG46" s="70"/>
      <c r="AH46" s="70"/>
      <c r="AI46" s="70"/>
      <c r="AJ46" s="70"/>
      <c r="AK46" s="72"/>
      <c r="AN46" s="3"/>
      <c r="AP46" s="82" t="s">
        <v>48</v>
      </c>
      <c r="AQ46" s="69" t="s">
        <v>163</v>
      </c>
      <c r="AR46" s="70"/>
      <c r="AS46" s="70"/>
      <c r="AU46" s="70"/>
      <c r="AW46" s="5" t="s">
        <v>55</v>
      </c>
      <c r="AZ46" s="48" t="s">
        <v>153</v>
      </c>
      <c r="BD46" s="70"/>
      <c r="BE46" s="72"/>
      <c r="BG46" s="85" t="s">
        <v>48</v>
      </c>
      <c r="BH46" s="69" t="s">
        <v>157</v>
      </c>
      <c r="BI46" s="70"/>
      <c r="BJ46" s="70"/>
      <c r="BK46" s="70"/>
      <c r="BL46" s="246" t="s">
        <v>54</v>
      </c>
      <c r="BM46" s="69" t="s">
        <v>158</v>
      </c>
      <c r="BN46" s="70"/>
      <c r="BO46" s="70"/>
      <c r="BP46" s="70"/>
      <c r="BQ46" s="70"/>
      <c r="BR46" s="70"/>
      <c r="BS46" s="70"/>
      <c r="BT46" s="72"/>
      <c r="BV46" s="86" t="s">
        <v>49</v>
      </c>
      <c r="BW46" s="119" t="s">
        <v>164</v>
      </c>
      <c r="BZ46" s="60"/>
      <c r="CI46" s="17"/>
    </row>
    <row r="47" spans="1:87">
      <c r="A47" s="3" t="s">
        <v>87</v>
      </c>
      <c r="C47" s="136">
        <f>+'Total Program Inputs'!C6</f>
        <v>2025</v>
      </c>
      <c r="J47" s="38" t="s">
        <v>50</v>
      </c>
      <c r="K47" s="19" t="s">
        <v>121</v>
      </c>
      <c r="N47" s="2"/>
      <c r="T47" s="5" t="s">
        <v>58</v>
      </c>
      <c r="U47" s="48" t="s">
        <v>160</v>
      </c>
      <c r="X47" s="60"/>
      <c r="AB47" s="12"/>
      <c r="AD47" s="38" t="s">
        <v>49</v>
      </c>
      <c r="AE47" s="19" t="s">
        <v>164</v>
      </c>
      <c r="AK47" s="60"/>
      <c r="AP47" s="83" t="s">
        <v>54</v>
      </c>
      <c r="AQ47" s="48" t="s">
        <v>164</v>
      </c>
      <c r="AW47" s="5" t="s">
        <v>56</v>
      </c>
      <c r="AZ47" s="19" t="s">
        <v>154</v>
      </c>
      <c r="BE47" s="60"/>
      <c r="BG47" s="86" t="s">
        <v>49</v>
      </c>
      <c r="BH47" s="48" t="s">
        <v>126</v>
      </c>
      <c r="BL47" s="7" t="s">
        <v>55</v>
      </c>
      <c r="BM47" s="19" t="s">
        <v>167</v>
      </c>
      <c r="BO47" s="56"/>
      <c r="BP47" s="56"/>
      <c r="BQ47" s="56"/>
      <c r="BR47" s="56"/>
      <c r="BT47" s="60"/>
      <c r="BV47" s="86" t="s">
        <v>50</v>
      </c>
      <c r="BW47" s="119" t="s">
        <v>220</v>
      </c>
      <c r="BZ47" s="60"/>
      <c r="CI47" s="17"/>
    </row>
    <row r="48" spans="1:87">
      <c r="A48" s="127"/>
      <c r="C48" s="7"/>
      <c r="J48" s="38" t="s">
        <v>51</v>
      </c>
      <c r="K48" s="48" t="s">
        <v>139</v>
      </c>
      <c r="N48" s="2"/>
      <c r="T48" s="5" t="s">
        <v>59</v>
      </c>
      <c r="U48" s="19" t="s">
        <v>161</v>
      </c>
      <c r="X48" s="60"/>
      <c r="AB48" s="16"/>
      <c r="AD48" s="38" t="s">
        <v>50</v>
      </c>
      <c r="AE48" s="19" t="s">
        <v>165</v>
      </c>
      <c r="AK48" s="60"/>
      <c r="AP48" s="83" t="s">
        <v>50</v>
      </c>
      <c r="AQ48" s="48" t="s">
        <v>201</v>
      </c>
      <c r="AW48" s="5" t="s">
        <v>57</v>
      </c>
      <c r="AZ48" s="19" t="s">
        <v>155</v>
      </c>
      <c r="BE48" s="60"/>
      <c r="BG48" s="86" t="s">
        <v>50</v>
      </c>
      <c r="BH48" s="19" t="s">
        <v>130</v>
      </c>
      <c r="BL48" s="7" t="s">
        <v>56</v>
      </c>
      <c r="BM48" s="19" t="s">
        <v>159</v>
      </c>
      <c r="BT48" s="60"/>
      <c r="BV48" s="86" t="s">
        <v>51</v>
      </c>
      <c r="BW48" s="119" t="s">
        <v>128</v>
      </c>
      <c r="BZ48" s="60"/>
      <c r="CI48" s="17"/>
    </row>
    <row r="49" spans="1:108">
      <c r="A49" s="127"/>
      <c r="C49" s="7"/>
      <c r="J49" s="38" t="s">
        <v>52</v>
      </c>
      <c r="K49" s="19" t="s">
        <v>141</v>
      </c>
      <c r="N49" s="2"/>
      <c r="O49" s="24"/>
      <c r="T49" s="5" t="s">
        <v>60</v>
      </c>
      <c r="U49" s="48" t="s">
        <v>147</v>
      </c>
      <c r="X49" s="60"/>
      <c r="AB49" s="16"/>
      <c r="AD49" s="38" t="s">
        <v>51</v>
      </c>
      <c r="AE49" s="48" t="s">
        <v>127</v>
      </c>
      <c r="AK49" s="60"/>
      <c r="AO49" s="3"/>
      <c r="AP49" s="83" t="s">
        <v>51</v>
      </c>
      <c r="AQ49" s="48" t="s">
        <v>152</v>
      </c>
      <c r="AW49" s="5" t="s">
        <v>58</v>
      </c>
      <c r="AZ49" s="19" t="s">
        <v>156</v>
      </c>
      <c r="BE49" s="60"/>
      <c r="BG49" s="86" t="s">
        <v>51</v>
      </c>
      <c r="BH49" s="48" t="s">
        <v>131</v>
      </c>
      <c r="BT49" s="60"/>
      <c r="BV49" s="86" t="s">
        <v>52</v>
      </c>
      <c r="BW49" s="119" t="s">
        <v>224</v>
      </c>
      <c r="BZ49" s="60"/>
    </row>
    <row r="50" spans="1:108">
      <c r="J50" s="38" t="s">
        <v>53</v>
      </c>
      <c r="K50" s="48" t="s">
        <v>142</v>
      </c>
      <c r="N50" s="2"/>
      <c r="T50" s="5" t="s">
        <v>61</v>
      </c>
      <c r="U50" s="19" t="s">
        <v>129</v>
      </c>
      <c r="X50" s="60"/>
      <c r="AD50" s="38" t="s">
        <v>52</v>
      </c>
      <c r="AE50" s="48" t="s">
        <v>157</v>
      </c>
      <c r="AK50" s="60"/>
      <c r="AP50" s="83" t="s">
        <v>52</v>
      </c>
      <c r="AQ50" s="48" t="s">
        <v>135</v>
      </c>
      <c r="AW50" s="5"/>
      <c r="AZ50" s="2"/>
      <c r="BE50" s="60"/>
      <c r="BG50" s="86" t="s">
        <v>52</v>
      </c>
      <c r="BH50" s="48" t="s">
        <v>166</v>
      </c>
      <c r="BT50" s="60"/>
      <c r="BV50" s="86" t="s">
        <v>53</v>
      </c>
      <c r="BW50" s="119" t="s">
        <v>225</v>
      </c>
      <c r="BZ50" s="60"/>
    </row>
    <row r="51" spans="1:108" ht="14.1" customHeight="1">
      <c r="J51" s="38" t="s">
        <v>54</v>
      </c>
      <c r="K51" s="48" t="s">
        <v>123</v>
      </c>
      <c r="N51" s="2"/>
      <c r="T51" s="5" t="s">
        <v>138</v>
      </c>
      <c r="U51" s="19" t="s">
        <v>162</v>
      </c>
      <c r="X51" s="60"/>
      <c r="AD51" s="38" t="s">
        <v>53</v>
      </c>
      <c r="AE51" s="19" t="s">
        <v>149</v>
      </c>
      <c r="AK51" s="60"/>
      <c r="AP51" s="83" t="s">
        <v>53</v>
      </c>
      <c r="AQ51" s="48" t="s">
        <v>136</v>
      </c>
      <c r="AW51" s="5"/>
      <c r="AZ51" s="2"/>
      <c r="BE51" s="60"/>
      <c r="BG51" s="247" t="s">
        <v>53</v>
      </c>
      <c r="BH51" s="251" t="s">
        <v>330</v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64"/>
      <c r="BV51" s="86" t="s">
        <v>54</v>
      </c>
      <c r="BW51" s="119" t="s">
        <v>221</v>
      </c>
      <c r="BZ51" s="60"/>
    </row>
    <row r="52" spans="1:108" ht="14.1" customHeight="1">
      <c r="A52" s="3"/>
      <c r="C52" s="13"/>
      <c r="J52" s="89" t="s">
        <v>55</v>
      </c>
      <c r="K52" s="62" t="s">
        <v>124</v>
      </c>
      <c r="L52" s="10"/>
      <c r="M52" s="10"/>
      <c r="N52" s="10"/>
      <c r="O52" s="10"/>
      <c r="P52" s="10"/>
      <c r="Q52" s="10"/>
      <c r="R52" s="10"/>
      <c r="S52" s="10"/>
      <c r="T52" s="63" t="s">
        <v>146</v>
      </c>
      <c r="U52" s="62" t="s">
        <v>148</v>
      </c>
      <c r="V52" s="10"/>
      <c r="W52" s="10"/>
      <c r="X52" s="64"/>
      <c r="AD52" s="61" t="s">
        <v>54</v>
      </c>
      <c r="AE52" s="73" t="s">
        <v>150</v>
      </c>
      <c r="AF52" s="10"/>
      <c r="AG52" s="10"/>
      <c r="AH52" s="10"/>
      <c r="AI52" s="10"/>
      <c r="AJ52" s="10"/>
      <c r="AK52" s="64"/>
      <c r="AP52" s="84" t="s">
        <v>54</v>
      </c>
      <c r="AQ52" s="73" t="s">
        <v>151</v>
      </c>
      <c r="AR52" s="10"/>
      <c r="AS52" s="10"/>
      <c r="AT52" s="10"/>
      <c r="AU52" s="10"/>
      <c r="AV52" s="10"/>
      <c r="AW52" s="63"/>
      <c r="AX52" s="63"/>
      <c r="AY52" s="63"/>
      <c r="AZ52" s="63"/>
      <c r="BA52" s="10"/>
      <c r="BB52" s="10"/>
      <c r="BC52" s="10"/>
      <c r="BD52" s="10"/>
      <c r="BE52" s="64"/>
      <c r="BG52" s="7"/>
      <c r="BH52" s="48"/>
      <c r="BM52" s="5"/>
      <c r="BV52" s="247" t="s">
        <v>55</v>
      </c>
      <c r="BW52" s="248" t="s">
        <v>222</v>
      </c>
      <c r="BX52" s="10"/>
      <c r="BY52" s="10"/>
      <c r="BZ52" s="64"/>
      <c r="CL52" s="18"/>
      <c r="DB52" s="16"/>
    </row>
    <row r="53" spans="1:108" ht="14.1" customHeight="1">
      <c r="C53" s="3"/>
      <c r="AD53" s="5"/>
      <c r="AZ53" s="2"/>
      <c r="BG53" s="7"/>
      <c r="BH53" s="19"/>
      <c r="BV53" s="7"/>
      <c r="CL53" s="12"/>
      <c r="DD53" s="16"/>
    </row>
    <row r="54" spans="1:108" ht="14.1" customHeight="1">
      <c r="C54" s="17"/>
      <c r="K54" s="48"/>
      <c r="N54" s="2"/>
      <c r="R54" s="24"/>
      <c r="AZ54" s="2"/>
      <c r="BG54" s="7"/>
      <c r="BH54" s="19"/>
    </row>
    <row r="55" spans="1:108" ht="14.1" customHeight="1">
      <c r="C55" s="17"/>
      <c r="K55" s="48"/>
      <c r="N55" s="2"/>
      <c r="R55" s="24"/>
      <c r="AB55" s="16"/>
      <c r="AP55" s="5"/>
      <c r="AZ55" s="2"/>
      <c r="BG55" s="7"/>
      <c r="BV55" s="7"/>
    </row>
    <row r="56" spans="1:108">
      <c r="C56" s="17"/>
      <c r="K56" s="48"/>
      <c r="N56" s="2"/>
      <c r="R56" s="24"/>
      <c r="AP56" s="3"/>
      <c r="AZ56" s="2"/>
      <c r="BW56" s="7"/>
    </row>
    <row r="57" spans="1:108">
      <c r="C57" s="28"/>
      <c r="N57" s="2"/>
      <c r="R57" s="24"/>
      <c r="AP57" s="3"/>
      <c r="AZ57" s="2"/>
      <c r="BW57" s="7"/>
    </row>
    <row r="58" spans="1:108">
      <c r="C58" s="28"/>
      <c r="N58" s="2"/>
      <c r="Q58" s="24"/>
      <c r="AO58" s="3"/>
      <c r="AZ58" s="2"/>
      <c r="BV58" s="7"/>
    </row>
    <row r="59" spans="1:108">
      <c r="C59" s="17"/>
      <c r="N59" s="2"/>
      <c r="Q59" s="24"/>
      <c r="AZ59" s="2"/>
      <c r="BV59" s="7"/>
    </row>
    <row r="60" spans="1:108">
      <c r="N60" s="2"/>
      <c r="Q60" s="24"/>
      <c r="AZ60" s="2"/>
      <c r="BV60" s="7"/>
    </row>
    <row r="61" spans="1:108">
      <c r="N61" s="2"/>
      <c r="Q61" s="24"/>
      <c r="AZ61" s="2"/>
      <c r="BV61" s="7"/>
    </row>
    <row r="62" spans="1:108" ht="12" customHeight="1">
      <c r="N62" s="2"/>
      <c r="Q62" s="24"/>
      <c r="AZ62" s="2"/>
      <c r="BV62" s="7"/>
    </row>
    <row r="63" spans="1:108">
      <c r="N63" s="2"/>
      <c r="Q63" s="24"/>
      <c r="AZ63" s="2"/>
      <c r="BG63" s="7"/>
      <c r="BV63" s="7"/>
    </row>
    <row r="64" spans="1:108">
      <c r="N64" s="2"/>
      <c r="Q64" s="24"/>
      <c r="AZ64" s="2"/>
      <c r="BG64" s="7"/>
      <c r="BV64" s="7"/>
    </row>
    <row r="65" spans="1:74">
      <c r="C65" s="12"/>
      <c r="N65" s="2"/>
      <c r="Q65" s="24"/>
      <c r="AZ65" s="2"/>
      <c r="BG65" s="7"/>
      <c r="BV65" s="7"/>
    </row>
    <row r="66" spans="1:74">
      <c r="A66" s="9"/>
      <c r="B66" s="3"/>
      <c r="N66" s="2"/>
      <c r="Q66" s="24"/>
      <c r="AZ66" s="2"/>
      <c r="BG66" s="7"/>
      <c r="BV66" s="7"/>
    </row>
    <row r="67" spans="1:74">
      <c r="A67" s="9"/>
      <c r="B67" s="3"/>
      <c r="N67" s="2"/>
      <c r="Q67" s="24"/>
      <c r="AZ67" s="2"/>
      <c r="BG67" s="7"/>
      <c r="BV67" s="7"/>
    </row>
    <row r="68" spans="1:74">
      <c r="N68" s="2"/>
      <c r="Q68" s="24"/>
      <c r="AZ68" s="2"/>
      <c r="BG68" s="7"/>
      <c r="BV68" s="7"/>
    </row>
    <row r="69" spans="1:74">
      <c r="N69" s="2"/>
      <c r="Q69" s="24"/>
      <c r="AZ69" s="2"/>
      <c r="BG69" s="7"/>
      <c r="BV69" s="7"/>
    </row>
    <row r="70" spans="1:74">
      <c r="N70" s="2"/>
      <c r="Q70" s="24"/>
      <c r="AZ70" s="2"/>
      <c r="BG70" s="7"/>
      <c r="BV70" s="7"/>
    </row>
    <row r="71" spans="1:74">
      <c r="N71" s="2"/>
      <c r="Q71" s="24"/>
      <c r="AZ71" s="2"/>
      <c r="BG71" s="7"/>
      <c r="BV71" s="7"/>
    </row>
    <row r="72" spans="1:74">
      <c r="N72" s="2"/>
      <c r="Q72" s="24"/>
      <c r="AZ72" s="2"/>
      <c r="BG72" s="7"/>
      <c r="BV72" s="7"/>
    </row>
    <row r="73" spans="1:74">
      <c r="N73" s="2"/>
      <c r="Q73" s="24"/>
      <c r="AZ73" s="2"/>
      <c r="BG73" s="7"/>
      <c r="BV73" s="7"/>
    </row>
    <row r="74" spans="1:74">
      <c r="N74" s="2"/>
      <c r="Q74" s="24"/>
      <c r="AZ74" s="2"/>
      <c r="BG74" s="7"/>
      <c r="BV74" s="7"/>
    </row>
    <row r="75" spans="1:74">
      <c r="N75" s="2"/>
      <c r="Q75" s="24"/>
      <c r="AZ75" s="2"/>
      <c r="BG75" s="7"/>
      <c r="BV75" s="7"/>
    </row>
    <row r="76" spans="1:74">
      <c r="N76" s="2"/>
      <c r="Q76" s="24"/>
      <c r="AZ76" s="2"/>
      <c r="BG76" s="7"/>
      <c r="BV76" s="7"/>
    </row>
    <row r="77" spans="1:74">
      <c r="N77" s="2"/>
      <c r="Q77" s="24"/>
      <c r="AZ77" s="2"/>
      <c r="BG77" s="7"/>
      <c r="BV77" s="7"/>
    </row>
    <row r="78" spans="1:74">
      <c r="N78" s="2"/>
      <c r="Q78" s="24"/>
      <c r="AZ78" s="2"/>
      <c r="BG78" s="7"/>
      <c r="BV78" s="7"/>
    </row>
    <row r="79" spans="1:74">
      <c r="N79" s="2"/>
      <c r="Q79" s="24"/>
      <c r="AZ79" s="2"/>
      <c r="BG79" s="7"/>
      <c r="BV79" s="7"/>
    </row>
    <row r="80" spans="1:74">
      <c r="N80" s="2"/>
      <c r="Q80" s="24"/>
      <c r="AZ80" s="2"/>
      <c r="BG80" s="7"/>
      <c r="BV80" s="7"/>
    </row>
    <row r="81" spans="6:74">
      <c r="F81" s="26"/>
      <c r="G81" s="26"/>
      <c r="N81" s="2"/>
      <c r="Q81" s="24"/>
      <c r="AZ81" s="2"/>
      <c r="BG81" s="7"/>
      <c r="BV81" s="7"/>
    </row>
    <row r="82" spans="6:74">
      <c r="N82" s="2"/>
      <c r="Q82" s="24"/>
      <c r="AZ82" s="2"/>
      <c r="BG82" s="7"/>
      <c r="BV82" s="7"/>
    </row>
    <row r="83" spans="6:74">
      <c r="N83" s="2"/>
      <c r="Q83" s="24"/>
      <c r="AZ83" s="2"/>
      <c r="BG83" s="7"/>
      <c r="BV83" s="7"/>
    </row>
    <row r="84" spans="6:74">
      <c r="N84" s="2"/>
      <c r="Q84" s="24"/>
      <c r="AZ84" s="2"/>
      <c r="BG84" s="7"/>
      <c r="BV84" s="7"/>
    </row>
    <row r="85" spans="6:74">
      <c r="N85" s="2"/>
      <c r="Q85" s="24"/>
      <c r="AZ85" s="2"/>
      <c r="BG85" s="7"/>
      <c r="BV85" s="7"/>
    </row>
    <row r="86" spans="6:74">
      <c r="N86" s="2"/>
      <c r="Q86" s="24"/>
      <c r="AZ86" s="2"/>
      <c r="BG86" s="7"/>
      <c r="BV86" s="7"/>
    </row>
    <row r="87" spans="6:74">
      <c r="N87" s="2"/>
      <c r="Q87" s="24"/>
      <c r="AZ87" s="2"/>
      <c r="BG87" s="7"/>
      <c r="BV87" s="7"/>
    </row>
    <row r="88" spans="6:74">
      <c r="N88" s="2"/>
      <c r="Q88" s="24"/>
      <c r="AZ88" s="2"/>
      <c r="BG88" s="7"/>
      <c r="BV88" s="7"/>
    </row>
    <row r="89" spans="6:74">
      <c r="N89" s="2"/>
      <c r="Q89" s="24"/>
      <c r="AZ89" s="2"/>
      <c r="BG89" s="7"/>
      <c r="BV89" s="7"/>
    </row>
    <row r="90" spans="6:74">
      <c r="N90" s="2"/>
      <c r="Q90" s="24"/>
      <c r="AZ90" s="2"/>
      <c r="BG90" s="7"/>
      <c r="BV90" s="7"/>
    </row>
    <row r="91" spans="6:74">
      <c r="N91" s="2"/>
      <c r="Q91" s="24"/>
      <c r="AZ91" s="2"/>
      <c r="BG91" s="7"/>
      <c r="BV91" s="7"/>
    </row>
    <row r="92" spans="6:74">
      <c r="N92" s="2"/>
      <c r="Q92" s="24"/>
      <c r="AZ92" s="2"/>
      <c r="BG92" s="7"/>
      <c r="BV92" s="7"/>
    </row>
    <row r="93" spans="6:74">
      <c r="N93" s="2"/>
      <c r="Q93" s="24"/>
      <c r="AZ93" s="2"/>
      <c r="BG93" s="7"/>
      <c r="BV93" s="7"/>
    </row>
    <row r="94" spans="6:74">
      <c r="N94" s="2"/>
      <c r="Q94" s="24"/>
      <c r="AZ94" s="2"/>
      <c r="BG94" s="7"/>
      <c r="BV94" s="7"/>
    </row>
    <row r="95" spans="6:74">
      <c r="N95" s="2"/>
      <c r="Q95" s="24"/>
      <c r="AZ95" s="2"/>
      <c r="BG95" s="7"/>
      <c r="BV95" s="7"/>
    </row>
    <row r="96" spans="6:74">
      <c r="N96" s="2"/>
      <c r="Q96" s="24"/>
      <c r="AZ96" s="2"/>
      <c r="BG96" s="7"/>
      <c r="BV96" s="7"/>
    </row>
    <row r="97" spans="1:74">
      <c r="N97" s="2"/>
      <c r="Q97" s="24"/>
      <c r="AZ97" s="2"/>
      <c r="BG97" s="7"/>
      <c r="BV97" s="7"/>
    </row>
    <row r="98" spans="1:74">
      <c r="N98" s="2"/>
      <c r="Q98" s="24"/>
      <c r="AZ98" s="2"/>
      <c r="BG98" s="7"/>
      <c r="BV98" s="7"/>
    </row>
    <row r="99" spans="1:74">
      <c r="N99" s="2"/>
      <c r="Q99" s="24"/>
      <c r="AZ99" s="2"/>
      <c r="BG99" s="7"/>
      <c r="BV99" s="7"/>
    </row>
    <row r="100" spans="1:74">
      <c r="N100" s="2"/>
      <c r="Q100" s="24"/>
      <c r="AZ100" s="2"/>
      <c r="BG100" s="7"/>
      <c r="BV100" s="7"/>
    </row>
    <row r="101" spans="1:74">
      <c r="N101" s="2"/>
      <c r="Q101" s="24"/>
      <c r="AZ101" s="2"/>
      <c r="BG101" s="7"/>
      <c r="BV101" s="7"/>
    </row>
    <row r="102" spans="1:74">
      <c r="N102" s="2"/>
      <c r="Q102" s="24"/>
      <c r="AZ102" s="2"/>
      <c r="BG102" s="7"/>
      <c r="BV102" s="7"/>
    </row>
    <row r="103" spans="1:74">
      <c r="N103" s="2"/>
      <c r="Q103" s="24"/>
      <c r="AZ103" s="2"/>
      <c r="BG103" s="7"/>
      <c r="BV103" s="7"/>
    </row>
    <row r="104" spans="1:74">
      <c r="N104" s="2"/>
      <c r="Q104" s="24"/>
      <c r="AZ104" s="2"/>
      <c r="BG104" s="7"/>
      <c r="BV104" s="7"/>
    </row>
    <row r="105" spans="1:74">
      <c r="E105" s="29"/>
      <c r="N105" s="2"/>
      <c r="Q105" s="24"/>
      <c r="AZ105" s="2"/>
      <c r="BG105" s="7"/>
      <c r="BV105" s="7"/>
    </row>
    <row r="106" spans="1:74">
      <c r="N106" s="2"/>
      <c r="Q106" s="24"/>
      <c r="AZ106" s="2"/>
      <c r="BG106" s="7"/>
      <c r="BV106" s="7"/>
    </row>
    <row r="107" spans="1:74">
      <c r="N107" s="2"/>
      <c r="Q107" s="24"/>
      <c r="AZ107" s="2"/>
      <c r="BG107" s="7"/>
      <c r="BV107" s="7"/>
    </row>
    <row r="108" spans="1:74">
      <c r="N108" s="2"/>
      <c r="Q108" s="24"/>
      <c r="AZ108" s="2"/>
      <c r="BG108" s="7"/>
      <c r="BV108" s="7"/>
    </row>
    <row r="109" spans="1:74">
      <c r="N109" s="2"/>
      <c r="Q109" s="24"/>
      <c r="AZ109" s="2"/>
      <c r="BG109" s="7"/>
      <c r="BV109" s="7"/>
    </row>
    <row r="110" spans="1:74">
      <c r="N110" s="2"/>
      <c r="Q110" s="24"/>
      <c r="AZ110" s="2"/>
      <c r="BG110" s="7"/>
      <c r="BV110" s="7"/>
    </row>
    <row r="111" spans="1:74">
      <c r="A111" s="9"/>
      <c r="B111" s="3"/>
      <c r="N111" s="2"/>
      <c r="Q111" s="24"/>
      <c r="AZ111" s="2"/>
      <c r="BG111" s="7"/>
      <c r="BV111" s="7"/>
    </row>
    <row r="112" spans="1:74">
      <c r="N112" s="2"/>
      <c r="Q112" s="24"/>
      <c r="AZ112" s="2"/>
      <c r="BG112" s="7"/>
      <c r="BV112" s="7"/>
    </row>
    <row r="113" spans="1:74">
      <c r="N113" s="2"/>
      <c r="Q113" s="24"/>
      <c r="AZ113" s="2"/>
      <c r="BG113" s="7"/>
      <c r="BV113" s="7"/>
    </row>
    <row r="114" spans="1:74">
      <c r="N114" s="2"/>
      <c r="Q114" s="24"/>
      <c r="AZ114" s="2"/>
      <c r="BG114" s="7"/>
      <c r="BV114" s="7"/>
    </row>
    <row r="115" spans="1:74">
      <c r="N115" s="2"/>
      <c r="Q115" s="24"/>
      <c r="AZ115" s="2"/>
      <c r="BG115" s="7"/>
      <c r="BV115" s="7"/>
    </row>
    <row r="116" spans="1:74">
      <c r="N116" s="2"/>
      <c r="Q116" s="24"/>
      <c r="AZ116" s="2"/>
      <c r="BG116" s="7"/>
      <c r="BV116" s="7"/>
    </row>
    <row r="117" spans="1:74">
      <c r="N117" s="2"/>
      <c r="Q117" s="24"/>
      <c r="AZ117" s="2"/>
      <c r="BG117" s="7"/>
      <c r="BV117" s="7"/>
    </row>
    <row r="118" spans="1:74">
      <c r="N118" s="2"/>
      <c r="Q118" s="24"/>
      <c r="AZ118" s="2"/>
      <c r="BG118" s="7"/>
      <c r="BV118" s="7"/>
    </row>
    <row r="119" spans="1:74">
      <c r="N119" s="2"/>
      <c r="Q119" s="24"/>
      <c r="AZ119" s="2"/>
      <c r="BG119" s="7"/>
      <c r="BV119" s="7"/>
    </row>
    <row r="120" spans="1:74">
      <c r="N120" s="2"/>
      <c r="Q120" s="24"/>
      <c r="AZ120" s="2"/>
      <c r="BG120" s="7"/>
      <c r="BV120" s="7"/>
    </row>
    <row r="121" spans="1:74">
      <c r="N121" s="2"/>
      <c r="Q121" s="24"/>
      <c r="AZ121" s="2"/>
      <c r="BG121" s="7"/>
      <c r="BV121" s="7"/>
    </row>
    <row r="122" spans="1:74">
      <c r="N122" s="2"/>
      <c r="Q122" s="24"/>
      <c r="AZ122" s="2"/>
      <c r="BG122" s="7"/>
      <c r="BV122" s="7"/>
    </row>
    <row r="123" spans="1:74">
      <c r="N123" s="2"/>
      <c r="Q123" s="24"/>
      <c r="AZ123" s="2"/>
      <c r="BG123" s="7"/>
      <c r="BV123" s="7"/>
    </row>
    <row r="124" spans="1:74">
      <c r="N124" s="2"/>
      <c r="Q124" s="24"/>
      <c r="AZ124" s="2"/>
      <c r="BG124" s="7"/>
      <c r="BV124" s="7"/>
    </row>
    <row r="125" spans="1:74">
      <c r="N125" s="2"/>
      <c r="Q125" s="24"/>
      <c r="AZ125" s="2"/>
      <c r="BG125" s="7"/>
      <c r="BV125" s="7"/>
    </row>
    <row r="126" spans="1:74">
      <c r="N126" s="2"/>
      <c r="Q126" s="24"/>
      <c r="AZ126" s="2"/>
      <c r="BG126" s="7"/>
      <c r="BV126" s="7"/>
    </row>
    <row r="127" spans="1:74">
      <c r="N127" s="2"/>
      <c r="Q127" s="24"/>
      <c r="AZ127" s="2"/>
      <c r="BG127" s="7"/>
      <c r="BV127" s="7"/>
    </row>
    <row r="128" spans="1:74">
      <c r="A128" s="3"/>
      <c r="N128" s="2"/>
      <c r="Q128" s="24"/>
      <c r="AZ128" s="2"/>
      <c r="BG128" s="7"/>
      <c r="BV128" s="7"/>
    </row>
    <row r="129" spans="1:74">
      <c r="A129" s="3"/>
      <c r="N129" s="2"/>
      <c r="Q129" s="24"/>
      <c r="AZ129" s="2"/>
      <c r="BG129" s="7"/>
      <c r="BV129" s="7"/>
    </row>
    <row r="130" spans="1:74">
      <c r="A130" s="3"/>
      <c r="B130" s="3"/>
      <c r="N130" s="2"/>
      <c r="Q130" s="24"/>
      <c r="AZ130" s="2"/>
      <c r="BG130" s="7"/>
      <c r="BV130" s="7"/>
    </row>
    <row r="131" spans="1:74">
      <c r="N131" s="2"/>
      <c r="Q131" s="24"/>
      <c r="AZ131" s="2"/>
      <c r="BG131" s="7"/>
      <c r="BV131" s="7"/>
    </row>
    <row r="132" spans="1:74">
      <c r="A132" s="3"/>
      <c r="B132" s="3"/>
      <c r="N132" s="2"/>
      <c r="Q132" s="24"/>
      <c r="AZ132" s="2"/>
      <c r="BG132" s="7"/>
      <c r="BV132" s="7"/>
    </row>
    <row r="133" spans="1:74">
      <c r="N133" s="2"/>
      <c r="Q133" s="24"/>
      <c r="AZ133" s="2"/>
      <c r="BG133" s="7"/>
      <c r="BV133" s="7"/>
    </row>
    <row r="134" spans="1:74">
      <c r="A134" s="3"/>
      <c r="B134" s="3"/>
      <c r="N134" s="2"/>
      <c r="Q134" s="24"/>
      <c r="AZ134" s="2"/>
      <c r="BG134" s="7"/>
      <c r="BV134" s="7"/>
    </row>
    <row r="135" spans="1:74">
      <c r="N135" s="2"/>
      <c r="Q135" s="24"/>
      <c r="AZ135" s="2"/>
      <c r="BG135" s="7"/>
      <c r="BV135" s="7"/>
    </row>
    <row r="136" spans="1:74">
      <c r="A136" s="3"/>
      <c r="B136" s="3"/>
      <c r="N136" s="2"/>
      <c r="Q136" s="24"/>
      <c r="AZ136" s="2"/>
      <c r="BG136" s="7"/>
      <c r="BV136" s="7"/>
    </row>
    <row r="137" spans="1:74">
      <c r="N137" s="2"/>
      <c r="Q137" s="24"/>
      <c r="AZ137" s="2"/>
      <c r="BG137" s="7"/>
      <c r="BV137" s="7"/>
    </row>
    <row r="138" spans="1:74">
      <c r="A138" s="3"/>
      <c r="B138" s="3"/>
      <c r="N138" s="2"/>
      <c r="Q138" s="24"/>
      <c r="AZ138" s="2"/>
      <c r="BG138" s="7"/>
      <c r="BV138" s="7"/>
    </row>
    <row r="139" spans="1:74">
      <c r="N139" s="2"/>
      <c r="Q139" s="24"/>
      <c r="AZ139" s="2"/>
      <c r="BG139" s="7"/>
      <c r="BV139" s="7"/>
    </row>
    <row r="140" spans="1:74">
      <c r="A140" s="3"/>
      <c r="B140" s="3"/>
      <c r="N140" s="2"/>
      <c r="Q140" s="24"/>
      <c r="AZ140" s="2"/>
      <c r="BG140" s="7"/>
      <c r="BV140" s="7"/>
    </row>
    <row r="141" spans="1:74">
      <c r="N141" s="2"/>
      <c r="Q141" s="24"/>
      <c r="AZ141" s="2"/>
      <c r="BG141" s="7"/>
      <c r="BV141" s="7"/>
    </row>
    <row r="142" spans="1:74">
      <c r="A142" s="3"/>
      <c r="B142" s="3"/>
      <c r="N142" s="2"/>
      <c r="Q142" s="24"/>
      <c r="AZ142" s="2"/>
      <c r="BG142" s="7"/>
      <c r="BV142" s="7"/>
    </row>
    <row r="143" spans="1:74">
      <c r="N143" s="2"/>
      <c r="Q143" s="24"/>
      <c r="AZ143" s="2"/>
      <c r="BG143" s="7"/>
      <c r="BV143" s="7"/>
    </row>
    <row r="144" spans="1:74">
      <c r="A144" s="3"/>
      <c r="B144" s="3"/>
      <c r="N144" s="2"/>
      <c r="Q144" s="24"/>
      <c r="AZ144" s="2"/>
      <c r="BG144" s="7"/>
      <c r="BV144" s="7"/>
    </row>
    <row r="145" spans="1:74">
      <c r="N145" s="2"/>
      <c r="Q145" s="24"/>
      <c r="AZ145" s="2"/>
      <c r="BG145" s="7"/>
      <c r="BV145" s="7"/>
    </row>
    <row r="146" spans="1:74">
      <c r="N146" s="2"/>
      <c r="Q146" s="24"/>
      <c r="AZ146" s="2"/>
      <c r="BG146" s="7"/>
      <c r="BV146" s="7"/>
    </row>
    <row r="147" spans="1:74">
      <c r="N147" s="2"/>
      <c r="Q147" s="24"/>
      <c r="AZ147" s="2"/>
      <c r="BG147" s="7"/>
      <c r="BV147" s="7"/>
    </row>
    <row r="148" spans="1:74">
      <c r="A148" s="3"/>
      <c r="N148" s="2"/>
      <c r="Q148" s="24"/>
      <c r="AZ148" s="2"/>
      <c r="BG148" s="7"/>
      <c r="BV148" s="7"/>
    </row>
    <row r="149" spans="1:74">
      <c r="A149" s="3"/>
      <c r="N149" s="2"/>
      <c r="Q149" s="24"/>
      <c r="AZ149" s="2"/>
      <c r="BG149" s="7"/>
      <c r="BV149" s="7"/>
    </row>
    <row r="150" spans="1:74">
      <c r="A150" s="3"/>
      <c r="B150" s="3"/>
      <c r="N150" s="2"/>
      <c r="Q150" s="24"/>
      <c r="AZ150" s="2"/>
      <c r="BG150" s="7"/>
      <c r="BV150" s="7"/>
    </row>
    <row r="151" spans="1:74">
      <c r="B151" s="3"/>
      <c r="N151" s="2"/>
      <c r="Q151" s="24"/>
      <c r="AZ151" s="2"/>
      <c r="BG151" s="7"/>
      <c r="BV151" s="7"/>
    </row>
    <row r="152" spans="1:74">
      <c r="B152" s="3"/>
      <c r="N152" s="2"/>
      <c r="Q152" s="24"/>
      <c r="AZ152" s="2"/>
      <c r="BG152" s="7"/>
      <c r="BV152" s="7"/>
    </row>
    <row r="153" spans="1:74">
      <c r="B153" s="3"/>
      <c r="N153" s="2"/>
      <c r="Q153" s="24"/>
      <c r="AZ153" s="2"/>
      <c r="BG153" s="7"/>
      <c r="BV153" s="7"/>
    </row>
    <row r="154" spans="1:74">
      <c r="B154" s="3"/>
      <c r="N154" s="2"/>
      <c r="Q154" s="24"/>
      <c r="AZ154" s="2"/>
      <c r="BG154" s="7"/>
      <c r="BV154" s="7"/>
    </row>
    <row r="155" spans="1:74">
      <c r="B155" s="3"/>
      <c r="N155" s="2"/>
      <c r="Q155" s="24"/>
      <c r="AZ155" s="2"/>
      <c r="BG155" s="7"/>
      <c r="BV155" s="7"/>
    </row>
    <row r="156" spans="1:74">
      <c r="B156" s="3"/>
      <c r="N156" s="2"/>
      <c r="Q156" s="24"/>
      <c r="AZ156" s="2"/>
      <c r="BG156" s="7"/>
      <c r="BV156" s="7"/>
    </row>
    <row r="157" spans="1:74">
      <c r="B157" s="3"/>
      <c r="N157" s="2"/>
      <c r="Q157" s="24"/>
      <c r="AZ157" s="2"/>
      <c r="BG157" s="7"/>
      <c r="BV157" s="7"/>
    </row>
    <row r="158" spans="1:74">
      <c r="N158" s="2"/>
      <c r="Q158" s="24"/>
      <c r="AZ158" s="2"/>
      <c r="BG158" s="7"/>
      <c r="BV158" s="7"/>
    </row>
    <row r="159" spans="1:74">
      <c r="N159" s="2"/>
      <c r="Q159" s="24"/>
      <c r="AZ159" s="2"/>
      <c r="BG159" s="7"/>
      <c r="BV159" s="7"/>
    </row>
    <row r="160" spans="1:74">
      <c r="N160" s="2"/>
      <c r="Q160" s="24"/>
      <c r="AZ160" s="2"/>
      <c r="BG160" s="7"/>
      <c r="BV160" s="7"/>
    </row>
    <row r="161" spans="1:74">
      <c r="A161" s="3"/>
      <c r="B161" s="3"/>
      <c r="N161" s="2"/>
      <c r="Q161" s="24"/>
      <c r="AZ161" s="2"/>
      <c r="BG161" s="7"/>
      <c r="BV161" s="7"/>
    </row>
    <row r="162" spans="1:74">
      <c r="B162" s="3"/>
      <c r="N162" s="2"/>
      <c r="Q162" s="24"/>
      <c r="AZ162" s="2"/>
      <c r="BG162" s="7"/>
      <c r="BV162" s="7"/>
    </row>
    <row r="163" spans="1:74">
      <c r="N163" s="2"/>
      <c r="Q163" s="24"/>
      <c r="AZ163" s="2"/>
      <c r="BG163" s="7"/>
      <c r="BV163" s="7"/>
    </row>
    <row r="164" spans="1:74">
      <c r="N164" s="2"/>
      <c r="Q164" s="24"/>
      <c r="AZ164" s="2"/>
      <c r="BG164" s="7"/>
      <c r="BV164" s="7"/>
    </row>
    <row r="165" spans="1:74">
      <c r="N165" s="2"/>
      <c r="Q165" s="24"/>
      <c r="AZ165" s="2"/>
      <c r="BG165" s="7"/>
      <c r="BV165" s="7"/>
    </row>
    <row r="166" spans="1:74">
      <c r="N166" s="2"/>
      <c r="Q166" s="24"/>
      <c r="AZ166" s="2"/>
      <c r="BG166" s="7"/>
      <c r="BV166" s="7"/>
    </row>
    <row r="167" spans="1:74">
      <c r="N167" s="2"/>
      <c r="Q167" s="24"/>
      <c r="AZ167" s="2"/>
      <c r="BG167" s="7"/>
      <c r="BV167" s="7"/>
    </row>
    <row r="168" spans="1:74">
      <c r="A168" s="3"/>
      <c r="N168" s="2"/>
      <c r="Q168" s="24"/>
      <c r="AZ168" s="2"/>
      <c r="BG168" s="7"/>
      <c r="BV168" s="7"/>
    </row>
    <row r="169" spans="1:74">
      <c r="A169" s="3"/>
      <c r="N169" s="2"/>
      <c r="Q169" s="24"/>
      <c r="AZ169" s="2"/>
      <c r="BG169" s="7"/>
      <c r="BV169" s="7"/>
    </row>
    <row r="170" spans="1:74">
      <c r="A170" s="3"/>
      <c r="B170" s="3"/>
      <c r="N170" s="2"/>
      <c r="Q170" s="24"/>
      <c r="AZ170" s="2"/>
      <c r="BG170" s="7"/>
      <c r="BV170" s="7"/>
    </row>
    <row r="171" spans="1:74">
      <c r="B171" s="3"/>
      <c r="N171" s="2"/>
      <c r="Q171" s="24"/>
      <c r="AZ171" s="2"/>
      <c r="BG171" s="7"/>
      <c r="BV171" s="7"/>
    </row>
    <row r="172" spans="1:74">
      <c r="A172" s="3"/>
      <c r="B172" s="3"/>
      <c r="N172" s="2"/>
      <c r="Q172" s="24"/>
      <c r="AZ172" s="2"/>
      <c r="BG172" s="7"/>
      <c r="BV172" s="7"/>
    </row>
    <row r="173" spans="1:74">
      <c r="N173" s="2"/>
      <c r="Q173" s="24"/>
      <c r="AZ173" s="2"/>
      <c r="BG173" s="7"/>
      <c r="BV173" s="7"/>
    </row>
    <row r="174" spans="1:74">
      <c r="N174" s="2"/>
      <c r="Q174" s="24"/>
      <c r="AZ174" s="2"/>
      <c r="BG174" s="7"/>
      <c r="BV174" s="7"/>
    </row>
    <row r="175" spans="1:74">
      <c r="AZ175" s="2"/>
      <c r="BC175" s="7"/>
    </row>
    <row r="176" spans="1:74">
      <c r="AZ176" s="2"/>
      <c r="BC176" s="7"/>
    </row>
    <row r="177" spans="52:55">
      <c r="AZ177" s="2"/>
      <c r="BC177" s="7"/>
    </row>
    <row r="178" spans="52:55">
      <c r="AZ178" s="2"/>
      <c r="BC178" s="7"/>
    </row>
    <row r="179" spans="52:55">
      <c r="AZ179" s="2"/>
      <c r="BC179" s="7"/>
    </row>
    <row r="180" spans="52:55">
      <c r="AZ180" s="2"/>
      <c r="BC180" s="7"/>
    </row>
    <row r="181" spans="52:55">
      <c r="AZ181" s="2"/>
      <c r="BC181" s="7"/>
    </row>
    <row r="182" spans="52:55">
      <c r="AZ182" s="2"/>
      <c r="BC182" s="7"/>
    </row>
    <row r="183" spans="52:55">
      <c r="AZ183" s="2"/>
      <c r="BC183" s="7"/>
    </row>
    <row r="184" spans="52:55">
      <c r="AZ184" s="2"/>
      <c r="BC184" s="7"/>
    </row>
    <row r="185" spans="52:55">
      <c r="AZ185" s="2"/>
      <c r="BC185" s="7"/>
    </row>
    <row r="186" spans="52:55">
      <c r="AZ186" s="2"/>
      <c r="BC186" s="7"/>
    </row>
    <row r="187" spans="52:55">
      <c r="AZ187" s="2"/>
      <c r="BC187" s="7"/>
    </row>
    <row r="188" spans="52:55">
      <c r="AZ188" s="2"/>
      <c r="BC188" s="7"/>
    </row>
    <row r="189" spans="52:55">
      <c r="AZ189" s="2"/>
      <c r="BC189" s="7"/>
    </row>
    <row r="190" spans="52:55">
      <c r="AZ190" s="2"/>
      <c r="BC190" s="7"/>
    </row>
    <row r="191" spans="52:55">
      <c r="AZ191" s="2"/>
      <c r="BC191" s="7"/>
    </row>
    <row r="192" spans="52:55">
      <c r="AZ192" s="2"/>
      <c r="BC192" s="7"/>
    </row>
    <row r="193" spans="52:55">
      <c r="AZ193" s="2"/>
      <c r="BC193" s="7"/>
    </row>
    <row r="194" spans="52:55">
      <c r="AZ194" s="2"/>
      <c r="BC194" s="7"/>
    </row>
    <row r="195" spans="52:55">
      <c r="AZ195" s="2"/>
      <c r="BC195" s="7"/>
    </row>
    <row r="196" spans="52:55">
      <c r="AZ196" s="2"/>
      <c r="BC196" s="7"/>
    </row>
    <row r="197" spans="52:55">
      <c r="AZ197" s="2"/>
      <c r="BC197" s="7"/>
    </row>
    <row r="198" spans="52:55">
      <c r="AZ198" s="2"/>
      <c r="BC198" s="7"/>
    </row>
    <row r="199" spans="52:55">
      <c r="AZ199" s="2"/>
      <c r="BC199" s="7"/>
    </row>
    <row r="200" spans="52:55">
      <c r="AZ200" s="2"/>
      <c r="BC200" s="7"/>
    </row>
    <row r="201" spans="52:55">
      <c r="AZ201" s="2"/>
      <c r="BC201" s="7"/>
    </row>
    <row r="202" spans="52:55">
      <c r="AZ202" s="2"/>
      <c r="BC202" s="7"/>
    </row>
    <row r="203" spans="52:55">
      <c r="AZ203" s="2"/>
      <c r="BC203" s="7"/>
    </row>
    <row r="204" spans="52:55">
      <c r="AZ204" s="2"/>
      <c r="BC204" s="7"/>
    </row>
    <row r="205" spans="52:55">
      <c r="AZ205" s="2"/>
      <c r="BC205" s="7"/>
    </row>
    <row r="206" spans="52:55">
      <c r="AZ206" s="2"/>
      <c r="BC206" s="7"/>
    </row>
    <row r="207" spans="52:55">
      <c r="AZ207" s="2"/>
      <c r="BC207" s="7"/>
    </row>
    <row r="208" spans="52:55">
      <c r="AZ208" s="2"/>
      <c r="BC208" s="7"/>
    </row>
    <row r="209" spans="52:55">
      <c r="AZ209" s="2"/>
      <c r="BC209" s="7"/>
    </row>
    <row r="210" spans="52:55">
      <c r="AZ210" s="2"/>
      <c r="BC210" s="7"/>
    </row>
    <row r="211" spans="52:55">
      <c r="AZ211" s="2"/>
      <c r="BC211" s="7"/>
    </row>
    <row r="212" spans="52:55">
      <c r="AZ212" s="2"/>
      <c r="BC212" s="7"/>
    </row>
    <row r="213" spans="52:55">
      <c r="AZ213" s="2"/>
      <c r="BC213" s="7"/>
    </row>
    <row r="214" spans="52:55">
      <c r="AZ214" s="2"/>
      <c r="BC214" s="7"/>
    </row>
    <row r="215" spans="52:55">
      <c r="AZ215" s="2"/>
      <c r="BC215" s="7"/>
    </row>
    <row r="216" spans="52:55">
      <c r="AZ216" s="2"/>
      <c r="BC216" s="7"/>
    </row>
  </sheetData>
  <printOptions horizontalCentered="1" gridLinesSet="0"/>
  <pageMargins left="0.25" right="0.25" top="0.7" bottom="0.37" header="0.5" footer="0.5"/>
  <pageSetup scale="80" orientation="landscape" horizontalDpi="1200" verticalDpi="1200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10.710937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24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140625" style="2" bestFit="1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570312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7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140625" style="2" bestFit="1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9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36" t="s">
        <v>109</v>
      </c>
      <c r="B1" s="36"/>
      <c r="C1" s="36"/>
      <c r="D1" s="36"/>
      <c r="E1" s="36"/>
      <c r="F1" s="36"/>
      <c r="G1" s="36"/>
      <c r="H1" s="56"/>
      <c r="K1" s="1" t="s">
        <v>1</v>
      </c>
      <c r="N1" s="2"/>
      <c r="R1" s="24"/>
      <c r="T1" s="3"/>
      <c r="U1" s="3"/>
      <c r="AD1" s="1" t="s">
        <v>2</v>
      </c>
      <c r="AG1" s="3"/>
      <c r="AP1" s="1" t="s">
        <v>3</v>
      </c>
      <c r="AZ1" s="2"/>
      <c r="BC1" s="4"/>
      <c r="BG1" s="1" t="s">
        <v>4</v>
      </c>
      <c r="BJ1" s="3"/>
      <c r="BV1" s="1" t="s">
        <v>217</v>
      </c>
      <c r="BY1" s="3"/>
    </row>
    <row r="2" spans="1:106">
      <c r="A2" s="36" t="s">
        <v>108</v>
      </c>
      <c r="B2" s="36"/>
      <c r="C2" s="36"/>
      <c r="D2" s="36"/>
      <c r="E2" s="36"/>
      <c r="F2" s="36"/>
      <c r="G2" s="36"/>
      <c r="H2" s="56"/>
      <c r="K2" s="1" t="s">
        <v>5</v>
      </c>
      <c r="N2" s="2"/>
      <c r="R2" s="24"/>
      <c r="T2" s="3"/>
      <c r="U2" s="3"/>
      <c r="AD2" s="1" t="s">
        <v>6</v>
      </c>
      <c r="AG2" s="3"/>
      <c r="AP2" s="1" t="s">
        <v>7</v>
      </c>
      <c r="AZ2" s="2"/>
      <c r="BC2" s="4"/>
      <c r="BD2" s="4"/>
      <c r="BG2" s="1" t="s">
        <v>8</v>
      </c>
      <c r="BJ2" s="3"/>
      <c r="BO2" s="3"/>
      <c r="BV2" s="1" t="s">
        <v>218</v>
      </c>
      <c r="BY2" s="3"/>
    </row>
    <row r="3" spans="1:106">
      <c r="N3" s="2"/>
      <c r="R3" s="24"/>
      <c r="AZ3" s="2"/>
      <c r="BD3" s="4"/>
      <c r="BG3" s="7"/>
      <c r="BO3" s="3"/>
      <c r="BV3" s="7"/>
    </row>
    <row r="4" spans="1:106">
      <c r="A4" s="5" t="s">
        <v>9</v>
      </c>
      <c r="B4" s="6" t="s">
        <v>94</v>
      </c>
      <c r="K4" s="3" t="s">
        <v>9</v>
      </c>
      <c r="M4" s="9" t="str">
        <f>B4</f>
        <v>Montana-Dakota Utilities Co.</v>
      </c>
      <c r="N4" s="2"/>
      <c r="R4" s="24"/>
      <c r="S4" s="113"/>
      <c r="AD4" s="3" t="s">
        <v>9</v>
      </c>
      <c r="AF4" s="9" t="str">
        <f>B4</f>
        <v>Montana-Dakota Utilities Co.</v>
      </c>
      <c r="AP4" s="3" t="s">
        <v>11</v>
      </c>
      <c r="AR4" s="9" t="str">
        <f>AF4</f>
        <v>Montana-Dakota Utilities Co.</v>
      </c>
      <c r="AZ4" s="2"/>
      <c r="BH4" s="2" t="s">
        <v>11</v>
      </c>
      <c r="BI4" s="9" t="str">
        <f>AR4</f>
        <v>Montana-Dakota Utilities Co.</v>
      </c>
      <c r="BW4" s="2" t="s">
        <v>11</v>
      </c>
      <c r="BX4" s="9" t="str">
        <f>BI4</f>
        <v>Montana-Dakota Utilities Co.</v>
      </c>
    </row>
    <row r="5" spans="1:106">
      <c r="A5" s="5" t="s">
        <v>10</v>
      </c>
      <c r="B5" s="8" t="s">
        <v>266</v>
      </c>
      <c r="K5" s="3" t="s">
        <v>10</v>
      </c>
      <c r="M5" s="9" t="str">
        <f>$B$5</f>
        <v>Commercial Custom Efficiency</v>
      </c>
      <c r="N5" s="2"/>
      <c r="R5" s="24"/>
      <c r="AD5" s="3" t="s">
        <v>10</v>
      </c>
      <c r="AF5" s="9" t="str">
        <f>$B$5</f>
        <v>Commercial Custom Efficiency</v>
      </c>
      <c r="AP5" s="3" t="s">
        <v>12</v>
      </c>
      <c r="AR5" s="9" t="str">
        <f>$B$5</f>
        <v>Commercial Custom Efficiency</v>
      </c>
      <c r="AZ5" s="2"/>
      <c r="BH5" s="2" t="s">
        <v>12</v>
      </c>
      <c r="BI5" s="9" t="str">
        <f>$B$5</f>
        <v>Commercial Custom Efficiency</v>
      </c>
      <c r="BW5" s="2" t="s">
        <v>12</v>
      </c>
      <c r="BX5" s="9" t="str">
        <f>$B$5</f>
        <v>Commercial Custom Efficiency</v>
      </c>
    </row>
    <row r="6" spans="1:106">
      <c r="A6" s="5" t="s">
        <v>202</v>
      </c>
      <c r="B6" s="6">
        <f>'Total Program'!$B$6</f>
        <v>2025</v>
      </c>
      <c r="N6" s="2"/>
      <c r="R6" s="24"/>
      <c r="AZ6" s="2"/>
      <c r="BG6" s="7"/>
      <c r="BV6" s="7"/>
    </row>
    <row r="7" spans="1:106">
      <c r="N7" s="31" t="s">
        <v>14</v>
      </c>
      <c r="O7" s="31"/>
      <c r="P7" s="31"/>
      <c r="Q7" s="31"/>
      <c r="R7" s="81"/>
      <c r="S7" s="31"/>
      <c r="T7" s="31"/>
      <c r="U7" s="31"/>
      <c r="V7" s="31"/>
      <c r="X7" s="65" t="s">
        <v>15</v>
      </c>
      <c r="Y7" s="65"/>
      <c r="Z7" s="80"/>
      <c r="AA7" s="80"/>
      <c r="AB7" s="7"/>
      <c r="AF7" s="31" t="s">
        <v>14</v>
      </c>
      <c r="AG7" s="79"/>
      <c r="AH7" s="79"/>
      <c r="AJ7" s="65" t="s">
        <v>15</v>
      </c>
      <c r="AK7" s="65"/>
      <c r="AL7" s="65"/>
      <c r="AN7" s="56" t="s">
        <v>81</v>
      </c>
      <c r="AR7" s="31" t="s">
        <v>14</v>
      </c>
      <c r="AS7" s="31"/>
      <c r="AT7" s="31"/>
      <c r="AU7" s="31"/>
      <c r="AV7" s="31"/>
      <c r="AW7" s="31"/>
      <c r="AX7" s="31"/>
      <c r="AY7" s="31"/>
      <c r="AZ7" s="31"/>
      <c r="BB7" s="65" t="s">
        <v>15</v>
      </c>
      <c r="BC7" s="65"/>
      <c r="BD7" s="65"/>
      <c r="BE7" s="36" t="s">
        <v>81</v>
      </c>
      <c r="BG7" s="7"/>
      <c r="BI7" s="31" t="s">
        <v>14</v>
      </c>
      <c r="BJ7" s="79"/>
      <c r="BK7" s="79"/>
      <c r="BL7" s="79"/>
      <c r="BM7" s="79"/>
      <c r="BN7" s="79"/>
      <c r="BO7" s="79"/>
      <c r="BP7" s="79"/>
      <c r="BR7" s="88" t="s">
        <v>15</v>
      </c>
      <c r="BS7" s="36" t="s">
        <v>81</v>
      </c>
      <c r="BV7" s="7"/>
      <c r="BX7" s="31" t="s">
        <v>14</v>
      </c>
      <c r="BY7" s="79"/>
      <c r="BZ7" s="79"/>
      <c r="CA7" s="79"/>
      <c r="CC7" s="65" t="s">
        <v>15</v>
      </c>
      <c r="CD7" s="65"/>
      <c r="CE7" s="65"/>
      <c r="CF7" s="36" t="s">
        <v>81</v>
      </c>
    </row>
    <row r="8" spans="1:106">
      <c r="A8" s="100" t="s">
        <v>13</v>
      </c>
      <c r="B8" s="100"/>
      <c r="C8" s="10"/>
      <c r="E8" s="100"/>
      <c r="F8" s="106">
        <f>+'Total Program Inputs'!C6</f>
        <v>2025</v>
      </c>
      <c r="G8" s="7"/>
      <c r="H8" s="114"/>
      <c r="M8" s="101"/>
      <c r="N8" s="101"/>
      <c r="Q8" s="101"/>
      <c r="R8" s="24"/>
      <c r="S8" s="101"/>
      <c r="T8" s="101"/>
      <c r="U8" s="101"/>
      <c r="V8" s="101"/>
      <c r="W8" s="101"/>
      <c r="X8" s="101"/>
      <c r="Z8" s="101"/>
      <c r="AA8" s="7"/>
      <c r="AB8" s="7" t="s">
        <v>17</v>
      </c>
      <c r="AF8" s="101"/>
      <c r="AG8" s="101"/>
      <c r="AH8" s="101"/>
      <c r="AM8" s="101"/>
      <c r="AN8" s="7" t="s">
        <v>17</v>
      </c>
      <c r="AT8" s="7" t="s">
        <v>24</v>
      </c>
      <c r="AU8" s="101"/>
      <c r="AV8" s="7"/>
      <c r="AW8" s="101"/>
      <c r="AX8" s="7"/>
      <c r="AY8" s="101"/>
      <c r="AZ8" s="101"/>
      <c r="BA8" s="101"/>
      <c r="BB8" s="101"/>
      <c r="BC8" s="101"/>
      <c r="BD8" s="101"/>
      <c r="BE8" s="7" t="s">
        <v>17</v>
      </c>
      <c r="BG8" s="7"/>
      <c r="BH8" s="7"/>
      <c r="BI8" s="7"/>
      <c r="BT8" s="7" t="s">
        <v>17</v>
      </c>
      <c r="BV8" s="7"/>
      <c r="BW8" s="7"/>
      <c r="BX8" s="7"/>
      <c r="CG8" s="7" t="s">
        <v>17</v>
      </c>
      <c r="DA8" s="101"/>
      <c r="DB8" s="101"/>
    </row>
    <row r="9" spans="1:106">
      <c r="A9" s="3"/>
      <c r="E9" s="3"/>
      <c r="M9" s="7" t="s">
        <v>20</v>
      </c>
      <c r="N9" s="7" t="s">
        <v>23</v>
      </c>
      <c r="O9" s="7" t="s">
        <v>23</v>
      </c>
      <c r="P9" s="102" t="s">
        <v>21</v>
      </c>
      <c r="Q9" s="102" t="s">
        <v>21</v>
      </c>
      <c r="R9" s="103" t="s">
        <v>20</v>
      </c>
      <c r="S9" s="104" t="s">
        <v>97</v>
      </c>
      <c r="T9" s="7" t="s">
        <v>31</v>
      </c>
      <c r="U9" s="103" t="s">
        <v>20</v>
      </c>
      <c r="V9" s="7"/>
      <c r="W9" s="104" t="s">
        <v>96</v>
      </c>
      <c r="Y9" s="7" t="s">
        <v>35</v>
      </c>
      <c r="Z9" s="7"/>
      <c r="AA9" s="7" t="s">
        <v>20</v>
      </c>
      <c r="AB9" s="7" t="s">
        <v>14</v>
      </c>
      <c r="AF9" s="104" t="s">
        <v>20</v>
      </c>
      <c r="AG9" s="103" t="s">
        <v>20</v>
      </c>
      <c r="AH9" s="104" t="s">
        <v>17</v>
      </c>
      <c r="AJ9" s="7" t="s">
        <v>35</v>
      </c>
      <c r="AK9" s="7"/>
      <c r="AL9" s="7" t="s">
        <v>22</v>
      </c>
      <c r="AN9" s="7" t="s">
        <v>14</v>
      </c>
      <c r="AR9" s="104" t="s">
        <v>20</v>
      </c>
      <c r="AS9" s="7" t="s">
        <v>20</v>
      </c>
      <c r="AT9" s="7" t="s">
        <v>36</v>
      </c>
      <c r="AU9" s="7" t="s">
        <v>24</v>
      </c>
      <c r="AV9" s="102" t="s">
        <v>37</v>
      </c>
      <c r="AW9" s="102" t="s">
        <v>37</v>
      </c>
      <c r="AX9" s="7"/>
      <c r="AZ9" s="7" t="s">
        <v>17</v>
      </c>
      <c r="BB9" s="7" t="s">
        <v>22</v>
      </c>
      <c r="BC9" s="7" t="s">
        <v>39</v>
      </c>
      <c r="BD9" s="7" t="s">
        <v>17</v>
      </c>
      <c r="BE9" s="7" t="s">
        <v>14</v>
      </c>
      <c r="BG9" s="7"/>
      <c r="BH9" s="7"/>
      <c r="BI9" s="7"/>
      <c r="BJ9" s="7" t="s">
        <v>20</v>
      </c>
      <c r="BL9" s="7" t="s">
        <v>23</v>
      </c>
      <c r="BM9" s="7" t="s">
        <v>24</v>
      </c>
      <c r="BN9" s="7" t="s">
        <v>24</v>
      </c>
      <c r="BO9" s="7"/>
      <c r="BP9" s="7" t="s">
        <v>20</v>
      </c>
      <c r="BR9" s="7" t="s">
        <v>26</v>
      </c>
      <c r="BS9" s="7"/>
      <c r="BT9" s="7" t="s">
        <v>14</v>
      </c>
      <c r="BV9" s="7"/>
      <c r="BW9" s="7"/>
      <c r="BX9" s="7" t="s">
        <v>20</v>
      </c>
      <c r="BY9" s="7" t="s">
        <v>20</v>
      </c>
      <c r="BZ9" s="7" t="s">
        <v>24</v>
      </c>
      <c r="CA9" s="7" t="s">
        <v>20</v>
      </c>
      <c r="CC9" s="7" t="s">
        <v>22</v>
      </c>
      <c r="CD9" s="7" t="s">
        <v>39</v>
      </c>
      <c r="CE9" s="114"/>
      <c r="CF9" s="7"/>
      <c r="CG9" s="7" t="s">
        <v>14</v>
      </c>
    </row>
    <row r="10" spans="1:106">
      <c r="A10" s="3" t="s">
        <v>104</v>
      </c>
      <c r="C10" s="11">
        <f>+'Gas Input Table Summary'!$E$7</f>
        <v>6.9710000000000001</v>
      </c>
      <c r="D10" s="12"/>
      <c r="E10" s="3" t="s">
        <v>16</v>
      </c>
      <c r="J10" s="15"/>
      <c r="M10" s="7" t="s">
        <v>28</v>
      </c>
      <c r="N10" s="7" t="s">
        <v>29</v>
      </c>
      <c r="O10" s="7" t="s">
        <v>29</v>
      </c>
      <c r="P10" s="102" t="s">
        <v>30</v>
      </c>
      <c r="Q10" s="102" t="s">
        <v>30</v>
      </c>
      <c r="R10" s="103" t="s">
        <v>36</v>
      </c>
      <c r="S10" s="7" t="s">
        <v>31</v>
      </c>
      <c r="T10" s="7" t="s">
        <v>38</v>
      </c>
      <c r="U10" s="103" t="s">
        <v>31</v>
      </c>
      <c r="V10" s="7" t="s">
        <v>20</v>
      </c>
      <c r="W10" s="7" t="s">
        <v>119</v>
      </c>
      <c r="X10" s="7" t="s">
        <v>92</v>
      </c>
      <c r="Y10" s="7" t="s">
        <v>145</v>
      </c>
      <c r="Z10" s="7" t="s">
        <v>118</v>
      </c>
      <c r="AA10" s="7" t="s">
        <v>35</v>
      </c>
      <c r="AB10" s="7" t="s">
        <v>34</v>
      </c>
      <c r="AF10" s="104" t="s">
        <v>36</v>
      </c>
      <c r="AG10" s="103" t="s">
        <v>31</v>
      </c>
      <c r="AH10" s="104" t="s">
        <v>20</v>
      </c>
      <c r="AJ10" s="7" t="s">
        <v>145</v>
      </c>
      <c r="AK10" s="7" t="s">
        <v>118</v>
      </c>
      <c r="AL10" s="7" t="s">
        <v>35</v>
      </c>
      <c r="AN10" s="7" t="s">
        <v>34</v>
      </c>
      <c r="AR10" s="7" t="s">
        <v>28</v>
      </c>
      <c r="AS10" s="7" t="s">
        <v>132</v>
      </c>
      <c r="AT10" s="7" t="s">
        <v>38</v>
      </c>
      <c r="AU10" s="7" t="s">
        <v>36</v>
      </c>
      <c r="AV10" s="7" t="s">
        <v>99</v>
      </c>
      <c r="AW10" s="104" t="s">
        <v>99</v>
      </c>
      <c r="AX10" s="7"/>
      <c r="AY10" s="102"/>
      <c r="AZ10" s="7" t="s">
        <v>20</v>
      </c>
      <c r="BB10" s="7" t="s">
        <v>35</v>
      </c>
      <c r="BC10" s="104" t="s">
        <v>100</v>
      </c>
      <c r="BD10" s="7" t="s">
        <v>20</v>
      </c>
      <c r="BE10" s="7" t="s">
        <v>34</v>
      </c>
      <c r="BG10" s="7"/>
      <c r="BH10" s="7"/>
      <c r="BI10" s="7" t="s">
        <v>25</v>
      </c>
      <c r="BJ10" s="7" t="s">
        <v>28</v>
      </c>
      <c r="BK10" s="7" t="s">
        <v>32</v>
      </c>
      <c r="BL10" s="7" t="s">
        <v>33</v>
      </c>
      <c r="BM10" s="7" t="s">
        <v>137</v>
      </c>
      <c r="BN10" s="7" t="s">
        <v>36</v>
      </c>
      <c r="BO10" s="7"/>
      <c r="BP10" s="7" t="s">
        <v>17</v>
      </c>
      <c r="BR10" s="7" t="s">
        <v>112</v>
      </c>
      <c r="BS10" s="7"/>
      <c r="BT10" s="7" t="s">
        <v>34</v>
      </c>
      <c r="BV10" s="7"/>
      <c r="BW10" s="7"/>
      <c r="BX10" s="7" t="s">
        <v>28</v>
      </c>
      <c r="BY10" s="114" t="s">
        <v>31</v>
      </c>
      <c r="BZ10" s="7" t="s">
        <v>36</v>
      </c>
      <c r="CA10" s="7" t="s">
        <v>17</v>
      </c>
      <c r="CC10" s="7" t="s">
        <v>35</v>
      </c>
      <c r="CD10" s="104" t="s">
        <v>100</v>
      </c>
      <c r="CE10" s="114" t="s">
        <v>20</v>
      </c>
      <c r="CF10" s="7"/>
      <c r="CG10" s="7" t="s">
        <v>34</v>
      </c>
    </row>
    <row r="11" spans="1:106">
      <c r="A11" s="3" t="s">
        <v>18</v>
      </c>
      <c r="C11" s="13">
        <f>+'Gas Input Table Summary'!$E$8</f>
        <v>0.03</v>
      </c>
      <c r="E11" s="3" t="s">
        <v>19</v>
      </c>
      <c r="F11" s="137">
        <f>+'Total Program Inputs'!M20</f>
        <v>0</v>
      </c>
      <c r="G11" s="256"/>
      <c r="H11" s="256"/>
      <c r="J11" s="5"/>
      <c r="M11" s="7" t="s">
        <v>44</v>
      </c>
      <c r="N11" s="7" t="s">
        <v>107</v>
      </c>
      <c r="O11" s="7" t="s">
        <v>38</v>
      </c>
      <c r="P11" s="102" t="s">
        <v>107</v>
      </c>
      <c r="Q11" s="102" t="s">
        <v>38</v>
      </c>
      <c r="R11" s="103" t="s">
        <v>38</v>
      </c>
      <c r="S11" s="7" t="s">
        <v>44</v>
      </c>
      <c r="T11" s="7" t="s">
        <v>95</v>
      </c>
      <c r="U11" s="103" t="s">
        <v>38</v>
      </c>
      <c r="V11" s="7" t="s">
        <v>38</v>
      </c>
      <c r="W11" s="7" t="s">
        <v>120</v>
      </c>
      <c r="X11" s="7" t="s">
        <v>93</v>
      </c>
      <c r="Y11" s="7" t="s">
        <v>15</v>
      </c>
      <c r="Z11" s="7" t="s">
        <v>15</v>
      </c>
      <c r="AA11" s="7" t="s">
        <v>15</v>
      </c>
      <c r="AB11" s="7" t="s">
        <v>15</v>
      </c>
      <c r="AF11" s="7" t="s">
        <v>38</v>
      </c>
      <c r="AG11" s="103" t="s">
        <v>38</v>
      </c>
      <c r="AH11" s="103" t="s">
        <v>38</v>
      </c>
      <c r="AJ11" s="7" t="s">
        <v>15</v>
      </c>
      <c r="AK11" s="7" t="s">
        <v>15</v>
      </c>
      <c r="AL11" s="7" t="s">
        <v>15</v>
      </c>
      <c r="AN11" s="7" t="s">
        <v>15</v>
      </c>
      <c r="AR11" s="7" t="s">
        <v>38</v>
      </c>
      <c r="AS11" s="7" t="s">
        <v>38</v>
      </c>
      <c r="AT11" s="7" t="s">
        <v>134</v>
      </c>
      <c r="AU11" s="7" t="s">
        <v>38</v>
      </c>
      <c r="AV11" s="105" t="s">
        <v>133</v>
      </c>
      <c r="AW11" s="105" t="s">
        <v>38</v>
      </c>
      <c r="AX11" s="7"/>
      <c r="AY11" s="102"/>
      <c r="AZ11" s="104" t="s">
        <v>38</v>
      </c>
      <c r="BB11" s="7" t="s">
        <v>15</v>
      </c>
      <c r="BC11" s="48" t="s">
        <v>101</v>
      </c>
      <c r="BD11" s="104" t="s">
        <v>15</v>
      </c>
      <c r="BE11" s="7" t="s">
        <v>15</v>
      </c>
      <c r="BH11" s="7"/>
      <c r="BI11" s="7" t="s">
        <v>46</v>
      </c>
      <c r="BJ11" s="7" t="s">
        <v>44</v>
      </c>
      <c r="BK11" s="7" t="s">
        <v>45</v>
      </c>
      <c r="BL11" s="7" t="s">
        <v>38</v>
      </c>
      <c r="BM11" s="7" t="s">
        <v>0</v>
      </c>
      <c r="BN11" s="7" t="s">
        <v>38</v>
      </c>
      <c r="BO11" s="7"/>
      <c r="BP11" s="7" t="s">
        <v>14</v>
      </c>
      <c r="BR11" s="7" t="s">
        <v>15</v>
      </c>
      <c r="BS11" s="7"/>
      <c r="BT11" s="7" t="s">
        <v>15</v>
      </c>
      <c r="BW11" s="7"/>
      <c r="BX11" s="114" t="s">
        <v>38</v>
      </c>
      <c r="BY11" s="114" t="s">
        <v>38</v>
      </c>
      <c r="BZ11" s="7" t="s">
        <v>38</v>
      </c>
      <c r="CA11" s="7" t="s">
        <v>14</v>
      </c>
      <c r="CC11" s="7" t="s">
        <v>15</v>
      </c>
      <c r="CD11" s="48" t="s">
        <v>101</v>
      </c>
      <c r="CE11" s="7" t="s">
        <v>15</v>
      </c>
      <c r="CF11" s="7"/>
      <c r="CG11" s="7" t="s">
        <v>15</v>
      </c>
    </row>
    <row r="12" spans="1:106">
      <c r="A12" s="3"/>
      <c r="C12" s="13"/>
      <c r="E12" s="3" t="s">
        <v>27</v>
      </c>
      <c r="F12" s="129">
        <f>+'Total Program Inputs'!I20</f>
        <v>0</v>
      </c>
      <c r="G12" s="22"/>
      <c r="H12" s="22"/>
      <c r="L12" s="106" t="s">
        <v>43</v>
      </c>
      <c r="M12" s="106" t="s">
        <v>48</v>
      </c>
      <c r="N12" s="106" t="s">
        <v>49</v>
      </c>
      <c r="O12" s="106" t="s">
        <v>50</v>
      </c>
      <c r="P12" s="106" t="s">
        <v>51</v>
      </c>
      <c r="Q12" s="106" t="s">
        <v>52</v>
      </c>
      <c r="R12" s="106" t="s">
        <v>53</v>
      </c>
      <c r="S12" s="106" t="s">
        <v>54</v>
      </c>
      <c r="T12" s="106" t="s">
        <v>55</v>
      </c>
      <c r="U12" s="106" t="s">
        <v>56</v>
      </c>
      <c r="V12" s="106" t="s">
        <v>57</v>
      </c>
      <c r="W12" s="106" t="s">
        <v>58</v>
      </c>
      <c r="X12" s="106" t="s">
        <v>59</v>
      </c>
      <c r="Y12" s="106" t="s">
        <v>60</v>
      </c>
      <c r="Z12" s="106" t="s">
        <v>61</v>
      </c>
      <c r="AA12" s="106" t="s">
        <v>138</v>
      </c>
      <c r="AB12" s="106" t="s">
        <v>146</v>
      </c>
      <c r="AE12" s="106" t="s">
        <v>43</v>
      </c>
      <c r="AF12" s="106" t="s">
        <v>48</v>
      </c>
      <c r="AG12" s="106" t="s">
        <v>49</v>
      </c>
      <c r="AH12" s="106" t="s">
        <v>50</v>
      </c>
      <c r="AJ12" s="106" t="s">
        <v>51</v>
      </c>
      <c r="AK12" s="106" t="s">
        <v>52</v>
      </c>
      <c r="AL12" s="106" t="s">
        <v>53</v>
      </c>
      <c r="AN12" s="106" t="s">
        <v>54</v>
      </c>
      <c r="AQ12" s="106" t="s">
        <v>43</v>
      </c>
      <c r="AR12" s="106" t="s">
        <v>48</v>
      </c>
      <c r="AS12" s="106" t="s">
        <v>49</v>
      </c>
      <c r="AT12" s="106" t="s">
        <v>50</v>
      </c>
      <c r="AU12" s="106" t="s">
        <v>51</v>
      </c>
      <c r="AV12" s="106" t="s">
        <v>52</v>
      </c>
      <c r="AW12" s="106" t="s">
        <v>53</v>
      </c>
      <c r="AX12" s="106"/>
      <c r="AY12" s="106"/>
      <c r="AZ12" s="106" t="s">
        <v>54</v>
      </c>
      <c r="BB12" s="106" t="s">
        <v>55</v>
      </c>
      <c r="BC12" s="106" t="s">
        <v>56</v>
      </c>
      <c r="BD12" s="106" t="s">
        <v>57</v>
      </c>
      <c r="BE12" s="106" t="s">
        <v>58</v>
      </c>
      <c r="BH12" s="106" t="s">
        <v>43</v>
      </c>
      <c r="BI12" s="106" t="s">
        <v>48</v>
      </c>
      <c r="BJ12" s="106" t="s">
        <v>49</v>
      </c>
      <c r="BK12" s="106" t="s">
        <v>50</v>
      </c>
      <c r="BL12" s="106" t="s">
        <v>51</v>
      </c>
      <c r="BM12" s="106" t="s">
        <v>52</v>
      </c>
      <c r="BN12" s="106" t="s">
        <v>53</v>
      </c>
      <c r="BO12" s="106"/>
      <c r="BP12" s="106" t="s">
        <v>54</v>
      </c>
      <c r="BR12" s="106" t="s">
        <v>55</v>
      </c>
      <c r="BS12" s="7"/>
      <c r="BT12" s="106" t="s">
        <v>56</v>
      </c>
      <c r="BW12" s="106" t="s">
        <v>43</v>
      </c>
      <c r="BX12" s="106" t="s">
        <v>48</v>
      </c>
      <c r="BY12" s="106" t="s">
        <v>49</v>
      </c>
      <c r="BZ12" s="106" t="s">
        <v>50</v>
      </c>
      <c r="CA12" s="117" t="s">
        <v>51</v>
      </c>
      <c r="CC12" s="117" t="s">
        <v>52</v>
      </c>
      <c r="CD12" s="117" t="s">
        <v>53</v>
      </c>
      <c r="CE12" s="117" t="s">
        <v>54</v>
      </c>
      <c r="CF12" s="7"/>
      <c r="CG12" s="117" t="s">
        <v>55</v>
      </c>
    </row>
    <row r="13" spans="1:106">
      <c r="A13" s="3" t="s">
        <v>40</v>
      </c>
      <c r="C13" s="140">
        <f>+'Gas Input Table Summary'!$E$9</f>
        <v>0.13053000000000001</v>
      </c>
      <c r="E13" s="3" t="s">
        <v>41</v>
      </c>
      <c r="F13" s="12">
        <f>SUM(F11:F12)</f>
        <v>0</v>
      </c>
      <c r="G13" s="12"/>
      <c r="H13" s="12"/>
      <c r="J13" s="7"/>
      <c r="L13" s="7"/>
      <c r="M13" s="7"/>
      <c r="N13" s="7"/>
      <c r="Q13" s="7"/>
      <c r="R13" s="24"/>
      <c r="S13" s="7"/>
      <c r="T13" s="7"/>
      <c r="V13" s="7"/>
      <c r="W13" s="7"/>
      <c r="X13" s="7"/>
      <c r="Z13" s="7"/>
      <c r="AA13" s="7"/>
      <c r="AB13" s="7"/>
      <c r="AE13" s="7"/>
      <c r="AF13" s="7"/>
      <c r="AH13" s="7"/>
      <c r="AL13" s="7"/>
      <c r="AN13" s="7"/>
      <c r="AQ13" s="7"/>
      <c r="AR13" s="7"/>
      <c r="AS13" s="7"/>
      <c r="AU13" s="7"/>
      <c r="AW13" s="4"/>
      <c r="AY13" s="4"/>
      <c r="BB13" s="7"/>
      <c r="BC13" s="7"/>
      <c r="BD13" s="7"/>
      <c r="BE13" s="7"/>
      <c r="BH13" s="7"/>
      <c r="BI13" s="7"/>
      <c r="BJ13" s="7"/>
      <c r="BK13" s="7"/>
      <c r="BL13" s="7"/>
      <c r="BN13" s="7"/>
      <c r="BO13" s="7"/>
      <c r="BP13" s="7"/>
      <c r="BR13" s="7"/>
      <c r="BS13" s="7"/>
      <c r="BT13" s="7"/>
      <c r="BW13" s="7"/>
      <c r="BX13" s="7"/>
      <c r="BY13" s="7"/>
      <c r="BZ13" s="7"/>
      <c r="CA13" s="7"/>
      <c r="CC13" s="7"/>
      <c r="CD13" s="7"/>
      <c r="CE13" s="7"/>
      <c r="CF13" s="7"/>
      <c r="CG13" s="7"/>
    </row>
    <row r="14" spans="1:106">
      <c r="A14" s="3" t="s">
        <v>47</v>
      </c>
      <c r="C14" s="13">
        <f>+'Gas Input Table Summary'!$E$10</f>
        <v>0.03</v>
      </c>
      <c r="F14" s="16"/>
      <c r="G14" s="16"/>
      <c r="H14" s="16"/>
      <c r="J14" s="2">
        <f>$C$47-$C$45</f>
        <v>0</v>
      </c>
      <c r="L14" s="7">
        <f>$C$47</f>
        <v>2025</v>
      </c>
      <c r="M14" s="16">
        <f>ROUND(IF($C$47+$F$23&gt;L14,F25*F30,0),0)</f>
        <v>0</v>
      </c>
      <c r="N14" s="107">
        <f t="shared" ref="N14:N34" si="0">ROUND($C$17*(1+$C$18)^J14,3)</f>
        <v>3.4159999999999999</v>
      </c>
      <c r="O14" s="12">
        <f>ROUND(M14*N14,0)</f>
        <v>0</v>
      </c>
      <c r="P14" s="107">
        <f t="shared" ref="P14:P34" si="1">ROUND($C$25*(1+$C$26)^J14,3)</f>
        <v>0</v>
      </c>
      <c r="Q14" s="12">
        <f>ROUND(M14*P14,0)</f>
        <v>0</v>
      </c>
      <c r="R14" s="108">
        <f>O14+Q14</f>
        <v>0</v>
      </c>
      <c r="S14" s="42">
        <f>ROUND(M14*$C$23,1)</f>
        <v>0</v>
      </c>
      <c r="T14" s="12">
        <f>ROUND($C$20*(1+$C$21)^J14,0)</f>
        <v>175</v>
      </c>
      <c r="U14" s="109">
        <f>ROUND(S14*T14,0)</f>
        <v>0</v>
      </c>
      <c r="V14" s="12">
        <f>ROUND(+U14+R14,0)</f>
        <v>0</v>
      </c>
      <c r="W14" s="110">
        <f t="shared" ref="W14:W34" si="2">ROUND($H$36*(1+$C$11)^J14,3)</f>
        <v>1.1479999999999999</v>
      </c>
      <c r="X14" s="111">
        <f t="shared" ref="X14:X34" si="3">ROUND((1-$H$38)*(W14*M14),0)</f>
        <v>0</v>
      </c>
      <c r="Y14" s="111">
        <f>ROUND($F$11,0)</f>
        <v>0</v>
      </c>
      <c r="Z14" s="111">
        <f>ROUND($F$12,0)</f>
        <v>0</v>
      </c>
      <c r="AA14" s="111">
        <f t="shared" ref="AA14:AA34" si="4">SUM(X14:Z14)</f>
        <v>0</v>
      </c>
      <c r="AB14" s="12">
        <f t="shared" ref="AB14:AB34" si="5">V14-AA14</f>
        <v>0</v>
      </c>
      <c r="AE14" s="7">
        <f>$C$47</f>
        <v>2025</v>
      </c>
      <c r="AF14" s="12">
        <f t="shared" ref="AF14:AF34" si="6">+R14</f>
        <v>0</v>
      </c>
      <c r="AG14" s="12">
        <f t="shared" ref="AG14:AG34" si="7">+U14</f>
        <v>0</v>
      </c>
      <c r="AH14" s="111">
        <f>+AG14+AF14</f>
        <v>0</v>
      </c>
      <c r="AJ14" s="12">
        <f>ROUND(Y14,0)</f>
        <v>0</v>
      </c>
      <c r="AK14" s="12">
        <f>ROUND(Z14,0)</f>
        <v>0</v>
      </c>
      <c r="AL14" s="12">
        <f t="shared" ref="AL14:AL34" si="8">SUM(AJ14:AK14)</f>
        <v>0</v>
      </c>
      <c r="AN14" s="12">
        <f t="shared" ref="AN14:AN34" si="9">+AH14-AL14</f>
        <v>0</v>
      </c>
      <c r="AQ14" s="7">
        <f>$C$47</f>
        <v>2025</v>
      </c>
      <c r="AR14" s="12">
        <f t="shared" ref="AR14:AR34" si="10">AF14</f>
        <v>0</v>
      </c>
      <c r="AS14" s="12">
        <f t="shared" ref="AS14:AS34" si="11">+AG14</f>
        <v>0</v>
      </c>
      <c r="AT14" s="107">
        <f t="shared" ref="AT14:AT34" si="12">ROUND(($C$28/(1-$C$31))*(1+$C$29)^J14,3)</f>
        <v>0.03</v>
      </c>
      <c r="AU14" s="12">
        <f>ROUND(IF($C$47+$F$23&gt;$AQ14,$F$30*$F$27,0)*AT14,0)</f>
        <v>0</v>
      </c>
      <c r="AV14" s="107">
        <f t="shared" ref="AV14:AV34" si="13">ROUND($C$33*(1+$C$34)^J14,3)</f>
        <v>2.0699999999999998</v>
      </c>
      <c r="AW14" s="12">
        <f t="shared" ref="AW14:AW34" si="14">ROUND(AV14*M14,0)</f>
        <v>0</v>
      </c>
      <c r="AX14" s="107"/>
      <c r="AY14" s="12"/>
      <c r="AZ14" s="12">
        <f>ROUND(AR14+AS14+AU14+AW14+AY14,0)</f>
        <v>0</v>
      </c>
      <c r="BA14" s="17"/>
      <c r="BB14" s="111">
        <f>ROUND($F$13,0)</f>
        <v>0</v>
      </c>
      <c r="BC14" s="111">
        <f>ROUND((F15*F30)-Z14,0)</f>
        <v>0</v>
      </c>
      <c r="BD14" s="109">
        <f>BB14+BC14</f>
        <v>0</v>
      </c>
      <c r="BE14" s="111">
        <f t="shared" ref="BE14:BE34" si="15">AZ14-BD14</f>
        <v>0</v>
      </c>
      <c r="BH14" s="7">
        <f>$C$47</f>
        <v>2025</v>
      </c>
      <c r="BI14" s="12">
        <f>+F12</f>
        <v>0</v>
      </c>
      <c r="BJ14" s="16">
        <f t="shared" ref="BJ14:BJ34" si="16">+M14</f>
        <v>0</v>
      </c>
      <c r="BK14" s="112">
        <f t="shared" ref="BK14:BK34" si="17">ROUND($C$10*(1+$C$11)^J14,3)</f>
        <v>6.9710000000000001</v>
      </c>
      <c r="BL14" s="12">
        <f>ROUND(BJ14*BK14,0)</f>
        <v>0</v>
      </c>
      <c r="BM14" s="112">
        <f t="shared" ref="BM14:BM34" si="18">ROUND($C$13*(1+$C$14)^J14,3)</f>
        <v>0.13100000000000001</v>
      </c>
      <c r="BN14" s="12">
        <f>ROUND(IF($C$47+$F$23&gt;$BH14,$F$30*$F$27,0)*BM14,0)</f>
        <v>0</v>
      </c>
      <c r="BO14" s="12"/>
      <c r="BP14" s="12">
        <f t="shared" ref="BP14:BP34" si="19">BI14+BL14+BN14+BO14</f>
        <v>0</v>
      </c>
      <c r="BR14" s="12">
        <f>ROUND(F15*F30,0)</f>
        <v>0</v>
      </c>
      <c r="BS14" s="12"/>
      <c r="BT14" s="12">
        <f>BP14-BR14</f>
        <v>0</v>
      </c>
      <c r="BW14" s="7">
        <f>$C$47</f>
        <v>2025</v>
      </c>
      <c r="BX14" s="12">
        <f t="shared" ref="BX14:BX36" si="20">$R14</f>
        <v>0</v>
      </c>
      <c r="BY14" s="12">
        <f>U14</f>
        <v>0</v>
      </c>
      <c r="BZ14" s="115">
        <f>AU14</f>
        <v>0</v>
      </c>
      <c r="CA14" s="12">
        <f>SUM(BX14:BZ14)</f>
        <v>0</v>
      </c>
      <c r="CC14" s="12">
        <f>BB14</f>
        <v>0</v>
      </c>
      <c r="CD14" s="12">
        <f>BC14</f>
        <v>0</v>
      </c>
      <c r="CE14" s="12">
        <f>SUM(CC14:CD14)</f>
        <v>0</v>
      </c>
      <c r="CF14" s="12"/>
      <c r="CG14" s="46">
        <f>CA14-CE14</f>
        <v>0</v>
      </c>
    </row>
    <row r="15" spans="1:106">
      <c r="A15" s="3" t="s">
        <v>62</v>
      </c>
      <c r="C15" s="131" t="str">
        <f>+'Gas Input Table Summary'!$E$11</f>
        <v>kWh</v>
      </c>
      <c r="E15" s="3" t="s">
        <v>63</v>
      </c>
      <c r="F15" s="258">
        <f>'Database Inputs'!K18</f>
        <v>7750</v>
      </c>
      <c r="G15" s="257"/>
      <c r="H15" s="257"/>
      <c r="J15" s="2">
        <f t="shared" ref="J15:J36" si="21">J14+1</f>
        <v>1</v>
      </c>
      <c r="L15" s="7">
        <f t="shared" ref="L15:L36" si="22">L14+1</f>
        <v>2026</v>
      </c>
      <c r="M15" s="16">
        <f>ROUND(IF($C$47+$F$23&gt;L15,$F$25*$F$30,0)+IF($C$48+$G$23&gt;L15,$G$25*$G$30,0),0)</f>
        <v>0</v>
      </c>
      <c r="N15" s="53">
        <f t="shared" si="0"/>
        <v>3.5179999999999998</v>
      </c>
      <c r="O15" s="32">
        <f t="shared" ref="O15:O34" si="23">ROUND(M15*N15,0)</f>
        <v>0</v>
      </c>
      <c r="P15" s="53">
        <f t="shared" si="1"/>
        <v>0</v>
      </c>
      <c r="Q15" s="46">
        <f t="shared" ref="Q15:Q34" si="24">ROUND(M15*P15,0)</f>
        <v>0</v>
      </c>
      <c r="R15" s="43">
        <f t="shared" ref="R15:R34" si="25">O15+Q15</f>
        <v>0</v>
      </c>
      <c r="S15" s="42">
        <f t="shared" ref="S15:S34" si="26">ROUND(M15*$C$23,1)</f>
        <v>0</v>
      </c>
      <c r="T15" s="46">
        <f t="shared" ref="T15:T34" si="27">ROUND($C$20*(1+$C$21)^J15,0)</f>
        <v>177</v>
      </c>
      <c r="U15" s="44">
        <f>ROUND(S15*T15,0)</f>
        <v>0</v>
      </c>
      <c r="V15" s="16">
        <f t="shared" ref="V15:V34" si="28">ROUND(+U15+R15,0)</f>
        <v>0</v>
      </c>
      <c r="W15" s="45">
        <f t="shared" si="2"/>
        <v>1.1819999999999999</v>
      </c>
      <c r="X15" s="46">
        <f t="shared" si="3"/>
        <v>0</v>
      </c>
      <c r="Y15" s="46">
        <f>ROUND($G$11,0)</f>
        <v>0</v>
      </c>
      <c r="Z15" s="46">
        <f>ROUND($G$12,0)</f>
        <v>0</v>
      </c>
      <c r="AA15" s="46">
        <f t="shared" si="4"/>
        <v>0</v>
      </c>
      <c r="AB15" s="46">
        <f t="shared" si="5"/>
        <v>0</v>
      </c>
      <c r="AE15" s="7">
        <f t="shared" ref="AE15:AE36" si="29">AE14+1</f>
        <v>2026</v>
      </c>
      <c r="AF15" s="46">
        <f t="shared" si="6"/>
        <v>0</v>
      </c>
      <c r="AG15" s="16">
        <f t="shared" si="7"/>
        <v>0</v>
      </c>
      <c r="AH15" s="46">
        <f>+AG15+AF15</f>
        <v>0</v>
      </c>
      <c r="AJ15" s="32">
        <f t="shared" ref="AJ15:AK34" si="30">ROUND(Y15,0)</f>
        <v>0</v>
      </c>
      <c r="AK15" s="32">
        <f t="shared" si="30"/>
        <v>0</v>
      </c>
      <c r="AL15" s="32">
        <f t="shared" si="8"/>
        <v>0</v>
      </c>
      <c r="AN15" s="77">
        <f t="shared" si="9"/>
        <v>0</v>
      </c>
      <c r="AQ15" s="7">
        <f t="shared" ref="AQ15:AQ36" si="31">AQ14+1</f>
        <v>2026</v>
      </c>
      <c r="AR15" s="46">
        <f t="shared" si="10"/>
        <v>0</v>
      </c>
      <c r="AS15" s="46">
        <f t="shared" si="11"/>
        <v>0</v>
      </c>
      <c r="AT15" s="91">
        <f t="shared" si="12"/>
        <v>0.03</v>
      </c>
      <c r="AU15" s="16">
        <f>ROUND((IF($C$47+$F$23&gt;$AQ15,$F$27*$F$30,0)+IF($C$48+$G$23&gt;AQ15,$G$27*$G$30,0))*AT15,0)</f>
        <v>0</v>
      </c>
      <c r="AV15" s="53">
        <f t="shared" si="13"/>
        <v>2.105</v>
      </c>
      <c r="AW15" s="46">
        <f t="shared" si="14"/>
        <v>0</v>
      </c>
      <c r="AX15" s="91"/>
      <c r="AY15" s="92"/>
      <c r="AZ15" s="46">
        <f t="shared" ref="AZ15:AZ34" si="32">ROUND(AR15+AS15+AU15+AW15+AY15,0)</f>
        <v>0</v>
      </c>
      <c r="BA15" s="17"/>
      <c r="BB15" s="46">
        <f>ROUND($G$13,0)</f>
        <v>0</v>
      </c>
      <c r="BC15" s="46">
        <f>ROUND(($G$15*$G$30)-$Z$15,0)</f>
        <v>0</v>
      </c>
      <c r="BD15" s="47">
        <f t="shared" ref="BD15:BD34" si="33">BB15+BC15</f>
        <v>0</v>
      </c>
      <c r="BE15" s="46">
        <f t="shared" si="15"/>
        <v>0</v>
      </c>
      <c r="BH15" s="7">
        <f t="shared" ref="BH15:BH36" si="34">BH14+1</f>
        <v>2026</v>
      </c>
      <c r="BI15" s="46">
        <f>+G12</f>
        <v>0</v>
      </c>
      <c r="BJ15" s="16">
        <f t="shared" si="16"/>
        <v>0</v>
      </c>
      <c r="BK15" s="87">
        <f t="shared" si="17"/>
        <v>7.18</v>
      </c>
      <c r="BL15" s="46">
        <f>ROUND(BJ15*BK15,0)</f>
        <v>0</v>
      </c>
      <c r="BM15" s="87">
        <f t="shared" si="18"/>
        <v>0.13400000000000001</v>
      </c>
      <c r="BN15" s="16">
        <f>ROUND((IF($C$47+$F$23&gt;BH15,$F$27*$F$30,0)+IF($C$48+$G$23&gt;BH15,$G$27*$G$30,0))*BM15,0)</f>
        <v>0</v>
      </c>
      <c r="BO15" s="16"/>
      <c r="BP15" s="46">
        <f t="shared" si="19"/>
        <v>0</v>
      </c>
      <c r="BR15" s="46">
        <f>ROUND($G$15*$G$30,0)</f>
        <v>0</v>
      </c>
      <c r="BS15" s="46"/>
      <c r="BT15" s="46">
        <f t="shared" ref="BT15:BT34" si="35">BP15-BR15</f>
        <v>0</v>
      </c>
      <c r="BW15" s="7">
        <f t="shared" ref="BW15:BW36" si="36">BW14+1</f>
        <v>2026</v>
      </c>
      <c r="BX15" s="46">
        <f t="shared" si="20"/>
        <v>0</v>
      </c>
      <c r="BY15" s="16">
        <f t="shared" ref="BY15:BY34" si="37">U15</f>
        <v>0</v>
      </c>
      <c r="BZ15" s="116">
        <f t="shared" ref="BZ15:BZ34" si="38">AU15</f>
        <v>0</v>
      </c>
      <c r="CA15" s="46">
        <f t="shared" ref="CA15:CA34" si="39">SUM(BX15:BZ15)</f>
        <v>0</v>
      </c>
      <c r="CC15" s="46">
        <f t="shared" ref="CC15:CD34" si="40">BB15</f>
        <v>0</v>
      </c>
      <c r="CD15" s="46">
        <f t="shared" si="40"/>
        <v>0</v>
      </c>
      <c r="CE15" s="46">
        <f t="shared" ref="CE15:CE34" si="41">SUM(CC15:CD15)</f>
        <v>0</v>
      </c>
      <c r="CF15" s="46"/>
      <c r="CG15" s="46">
        <f t="shared" ref="CG15:CG21" si="42">CA15-CE15</f>
        <v>0</v>
      </c>
    </row>
    <row r="16" spans="1:106">
      <c r="F16" s="16"/>
      <c r="G16" s="16"/>
      <c r="H16" s="16"/>
      <c r="J16" s="2">
        <f t="shared" si="21"/>
        <v>2</v>
      </c>
      <c r="L16" s="7">
        <f t="shared" si="22"/>
        <v>2027</v>
      </c>
      <c r="M16" s="16">
        <f>ROUND(IF($C$47+$F$23&gt;L16,$F$25*$F$30,0)+IF($C$48+$G$23&gt;L16,$G$25*$G$30,0)+IF($C$49+$H$23&gt;L16,$H$25*$H$30,0),0)</f>
        <v>0</v>
      </c>
      <c r="N16" s="53">
        <f t="shared" si="0"/>
        <v>3.6240000000000001</v>
      </c>
      <c r="O16" s="32">
        <f t="shared" si="23"/>
        <v>0</v>
      </c>
      <c r="P16" s="53">
        <f t="shared" si="1"/>
        <v>0</v>
      </c>
      <c r="Q16" s="46">
        <f t="shared" si="24"/>
        <v>0</v>
      </c>
      <c r="R16" s="43">
        <f t="shared" si="25"/>
        <v>0</v>
      </c>
      <c r="S16" s="42">
        <f t="shared" si="26"/>
        <v>0</v>
      </c>
      <c r="T16" s="46">
        <f t="shared" si="27"/>
        <v>179</v>
      </c>
      <c r="U16" s="44">
        <f t="shared" ref="U16:U34" si="43">ROUND(S16*T16,0)</f>
        <v>0</v>
      </c>
      <c r="V16" s="16">
        <f t="shared" si="28"/>
        <v>0</v>
      </c>
      <c r="W16" s="45">
        <f t="shared" si="2"/>
        <v>1.218</v>
      </c>
      <c r="X16" s="46">
        <f t="shared" si="3"/>
        <v>0</v>
      </c>
      <c r="Y16" s="46">
        <f>ROUND($H$11,0)</f>
        <v>0</v>
      </c>
      <c r="Z16" s="46">
        <f>ROUND($H$12,0)</f>
        <v>0</v>
      </c>
      <c r="AA16" s="46">
        <f t="shared" si="4"/>
        <v>0</v>
      </c>
      <c r="AB16" s="46">
        <f t="shared" si="5"/>
        <v>0</v>
      </c>
      <c r="AE16" s="7">
        <f t="shared" si="29"/>
        <v>2027</v>
      </c>
      <c r="AF16" s="46">
        <f t="shared" si="6"/>
        <v>0</v>
      </c>
      <c r="AG16" s="16">
        <f t="shared" si="7"/>
        <v>0</v>
      </c>
      <c r="AH16" s="46">
        <f t="shared" ref="AH16:AH34" si="44">+AG16+AF16</f>
        <v>0</v>
      </c>
      <c r="AJ16" s="32">
        <f t="shared" si="30"/>
        <v>0</v>
      </c>
      <c r="AK16" s="32">
        <f t="shared" si="30"/>
        <v>0</v>
      </c>
      <c r="AL16" s="32">
        <f t="shared" si="8"/>
        <v>0</v>
      </c>
      <c r="AN16" s="77">
        <f t="shared" si="9"/>
        <v>0</v>
      </c>
      <c r="AQ16" s="7">
        <f t="shared" si="31"/>
        <v>2027</v>
      </c>
      <c r="AR16" s="46">
        <f t="shared" si="10"/>
        <v>0</v>
      </c>
      <c r="AS16" s="46">
        <f t="shared" si="11"/>
        <v>0</v>
      </c>
      <c r="AT16" s="91">
        <f t="shared" si="12"/>
        <v>3.1E-2</v>
      </c>
      <c r="AU16" s="16">
        <f>ROUND((IF($C$47+$F$23&gt;$AQ16,$F$27*$F$30,0)+IF($C$48+$G$23&gt;AQ16,$G$27*$G$30,0)+IF($C$49+$H$23&gt;AQ16,$H$27*$H$30,0))*AT16,0)</f>
        <v>0</v>
      </c>
      <c r="AV16" s="53">
        <f t="shared" si="13"/>
        <v>2.141</v>
      </c>
      <c r="AW16" s="46">
        <f t="shared" si="14"/>
        <v>0</v>
      </c>
      <c r="AX16" s="91"/>
      <c r="AY16" s="92"/>
      <c r="AZ16" s="46">
        <f t="shared" si="32"/>
        <v>0</v>
      </c>
      <c r="BA16" s="17"/>
      <c r="BB16" s="46">
        <f>ROUND($H$13,0)</f>
        <v>0</v>
      </c>
      <c r="BC16" s="46">
        <f>ROUND(($H$15*$H$30)-$Z$16,0)</f>
        <v>0</v>
      </c>
      <c r="BD16" s="47">
        <f t="shared" si="33"/>
        <v>0</v>
      </c>
      <c r="BE16" s="46">
        <f t="shared" si="15"/>
        <v>0</v>
      </c>
      <c r="BH16" s="7">
        <f t="shared" si="34"/>
        <v>2027</v>
      </c>
      <c r="BI16" s="46">
        <f>ROUND(H12,0)</f>
        <v>0</v>
      </c>
      <c r="BJ16" s="16">
        <f t="shared" si="16"/>
        <v>0</v>
      </c>
      <c r="BK16" s="87">
        <f t="shared" si="17"/>
        <v>7.3959999999999999</v>
      </c>
      <c r="BL16" s="46">
        <f t="shared" ref="BL16:BL34" si="45">ROUND(BJ16*BK16,0)</f>
        <v>0</v>
      </c>
      <c r="BM16" s="87">
        <f t="shared" si="18"/>
        <v>0.13800000000000001</v>
      </c>
      <c r="BN16" s="16">
        <f>ROUND((IF($C$47+$F$23&gt;BH16,$F$27*$F$30,0)+IF($C$49+$H$23&gt;BH16,$H$27*$H$30,0)+IF($C$48+$G$23&gt;BH16,$G$27*$G$30,0))*BM16,0)</f>
        <v>0</v>
      </c>
      <c r="BO16" s="16"/>
      <c r="BP16" s="46">
        <f t="shared" si="19"/>
        <v>0</v>
      </c>
      <c r="BR16" s="46">
        <f>ROUND($H$15*$H$30,0)</f>
        <v>0</v>
      </c>
      <c r="BS16" s="46"/>
      <c r="BT16" s="46">
        <f t="shared" si="35"/>
        <v>0</v>
      </c>
      <c r="BW16" s="7">
        <f t="shared" si="36"/>
        <v>2027</v>
      </c>
      <c r="BX16" s="46">
        <f t="shared" si="20"/>
        <v>0</v>
      </c>
      <c r="BY16" s="16">
        <f t="shared" si="37"/>
        <v>0</v>
      </c>
      <c r="BZ16" s="116">
        <f t="shared" si="38"/>
        <v>0</v>
      </c>
      <c r="CA16" s="46">
        <f t="shared" si="39"/>
        <v>0</v>
      </c>
      <c r="CC16" s="46">
        <f t="shared" si="40"/>
        <v>0</v>
      </c>
      <c r="CD16" s="46">
        <f t="shared" si="40"/>
        <v>0</v>
      </c>
      <c r="CE16" s="46">
        <f>SUM(CC16:CD16)</f>
        <v>0</v>
      </c>
      <c r="CF16" s="46"/>
      <c r="CG16" s="46">
        <f t="shared" si="42"/>
        <v>0</v>
      </c>
    </row>
    <row r="17" spans="1:106">
      <c r="A17" s="3" t="s">
        <v>105</v>
      </c>
      <c r="C17" s="11">
        <f>+'Gas Input Table Summary'!$E$12</f>
        <v>3.4159999999999999</v>
      </c>
      <c r="D17" s="19"/>
      <c r="E17" s="3" t="s">
        <v>64</v>
      </c>
      <c r="F17" s="14">
        <f>+'Gas Input Table Summary'!$E$35</f>
        <v>0</v>
      </c>
      <c r="G17" s="14"/>
      <c r="H17" s="14"/>
      <c r="J17" s="2">
        <f t="shared" si="21"/>
        <v>3</v>
      </c>
      <c r="L17" s="7">
        <f t="shared" si="22"/>
        <v>2028</v>
      </c>
      <c r="M17" s="16">
        <f t="shared" ref="M17:M34" si="46">ROUND(IF($C$47+$F$23&gt;L17,$F$25*$F$30,0)+IF($C$48+$G$23&gt;L17,$G$25*$G$30,0)+IF($C$49+$H$23&gt;L17,$H$25*$H$30,0),0)</f>
        <v>0</v>
      </c>
      <c r="N17" s="53">
        <f t="shared" si="0"/>
        <v>3.7330000000000001</v>
      </c>
      <c r="O17" s="32">
        <f t="shared" si="23"/>
        <v>0</v>
      </c>
      <c r="P17" s="53">
        <f t="shared" si="1"/>
        <v>0</v>
      </c>
      <c r="Q17" s="46">
        <f t="shared" si="24"/>
        <v>0</v>
      </c>
      <c r="R17" s="43">
        <f t="shared" si="25"/>
        <v>0</v>
      </c>
      <c r="S17" s="42">
        <f t="shared" si="26"/>
        <v>0</v>
      </c>
      <c r="T17" s="46">
        <f t="shared" si="27"/>
        <v>181</v>
      </c>
      <c r="U17" s="44">
        <f t="shared" si="43"/>
        <v>0</v>
      </c>
      <c r="V17" s="16">
        <f t="shared" si="28"/>
        <v>0</v>
      </c>
      <c r="W17" s="45">
        <f t="shared" si="2"/>
        <v>1.254</v>
      </c>
      <c r="X17" s="46">
        <f t="shared" si="3"/>
        <v>0</v>
      </c>
      <c r="Y17" s="46">
        <v>0</v>
      </c>
      <c r="Z17" s="46">
        <v>0</v>
      </c>
      <c r="AA17" s="46">
        <f t="shared" si="4"/>
        <v>0</v>
      </c>
      <c r="AB17" s="46">
        <f t="shared" si="5"/>
        <v>0</v>
      </c>
      <c r="AE17" s="7">
        <f t="shared" si="29"/>
        <v>2028</v>
      </c>
      <c r="AF17" s="46">
        <f t="shared" si="6"/>
        <v>0</v>
      </c>
      <c r="AG17" s="16">
        <f t="shared" si="7"/>
        <v>0</v>
      </c>
      <c r="AH17" s="46">
        <f t="shared" si="44"/>
        <v>0</v>
      </c>
      <c r="AJ17" s="32">
        <f t="shared" si="30"/>
        <v>0</v>
      </c>
      <c r="AK17" s="32">
        <f t="shared" si="30"/>
        <v>0</v>
      </c>
      <c r="AL17" s="32">
        <f t="shared" si="8"/>
        <v>0</v>
      </c>
      <c r="AN17" s="77">
        <f t="shared" si="9"/>
        <v>0</v>
      </c>
      <c r="AQ17" s="7">
        <f t="shared" si="31"/>
        <v>2028</v>
      </c>
      <c r="AR17" s="46">
        <f t="shared" si="10"/>
        <v>0</v>
      </c>
      <c r="AS17" s="46">
        <f t="shared" si="11"/>
        <v>0</v>
      </c>
      <c r="AT17" s="91">
        <f t="shared" si="12"/>
        <v>3.2000000000000001E-2</v>
      </c>
      <c r="AU17" s="16">
        <f t="shared" ref="AU17:AU34" si="47">ROUND((IF($C$47+$F$23&gt;$AQ17,$F$27*$F$30,0)+IF($C$48+$G$23&gt;AQ17,$G$27*$G$30,0)+IF($C$49+$H$23&gt;AQ17,$H$27*$H$30,0))*AT17,0)</f>
        <v>0</v>
      </c>
      <c r="AV17" s="53">
        <f t="shared" si="13"/>
        <v>2.177</v>
      </c>
      <c r="AW17" s="46">
        <f t="shared" si="14"/>
        <v>0</v>
      </c>
      <c r="AX17" s="91"/>
      <c r="AY17" s="92"/>
      <c r="AZ17" s="46">
        <f t="shared" si="32"/>
        <v>0</v>
      </c>
      <c r="BA17" s="17"/>
      <c r="BB17" s="46">
        <v>0</v>
      </c>
      <c r="BC17" s="46">
        <v>0</v>
      </c>
      <c r="BD17" s="47">
        <f t="shared" si="33"/>
        <v>0</v>
      </c>
      <c r="BE17" s="46">
        <f t="shared" si="15"/>
        <v>0</v>
      </c>
      <c r="BH17" s="7">
        <f t="shared" si="34"/>
        <v>2028</v>
      </c>
      <c r="BI17" s="46">
        <v>0</v>
      </c>
      <c r="BJ17" s="16">
        <f t="shared" si="16"/>
        <v>0</v>
      </c>
      <c r="BK17" s="87">
        <f t="shared" si="17"/>
        <v>7.617</v>
      </c>
      <c r="BL17" s="46">
        <f t="shared" si="45"/>
        <v>0</v>
      </c>
      <c r="BM17" s="87">
        <f t="shared" si="18"/>
        <v>0.14299999999999999</v>
      </c>
      <c r="BN17" s="16">
        <f t="shared" ref="BN17:BN34" si="48">ROUND((IF($C$47+$F$23&gt;BH17,$F$27*$F$30,0)+IF($C$49+$H$23&gt;BH17,$H$27*$H$30,0)+IF($C$48+$G$23&gt;BH17,$G$27*$G$30,0))*BM17,0)</f>
        <v>0</v>
      </c>
      <c r="BO17" s="16"/>
      <c r="BP17" s="46">
        <f t="shared" si="19"/>
        <v>0</v>
      </c>
      <c r="BR17" s="46">
        <f t="shared" ref="BR17:BR34" si="49">+BC17</f>
        <v>0</v>
      </c>
      <c r="BS17" s="46"/>
      <c r="BT17" s="46">
        <f t="shared" si="35"/>
        <v>0</v>
      </c>
      <c r="BW17" s="7">
        <f t="shared" si="36"/>
        <v>2028</v>
      </c>
      <c r="BX17" s="46">
        <f t="shared" si="20"/>
        <v>0</v>
      </c>
      <c r="BY17" s="16">
        <f t="shared" si="37"/>
        <v>0</v>
      </c>
      <c r="BZ17" s="116">
        <f t="shared" si="38"/>
        <v>0</v>
      </c>
      <c r="CA17" s="46">
        <f t="shared" si="39"/>
        <v>0</v>
      </c>
      <c r="CC17" s="46">
        <f t="shared" si="40"/>
        <v>0</v>
      </c>
      <c r="CD17" s="46">
        <f t="shared" si="40"/>
        <v>0</v>
      </c>
      <c r="CE17" s="46">
        <f>SUM(CC17:CD17)</f>
        <v>0</v>
      </c>
      <c r="CF17" s="46"/>
      <c r="CG17" s="46">
        <f t="shared" si="42"/>
        <v>0</v>
      </c>
    </row>
    <row r="18" spans="1:106">
      <c r="A18" s="3" t="s">
        <v>18</v>
      </c>
      <c r="C18" s="15">
        <f>+'Gas Input Table Summary'!$E$13</f>
        <v>0.03</v>
      </c>
      <c r="E18" s="2" t="s">
        <v>65</v>
      </c>
      <c r="F18" s="15">
        <f>+'Gas Input Table Summary'!$E$38</f>
        <v>0</v>
      </c>
      <c r="G18" s="15"/>
      <c r="H18" s="15"/>
      <c r="J18" s="2">
        <f t="shared" si="21"/>
        <v>4</v>
      </c>
      <c r="L18" s="7">
        <f t="shared" si="22"/>
        <v>2029</v>
      </c>
      <c r="M18" s="16">
        <f t="shared" si="46"/>
        <v>0</v>
      </c>
      <c r="N18" s="53">
        <f t="shared" si="0"/>
        <v>3.8450000000000002</v>
      </c>
      <c r="O18" s="32">
        <f t="shared" si="23"/>
        <v>0</v>
      </c>
      <c r="P18" s="53">
        <f t="shared" si="1"/>
        <v>0</v>
      </c>
      <c r="Q18" s="46">
        <f t="shared" si="24"/>
        <v>0</v>
      </c>
      <c r="R18" s="43">
        <f t="shared" si="25"/>
        <v>0</v>
      </c>
      <c r="S18" s="42">
        <f t="shared" si="26"/>
        <v>0</v>
      </c>
      <c r="T18" s="46">
        <f t="shared" si="27"/>
        <v>182</v>
      </c>
      <c r="U18" s="44">
        <f t="shared" si="43"/>
        <v>0</v>
      </c>
      <c r="V18" s="16">
        <f t="shared" si="28"/>
        <v>0</v>
      </c>
      <c r="W18" s="45">
        <f t="shared" si="2"/>
        <v>1.292</v>
      </c>
      <c r="X18" s="46">
        <f t="shared" si="3"/>
        <v>0</v>
      </c>
      <c r="Y18" s="46">
        <v>0</v>
      </c>
      <c r="Z18" s="46">
        <v>0</v>
      </c>
      <c r="AA18" s="46">
        <f t="shared" si="4"/>
        <v>0</v>
      </c>
      <c r="AB18" s="46">
        <f t="shared" si="5"/>
        <v>0</v>
      </c>
      <c r="AE18" s="7">
        <f t="shared" si="29"/>
        <v>2029</v>
      </c>
      <c r="AF18" s="46">
        <f t="shared" si="6"/>
        <v>0</v>
      </c>
      <c r="AG18" s="16">
        <f t="shared" si="7"/>
        <v>0</v>
      </c>
      <c r="AH18" s="46">
        <f t="shared" si="44"/>
        <v>0</v>
      </c>
      <c r="AJ18" s="32">
        <f t="shared" si="30"/>
        <v>0</v>
      </c>
      <c r="AK18" s="32">
        <f t="shared" si="30"/>
        <v>0</v>
      </c>
      <c r="AL18" s="32">
        <f t="shared" si="8"/>
        <v>0</v>
      </c>
      <c r="AN18" s="77">
        <f t="shared" si="9"/>
        <v>0</v>
      </c>
      <c r="AQ18" s="7">
        <f t="shared" si="31"/>
        <v>2029</v>
      </c>
      <c r="AR18" s="46">
        <f t="shared" si="10"/>
        <v>0</v>
      </c>
      <c r="AS18" s="46">
        <f t="shared" si="11"/>
        <v>0</v>
      </c>
      <c r="AT18" s="91">
        <f t="shared" si="12"/>
        <v>3.3000000000000002E-2</v>
      </c>
      <c r="AU18" s="16">
        <f t="shared" si="47"/>
        <v>0</v>
      </c>
      <c r="AV18" s="53">
        <f t="shared" si="13"/>
        <v>2.214</v>
      </c>
      <c r="AW18" s="46">
        <f t="shared" si="14"/>
        <v>0</v>
      </c>
      <c r="AX18" s="91"/>
      <c r="AY18" s="92"/>
      <c r="AZ18" s="46">
        <f t="shared" si="32"/>
        <v>0</v>
      </c>
      <c r="BA18" s="17"/>
      <c r="BB18" s="46">
        <v>0</v>
      </c>
      <c r="BC18" s="46">
        <v>0</v>
      </c>
      <c r="BD18" s="47">
        <f t="shared" si="33"/>
        <v>0</v>
      </c>
      <c r="BE18" s="46">
        <f t="shared" si="15"/>
        <v>0</v>
      </c>
      <c r="BH18" s="7">
        <f t="shared" si="34"/>
        <v>2029</v>
      </c>
      <c r="BI18" s="46">
        <v>0</v>
      </c>
      <c r="BJ18" s="16">
        <f t="shared" si="16"/>
        <v>0</v>
      </c>
      <c r="BK18" s="87">
        <f t="shared" si="17"/>
        <v>7.8460000000000001</v>
      </c>
      <c r="BL18" s="46">
        <f t="shared" si="45"/>
        <v>0</v>
      </c>
      <c r="BM18" s="87">
        <f t="shared" si="18"/>
        <v>0.14699999999999999</v>
      </c>
      <c r="BN18" s="16">
        <f t="shared" si="48"/>
        <v>0</v>
      </c>
      <c r="BO18" s="16"/>
      <c r="BP18" s="46">
        <f t="shared" si="19"/>
        <v>0</v>
      </c>
      <c r="BR18" s="46">
        <f t="shared" si="49"/>
        <v>0</v>
      </c>
      <c r="BS18" s="46"/>
      <c r="BT18" s="46">
        <f t="shared" si="35"/>
        <v>0</v>
      </c>
      <c r="BW18" s="7">
        <f t="shared" si="36"/>
        <v>2029</v>
      </c>
      <c r="BX18" s="46">
        <f t="shared" si="20"/>
        <v>0</v>
      </c>
      <c r="BY18" s="16">
        <f t="shared" si="37"/>
        <v>0</v>
      </c>
      <c r="BZ18" s="116">
        <f t="shared" si="38"/>
        <v>0</v>
      </c>
      <c r="CA18" s="46">
        <f t="shared" si="39"/>
        <v>0</v>
      </c>
      <c r="CC18" s="46">
        <f t="shared" si="40"/>
        <v>0</v>
      </c>
      <c r="CD18" s="46">
        <f t="shared" si="40"/>
        <v>0</v>
      </c>
      <c r="CE18" s="46">
        <f t="shared" si="41"/>
        <v>0</v>
      </c>
      <c r="CF18" s="46"/>
      <c r="CG18" s="46">
        <f t="shared" si="42"/>
        <v>0</v>
      </c>
      <c r="DB18" s="5"/>
    </row>
    <row r="19" spans="1:106">
      <c r="C19" s="3"/>
      <c r="J19" s="2">
        <f t="shared" si="21"/>
        <v>5</v>
      </c>
      <c r="L19" s="7">
        <f t="shared" si="22"/>
        <v>2030</v>
      </c>
      <c r="M19" s="16">
        <f t="shared" si="46"/>
        <v>0</v>
      </c>
      <c r="N19" s="53">
        <f t="shared" si="0"/>
        <v>3.96</v>
      </c>
      <c r="O19" s="32">
        <f t="shared" si="23"/>
        <v>0</v>
      </c>
      <c r="P19" s="53">
        <f t="shared" si="1"/>
        <v>0</v>
      </c>
      <c r="Q19" s="46">
        <f t="shared" si="24"/>
        <v>0</v>
      </c>
      <c r="R19" s="43">
        <f t="shared" si="25"/>
        <v>0</v>
      </c>
      <c r="S19" s="42">
        <f t="shared" si="26"/>
        <v>0</v>
      </c>
      <c r="T19" s="46">
        <f t="shared" si="27"/>
        <v>184</v>
      </c>
      <c r="U19" s="44">
        <f t="shared" si="43"/>
        <v>0</v>
      </c>
      <c r="V19" s="16">
        <f t="shared" si="28"/>
        <v>0</v>
      </c>
      <c r="W19" s="45">
        <f t="shared" si="2"/>
        <v>1.331</v>
      </c>
      <c r="X19" s="46">
        <f t="shared" si="3"/>
        <v>0</v>
      </c>
      <c r="Y19" s="46">
        <v>0</v>
      </c>
      <c r="Z19" s="46">
        <v>0</v>
      </c>
      <c r="AA19" s="46">
        <f t="shared" si="4"/>
        <v>0</v>
      </c>
      <c r="AB19" s="46">
        <f t="shared" si="5"/>
        <v>0</v>
      </c>
      <c r="AE19" s="7">
        <f t="shared" si="29"/>
        <v>2030</v>
      </c>
      <c r="AF19" s="46">
        <f t="shared" si="6"/>
        <v>0</v>
      </c>
      <c r="AG19" s="16">
        <f t="shared" si="7"/>
        <v>0</v>
      </c>
      <c r="AH19" s="46">
        <f t="shared" si="44"/>
        <v>0</v>
      </c>
      <c r="AJ19" s="32">
        <f t="shared" si="30"/>
        <v>0</v>
      </c>
      <c r="AK19" s="32">
        <f t="shared" si="30"/>
        <v>0</v>
      </c>
      <c r="AL19" s="32">
        <f t="shared" si="8"/>
        <v>0</v>
      </c>
      <c r="AN19" s="77">
        <f t="shared" si="9"/>
        <v>0</v>
      </c>
      <c r="AQ19" s="7">
        <f t="shared" si="31"/>
        <v>2030</v>
      </c>
      <c r="AR19" s="46">
        <f t="shared" si="10"/>
        <v>0</v>
      </c>
      <c r="AS19" s="46">
        <f t="shared" si="11"/>
        <v>0</v>
      </c>
      <c r="AT19" s="91">
        <f t="shared" si="12"/>
        <v>3.4000000000000002E-2</v>
      </c>
      <c r="AU19" s="16">
        <f t="shared" si="47"/>
        <v>0</v>
      </c>
      <c r="AV19" s="53">
        <f t="shared" si="13"/>
        <v>2.2509999999999999</v>
      </c>
      <c r="AW19" s="46">
        <f t="shared" si="14"/>
        <v>0</v>
      </c>
      <c r="AX19" s="91"/>
      <c r="AY19" s="92"/>
      <c r="AZ19" s="46">
        <f t="shared" si="32"/>
        <v>0</v>
      </c>
      <c r="BA19" s="17"/>
      <c r="BB19" s="46">
        <v>0</v>
      </c>
      <c r="BC19" s="46">
        <v>0</v>
      </c>
      <c r="BD19" s="47">
        <f t="shared" si="33"/>
        <v>0</v>
      </c>
      <c r="BE19" s="46">
        <f t="shared" si="15"/>
        <v>0</v>
      </c>
      <c r="BH19" s="7">
        <f t="shared" si="34"/>
        <v>2030</v>
      </c>
      <c r="BI19" s="46">
        <v>0</v>
      </c>
      <c r="BJ19" s="16">
        <f t="shared" si="16"/>
        <v>0</v>
      </c>
      <c r="BK19" s="87">
        <f t="shared" si="17"/>
        <v>8.0809999999999995</v>
      </c>
      <c r="BL19" s="46">
        <f t="shared" si="45"/>
        <v>0</v>
      </c>
      <c r="BM19" s="87">
        <f t="shared" si="18"/>
        <v>0.151</v>
      </c>
      <c r="BN19" s="16">
        <f t="shared" si="48"/>
        <v>0</v>
      </c>
      <c r="BO19" s="16"/>
      <c r="BP19" s="46">
        <f t="shared" si="19"/>
        <v>0</v>
      </c>
      <c r="BR19" s="46">
        <f t="shared" si="49"/>
        <v>0</v>
      </c>
      <c r="BS19" s="46"/>
      <c r="BT19" s="46">
        <f t="shared" si="35"/>
        <v>0</v>
      </c>
      <c r="BW19" s="7">
        <f t="shared" si="36"/>
        <v>2030</v>
      </c>
      <c r="BX19" s="46">
        <f t="shared" si="20"/>
        <v>0</v>
      </c>
      <c r="BY19" s="16">
        <f t="shared" si="37"/>
        <v>0</v>
      </c>
      <c r="BZ19" s="116">
        <f t="shared" si="38"/>
        <v>0</v>
      </c>
      <c r="CA19" s="46">
        <f t="shared" si="39"/>
        <v>0</v>
      </c>
      <c r="CC19" s="46">
        <f t="shared" si="40"/>
        <v>0</v>
      </c>
      <c r="CD19" s="46">
        <f t="shared" si="40"/>
        <v>0</v>
      </c>
      <c r="CE19" s="46">
        <f t="shared" si="41"/>
        <v>0</v>
      </c>
      <c r="CF19" s="46"/>
      <c r="CG19" s="46">
        <f t="shared" si="42"/>
        <v>0</v>
      </c>
    </row>
    <row r="20" spans="1:106">
      <c r="A20" s="3" t="s">
        <v>66</v>
      </c>
      <c r="C20" s="20">
        <f>+'Gas Input Table Summary'!$E$14</f>
        <v>175.3</v>
      </c>
      <c r="E20" s="3" t="s">
        <v>67</v>
      </c>
      <c r="F20" s="14">
        <f>+'Gas Input Table Summary'!$E$41</f>
        <v>0</v>
      </c>
      <c r="G20" s="14"/>
      <c r="H20" s="14"/>
      <c r="J20" s="2">
        <f t="shared" si="21"/>
        <v>6</v>
      </c>
      <c r="L20" s="7">
        <f t="shared" si="22"/>
        <v>2031</v>
      </c>
      <c r="M20" s="16">
        <f t="shared" si="46"/>
        <v>0</v>
      </c>
      <c r="N20" s="53">
        <f t="shared" si="0"/>
        <v>4.0789999999999997</v>
      </c>
      <c r="O20" s="32">
        <f t="shared" si="23"/>
        <v>0</v>
      </c>
      <c r="P20" s="53">
        <f t="shared" si="1"/>
        <v>0</v>
      </c>
      <c r="Q20" s="46">
        <f t="shared" si="24"/>
        <v>0</v>
      </c>
      <c r="R20" s="43">
        <f t="shared" si="25"/>
        <v>0</v>
      </c>
      <c r="S20" s="42">
        <f t="shared" si="26"/>
        <v>0</v>
      </c>
      <c r="T20" s="46">
        <f t="shared" si="27"/>
        <v>186</v>
      </c>
      <c r="U20" s="44">
        <f t="shared" si="43"/>
        <v>0</v>
      </c>
      <c r="V20" s="16">
        <f t="shared" si="28"/>
        <v>0</v>
      </c>
      <c r="W20" s="45">
        <f t="shared" si="2"/>
        <v>1.371</v>
      </c>
      <c r="X20" s="46">
        <f t="shared" si="3"/>
        <v>0</v>
      </c>
      <c r="Y20" s="46">
        <v>0</v>
      </c>
      <c r="Z20" s="46">
        <v>0</v>
      </c>
      <c r="AA20" s="46">
        <f t="shared" si="4"/>
        <v>0</v>
      </c>
      <c r="AB20" s="46">
        <f t="shared" si="5"/>
        <v>0</v>
      </c>
      <c r="AE20" s="7">
        <f t="shared" si="29"/>
        <v>2031</v>
      </c>
      <c r="AF20" s="46">
        <f t="shared" si="6"/>
        <v>0</v>
      </c>
      <c r="AG20" s="16">
        <f t="shared" si="7"/>
        <v>0</v>
      </c>
      <c r="AH20" s="46">
        <f t="shared" si="44"/>
        <v>0</v>
      </c>
      <c r="AJ20" s="32">
        <f t="shared" si="30"/>
        <v>0</v>
      </c>
      <c r="AK20" s="32">
        <f t="shared" si="30"/>
        <v>0</v>
      </c>
      <c r="AL20" s="32">
        <f t="shared" si="8"/>
        <v>0</v>
      </c>
      <c r="AN20" s="77">
        <f t="shared" si="9"/>
        <v>0</v>
      </c>
      <c r="AQ20" s="7">
        <f t="shared" si="31"/>
        <v>2031</v>
      </c>
      <c r="AR20" s="46">
        <f t="shared" si="10"/>
        <v>0</v>
      </c>
      <c r="AS20" s="46">
        <f t="shared" si="11"/>
        <v>0</v>
      </c>
      <c r="AT20" s="91">
        <f t="shared" si="12"/>
        <v>3.5000000000000003E-2</v>
      </c>
      <c r="AU20" s="16">
        <f t="shared" si="47"/>
        <v>0</v>
      </c>
      <c r="AV20" s="53">
        <f t="shared" si="13"/>
        <v>2.2890000000000001</v>
      </c>
      <c r="AW20" s="46">
        <f t="shared" si="14"/>
        <v>0</v>
      </c>
      <c r="AX20" s="91"/>
      <c r="AY20" s="92"/>
      <c r="AZ20" s="46">
        <f t="shared" si="32"/>
        <v>0</v>
      </c>
      <c r="BA20" s="17"/>
      <c r="BB20" s="46">
        <v>0</v>
      </c>
      <c r="BC20" s="46">
        <v>0</v>
      </c>
      <c r="BD20" s="47">
        <f t="shared" si="33"/>
        <v>0</v>
      </c>
      <c r="BE20" s="46">
        <f t="shared" si="15"/>
        <v>0</v>
      </c>
      <c r="BH20" s="7">
        <f t="shared" si="34"/>
        <v>2031</v>
      </c>
      <c r="BI20" s="46">
        <v>0</v>
      </c>
      <c r="BJ20" s="16">
        <f t="shared" si="16"/>
        <v>0</v>
      </c>
      <c r="BK20" s="87">
        <f t="shared" si="17"/>
        <v>8.3239999999999998</v>
      </c>
      <c r="BL20" s="46">
        <f t="shared" si="45"/>
        <v>0</v>
      </c>
      <c r="BM20" s="87">
        <f t="shared" si="18"/>
        <v>0.156</v>
      </c>
      <c r="BN20" s="16">
        <f t="shared" si="48"/>
        <v>0</v>
      </c>
      <c r="BO20" s="16"/>
      <c r="BP20" s="46">
        <f t="shared" si="19"/>
        <v>0</v>
      </c>
      <c r="BR20" s="46">
        <f t="shared" si="49"/>
        <v>0</v>
      </c>
      <c r="BS20" s="46"/>
      <c r="BT20" s="46">
        <f t="shared" si="35"/>
        <v>0</v>
      </c>
      <c r="BW20" s="7">
        <f t="shared" si="36"/>
        <v>2031</v>
      </c>
      <c r="BX20" s="46">
        <f t="shared" si="20"/>
        <v>0</v>
      </c>
      <c r="BY20" s="16">
        <f t="shared" si="37"/>
        <v>0</v>
      </c>
      <c r="BZ20" s="116">
        <f t="shared" si="38"/>
        <v>0</v>
      </c>
      <c r="CA20" s="46">
        <f t="shared" si="39"/>
        <v>0</v>
      </c>
      <c r="CC20" s="46">
        <f t="shared" si="40"/>
        <v>0</v>
      </c>
      <c r="CD20" s="46">
        <f t="shared" si="40"/>
        <v>0</v>
      </c>
      <c r="CE20" s="46">
        <f t="shared" si="41"/>
        <v>0</v>
      </c>
      <c r="CF20" s="46"/>
      <c r="CG20" s="46">
        <f t="shared" si="42"/>
        <v>0</v>
      </c>
      <c r="DB20" s="7"/>
    </row>
    <row r="21" spans="1:106">
      <c r="A21" s="3" t="s">
        <v>18</v>
      </c>
      <c r="C21" s="15">
        <f>+'Gas Input Table Summary'!$E$15</f>
        <v>0.01</v>
      </c>
      <c r="E21" s="2" t="s">
        <v>65</v>
      </c>
      <c r="F21" s="15">
        <f>+'Gas Input Table Summary'!$E$44</f>
        <v>0</v>
      </c>
      <c r="G21" s="15"/>
      <c r="H21" s="15"/>
      <c r="J21" s="2">
        <f t="shared" si="21"/>
        <v>7</v>
      </c>
      <c r="L21" s="7">
        <f t="shared" si="22"/>
        <v>2032</v>
      </c>
      <c r="M21" s="16">
        <f t="shared" si="46"/>
        <v>0</v>
      </c>
      <c r="N21" s="53">
        <f t="shared" si="0"/>
        <v>4.2009999999999996</v>
      </c>
      <c r="O21" s="32">
        <f t="shared" si="23"/>
        <v>0</v>
      </c>
      <c r="P21" s="53">
        <f t="shared" si="1"/>
        <v>0</v>
      </c>
      <c r="Q21" s="46">
        <f t="shared" si="24"/>
        <v>0</v>
      </c>
      <c r="R21" s="43">
        <f t="shared" si="25"/>
        <v>0</v>
      </c>
      <c r="S21" s="42">
        <f t="shared" si="26"/>
        <v>0</v>
      </c>
      <c r="T21" s="46">
        <f t="shared" si="27"/>
        <v>188</v>
      </c>
      <c r="U21" s="44">
        <f t="shared" si="43"/>
        <v>0</v>
      </c>
      <c r="V21" s="16">
        <f t="shared" si="28"/>
        <v>0</v>
      </c>
      <c r="W21" s="45">
        <f t="shared" si="2"/>
        <v>1.4119999999999999</v>
      </c>
      <c r="X21" s="46">
        <f t="shared" si="3"/>
        <v>0</v>
      </c>
      <c r="Y21" s="46">
        <v>0</v>
      </c>
      <c r="Z21" s="46">
        <v>0</v>
      </c>
      <c r="AA21" s="46">
        <f t="shared" si="4"/>
        <v>0</v>
      </c>
      <c r="AB21" s="46">
        <f t="shared" si="5"/>
        <v>0</v>
      </c>
      <c r="AE21" s="7">
        <f t="shared" si="29"/>
        <v>2032</v>
      </c>
      <c r="AF21" s="46">
        <f t="shared" si="6"/>
        <v>0</v>
      </c>
      <c r="AG21" s="16">
        <f t="shared" si="7"/>
        <v>0</v>
      </c>
      <c r="AH21" s="46">
        <f t="shared" si="44"/>
        <v>0</v>
      </c>
      <c r="AJ21" s="32">
        <f t="shared" si="30"/>
        <v>0</v>
      </c>
      <c r="AK21" s="32">
        <f t="shared" si="30"/>
        <v>0</v>
      </c>
      <c r="AL21" s="32">
        <f t="shared" si="8"/>
        <v>0</v>
      </c>
      <c r="AN21" s="77">
        <f t="shared" si="9"/>
        <v>0</v>
      </c>
      <c r="AQ21" s="7">
        <f t="shared" si="31"/>
        <v>2032</v>
      </c>
      <c r="AR21" s="46">
        <f t="shared" si="10"/>
        <v>0</v>
      </c>
      <c r="AS21" s="46">
        <f t="shared" si="11"/>
        <v>0</v>
      </c>
      <c r="AT21" s="91">
        <f t="shared" si="12"/>
        <v>3.5999999999999997E-2</v>
      </c>
      <c r="AU21" s="16">
        <f t="shared" si="47"/>
        <v>0</v>
      </c>
      <c r="AV21" s="53">
        <f t="shared" si="13"/>
        <v>2.3279999999999998</v>
      </c>
      <c r="AW21" s="46">
        <f t="shared" si="14"/>
        <v>0</v>
      </c>
      <c r="AX21" s="91"/>
      <c r="AY21" s="92"/>
      <c r="AZ21" s="46">
        <f t="shared" si="32"/>
        <v>0</v>
      </c>
      <c r="BA21" s="17"/>
      <c r="BB21" s="46">
        <v>0</v>
      </c>
      <c r="BC21" s="46">
        <v>0</v>
      </c>
      <c r="BD21" s="47">
        <f t="shared" si="33"/>
        <v>0</v>
      </c>
      <c r="BE21" s="46">
        <f t="shared" si="15"/>
        <v>0</v>
      </c>
      <c r="BH21" s="7">
        <f t="shared" si="34"/>
        <v>2032</v>
      </c>
      <c r="BI21" s="46">
        <v>0</v>
      </c>
      <c r="BJ21" s="16">
        <f t="shared" si="16"/>
        <v>0</v>
      </c>
      <c r="BK21" s="87">
        <f t="shared" si="17"/>
        <v>8.5730000000000004</v>
      </c>
      <c r="BL21" s="46">
        <f t="shared" si="45"/>
        <v>0</v>
      </c>
      <c r="BM21" s="87">
        <f t="shared" si="18"/>
        <v>0.161</v>
      </c>
      <c r="BN21" s="16">
        <f t="shared" si="48"/>
        <v>0</v>
      </c>
      <c r="BO21" s="16"/>
      <c r="BP21" s="46">
        <f t="shared" si="19"/>
        <v>0</v>
      </c>
      <c r="BR21" s="46">
        <f t="shared" si="49"/>
        <v>0</v>
      </c>
      <c r="BS21" s="46"/>
      <c r="BT21" s="46">
        <f t="shared" si="35"/>
        <v>0</v>
      </c>
      <c r="BW21" s="7">
        <f t="shared" si="36"/>
        <v>2032</v>
      </c>
      <c r="BX21" s="46">
        <f t="shared" si="20"/>
        <v>0</v>
      </c>
      <c r="BY21" s="16">
        <f t="shared" si="37"/>
        <v>0</v>
      </c>
      <c r="BZ21" s="116">
        <f t="shared" si="38"/>
        <v>0</v>
      </c>
      <c r="CA21" s="46">
        <f t="shared" si="39"/>
        <v>0</v>
      </c>
      <c r="CC21" s="46">
        <f t="shared" si="40"/>
        <v>0</v>
      </c>
      <c r="CD21" s="46">
        <f t="shared" si="40"/>
        <v>0</v>
      </c>
      <c r="CE21" s="46">
        <f t="shared" si="41"/>
        <v>0</v>
      </c>
      <c r="CF21" s="46"/>
      <c r="CG21" s="46">
        <f t="shared" si="42"/>
        <v>0</v>
      </c>
    </row>
    <row r="22" spans="1:106">
      <c r="F22" s="16"/>
      <c r="G22" s="16"/>
      <c r="H22" s="16"/>
      <c r="J22" s="2">
        <f t="shared" si="21"/>
        <v>8</v>
      </c>
      <c r="L22" s="7">
        <f t="shared" si="22"/>
        <v>2033</v>
      </c>
      <c r="M22" s="16">
        <f t="shared" si="46"/>
        <v>0</v>
      </c>
      <c r="N22" s="53">
        <f t="shared" si="0"/>
        <v>4.327</v>
      </c>
      <c r="O22" s="32">
        <f t="shared" si="23"/>
        <v>0</v>
      </c>
      <c r="P22" s="53">
        <f t="shared" si="1"/>
        <v>0</v>
      </c>
      <c r="Q22" s="46">
        <f t="shared" si="24"/>
        <v>0</v>
      </c>
      <c r="R22" s="43">
        <f t="shared" si="25"/>
        <v>0</v>
      </c>
      <c r="S22" s="42">
        <f t="shared" si="26"/>
        <v>0</v>
      </c>
      <c r="T22" s="46">
        <f t="shared" si="27"/>
        <v>190</v>
      </c>
      <c r="U22" s="44">
        <f t="shared" si="43"/>
        <v>0</v>
      </c>
      <c r="V22" s="16">
        <f t="shared" si="28"/>
        <v>0</v>
      </c>
      <c r="W22" s="45">
        <f t="shared" si="2"/>
        <v>1.454</v>
      </c>
      <c r="X22" s="46">
        <f t="shared" si="3"/>
        <v>0</v>
      </c>
      <c r="Y22" s="46">
        <v>0</v>
      </c>
      <c r="Z22" s="46">
        <v>0</v>
      </c>
      <c r="AA22" s="46">
        <f t="shared" si="4"/>
        <v>0</v>
      </c>
      <c r="AB22" s="46">
        <f t="shared" si="5"/>
        <v>0</v>
      </c>
      <c r="AE22" s="7">
        <f t="shared" si="29"/>
        <v>2033</v>
      </c>
      <c r="AF22" s="46">
        <f t="shared" si="6"/>
        <v>0</v>
      </c>
      <c r="AG22" s="16">
        <f t="shared" si="7"/>
        <v>0</v>
      </c>
      <c r="AH22" s="46">
        <f t="shared" si="44"/>
        <v>0</v>
      </c>
      <c r="AJ22" s="32">
        <f t="shared" si="30"/>
        <v>0</v>
      </c>
      <c r="AK22" s="32">
        <f t="shared" si="30"/>
        <v>0</v>
      </c>
      <c r="AL22" s="32">
        <f t="shared" si="8"/>
        <v>0</v>
      </c>
      <c r="AN22" s="77">
        <f t="shared" si="9"/>
        <v>0</v>
      </c>
      <c r="AQ22" s="7">
        <f t="shared" si="31"/>
        <v>2033</v>
      </c>
      <c r="AR22" s="46">
        <f t="shared" si="10"/>
        <v>0</v>
      </c>
      <c r="AS22" s="46">
        <f t="shared" si="11"/>
        <v>0</v>
      </c>
      <c r="AT22" s="91">
        <f t="shared" si="12"/>
        <v>3.6999999999999998E-2</v>
      </c>
      <c r="AU22" s="16">
        <f t="shared" si="47"/>
        <v>0</v>
      </c>
      <c r="AV22" s="53">
        <f t="shared" si="13"/>
        <v>2.367</v>
      </c>
      <c r="AW22" s="46">
        <f t="shared" si="14"/>
        <v>0</v>
      </c>
      <c r="AX22" s="91"/>
      <c r="AY22" s="92"/>
      <c r="AZ22" s="46">
        <f t="shared" si="32"/>
        <v>0</v>
      </c>
      <c r="BA22" s="17"/>
      <c r="BB22" s="46">
        <v>0</v>
      </c>
      <c r="BC22" s="46">
        <v>0</v>
      </c>
      <c r="BD22" s="47">
        <f t="shared" si="33"/>
        <v>0</v>
      </c>
      <c r="BE22" s="46">
        <f t="shared" si="15"/>
        <v>0</v>
      </c>
      <c r="BH22" s="7">
        <f t="shared" si="34"/>
        <v>2033</v>
      </c>
      <c r="BI22" s="46">
        <v>0</v>
      </c>
      <c r="BJ22" s="16">
        <f t="shared" si="16"/>
        <v>0</v>
      </c>
      <c r="BK22" s="87">
        <f t="shared" si="17"/>
        <v>8.8309999999999995</v>
      </c>
      <c r="BL22" s="46">
        <f t="shared" si="45"/>
        <v>0</v>
      </c>
      <c r="BM22" s="87">
        <f t="shared" si="18"/>
        <v>0.16500000000000001</v>
      </c>
      <c r="BN22" s="16">
        <f t="shared" si="48"/>
        <v>0</v>
      </c>
      <c r="BO22" s="16"/>
      <c r="BP22" s="46">
        <f t="shared" si="19"/>
        <v>0</v>
      </c>
      <c r="BR22" s="46">
        <f t="shared" si="49"/>
        <v>0</v>
      </c>
      <c r="BS22" s="46"/>
      <c r="BT22" s="46">
        <f t="shared" si="35"/>
        <v>0</v>
      </c>
      <c r="BW22" s="7">
        <f t="shared" si="36"/>
        <v>2033</v>
      </c>
      <c r="BX22" s="46">
        <f t="shared" si="20"/>
        <v>0</v>
      </c>
      <c r="BY22" s="16">
        <f t="shared" si="37"/>
        <v>0</v>
      </c>
      <c r="BZ22" s="116">
        <f t="shared" si="38"/>
        <v>0</v>
      </c>
      <c r="CA22" s="46">
        <f t="shared" si="39"/>
        <v>0</v>
      </c>
      <c r="CC22" s="46">
        <f t="shared" si="40"/>
        <v>0</v>
      </c>
      <c r="CD22" s="46">
        <f t="shared" si="40"/>
        <v>0</v>
      </c>
      <c r="CE22" s="46">
        <f t="shared" si="41"/>
        <v>0</v>
      </c>
      <c r="CF22" s="46"/>
      <c r="CG22" s="46">
        <f>CA22-CE22</f>
        <v>0</v>
      </c>
    </row>
    <row r="23" spans="1:106">
      <c r="A23" s="3" t="s">
        <v>68</v>
      </c>
      <c r="C23" s="21">
        <f>+'Gas Input Table Summary'!$E$16</f>
        <v>0.01</v>
      </c>
      <c r="E23" s="3" t="s">
        <v>69</v>
      </c>
      <c r="F23" s="138">
        <f>'Database Inputs'!D18</f>
        <v>15</v>
      </c>
      <c r="G23" s="132"/>
      <c r="H23" s="132"/>
      <c r="J23" s="2">
        <f t="shared" si="21"/>
        <v>9</v>
      </c>
      <c r="L23" s="7">
        <f t="shared" si="22"/>
        <v>2034</v>
      </c>
      <c r="M23" s="16">
        <f t="shared" si="46"/>
        <v>0</v>
      </c>
      <c r="N23" s="53">
        <f t="shared" si="0"/>
        <v>4.4569999999999999</v>
      </c>
      <c r="O23" s="32">
        <f t="shared" si="23"/>
        <v>0</v>
      </c>
      <c r="P23" s="53">
        <f t="shared" si="1"/>
        <v>0</v>
      </c>
      <c r="Q23" s="46">
        <f t="shared" si="24"/>
        <v>0</v>
      </c>
      <c r="R23" s="43">
        <f t="shared" si="25"/>
        <v>0</v>
      </c>
      <c r="S23" s="42">
        <f t="shared" si="26"/>
        <v>0</v>
      </c>
      <c r="T23" s="46">
        <f t="shared" si="27"/>
        <v>192</v>
      </c>
      <c r="U23" s="44">
        <f t="shared" si="43"/>
        <v>0</v>
      </c>
      <c r="V23" s="16">
        <f t="shared" si="28"/>
        <v>0</v>
      </c>
      <c r="W23" s="45">
        <f t="shared" si="2"/>
        <v>1.498</v>
      </c>
      <c r="X23" s="46">
        <f t="shared" si="3"/>
        <v>0</v>
      </c>
      <c r="Y23" s="46">
        <v>0</v>
      </c>
      <c r="Z23" s="46">
        <v>0</v>
      </c>
      <c r="AA23" s="46">
        <f t="shared" si="4"/>
        <v>0</v>
      </c>
      <c r="AB23" s="46">
        <f t="shared" si="5"/>
        <v>0</v>
      </c>
      <c r="AE23" s="7">
        <f t="shared" si="29"/>
        <v>2034</v>
      </c>
      <c r="AF23" s="46">
        <f t="shared" si="6"/>
        <v>0</v>
      </c>
      <c r="AG23" s="16">
        <f t="shared" si="7"/>
        <v>0</v>
      </c>
      <c r="AH23" s="46">
        <f t="shared" si="44"/>
        <v>0</v>
      </c>
      <c r="AJ23" s="32">
        <f t="shared" si="30"/>
        <v>0</v>
      </c>
      <c r="AK23" s="32">
        <f t="shared" si="30"/>
        <v>0</v>
      </c>
      <c r="AL23" s="32">
        <f t="shared" si="8"/>
        <v>0</v>
      </c>
      <c r="AN23" s="77">
        <f t="shared" si="9"/>
        <v>0</v>
      </c>
      <c r="AQ23" s="7">
        <f t="shared" si="31"/>
        <v>2034</v>
      </c>
      <c r="AR23" s="46">
        <f t="shared" si="10"/>
        <v>0</v>
      </c>
      <c r="AS23" s="46">
        <f t="shared" si="11"/>
        <v>0</v>
      </c>
      <c r="AT23" s="91">
        <f t="shared" si="12"/>
        <v>3.9E-2</v>
      </c>
      <c r="AU23" s="16">
        <f t="shared" si="47"/>
        <v>0</v>
      </c>
      <c r="AV23" s="53">
        <f t="shared" si="13"/>
        <v>2.407</v>
      </c>
      <c r="AW23" s="46">
        <f t="shared" si="14"/>
        <v>0</v>
      </c>
      <c r="AX23" s="91"/>
      <c r="AY23" s="92"/>
      <c r="AZ23" s="46">
        <f t="shared" si="32"/>
        <v>0</v>
      </c>
      <c r="BA23" s="17"/>
      <c r="BB23" s="46">
        <v>0</v>
      </c>
      <c r="BC23" s="46">
        <v>0</v>
      </c>
      <c r="BD23" s="47">
        <f t="shared" si="33"/>
        <v>0</v>
      </c>
      <c r="BE23" s="46">
        <f t="shared" si="15"/>
        <v>0</v>
      </c>
      <c r="BH23" s="7">
        <f t="shared" si="34"/>
        <v>2034</v>
      </c>
      <c r="BI23" s="46">
        <v>0</v>
      </c>
      <c r="BJ23" s="16">
        <f t="shared" si="16"/>
        <v>0</v>
      </c>
      <c r="BK23" s="87">
        <f t="shared" si="17"/>
        <v>9.0960000000000001</v>
      </c>
      <c r="BL23" s="46">
        <f t="shared" si="45"/>
        <v>0</v>
      </c>
      <c r="BM23" s="87">
        <f t="shared" si="18"/>
        <v>0.17</v>
      </c>
      <c r="BN23" s="16">
        <f t="shared" si="48"/>
        <v>0</v>
      </c>
      <c r="BO23" s="16"/>
      <c r="BP23" s="46">
        <f t="shared" si="19"/>
        <v>0</v>
      </c>
      <c r="BR23" s="46">
        <f t="shared" si="49"/>
        <v>0</v>
      </c>
      <c r="BS23" s="46"/>
      <c r="BT23" s="46">
        <f t="shared" si="35"/>
        <v>0</v>
      </c>
      <c r="BW23" s="7">
        <f t="shared" si="36"/>
        <v>2034</v>
      </c>
      <c r="BX23" s="46">
        <f t="shared" si="20"/>
        <v>0</v>
      </c>
      <c r="BY23" s="16">
        <f t="shared" si="37"/>
        <v>0</v>
      </c>
      <c r="BZ23" s="116">
        <f t="shared" si="38"/>
        <v>0</v>
      </c>
      <c r="CA23" s="46">
        <f t="shared" si="39"/>
        <v>0</v>
      </c>
      <c r="CC23" s="46">
        <f t="shared" si="40"/>
        <v>0</v>
      </c>
      <c r="CD23" s="46">
        <f t="shared" si="40"/>
        <v>0</v>
      </c>
      <c r="CE23" s="46">
        <f t="shared" si="41"/>
        <v>0</v>
      </c>
      <c r="CF23" s="46"/>
      <c r="CG23" s="46">
        <f t="shared" ref="CG23:CG34" si="50">CA23-CE23</f>
        <v>0</v>
      </c>
    </row>
    <row r="24" spans="1:106">
      <c r="F24" s="16"/>
      <c r="G24" s="16"/>
      <c r="H24" s="16"/>
      <c r="J24" s="2">
        <f t="shared" si="21"/>
        <v>10</v>
      </c>
      <c r="L24" s="7">
        <f t="shared" si="22"/>
        <v>2035</v>
      </c>
      <c r="M24" s="16">
        <f t="shared" si="46"/>
        <v>0</v>
      </c>
      <c r="N24" s="53">
        <f t="shared" si="0"/>
        <v>4.5910000000000002</v>
      </c>
      <c r="O24" s="32">
        <f t="shared" si="23"/>
        <v>0</v>
      </c>
      <c r="P24" s="53">
        <f t="shared" si="1"/>
        <v>0</v>
      </c>
      <c r="Q24" s="46">
        <f t="shared" si="24"/>
        <v>0</v>
      </c>
      <c r="R24" s="43">
        <f t="shared" si="25"/>
        <v>0</v>
      </c>
      <c r="S24" s="42">
        <f t="shared" si="26"/>
        <v>0</v>
      </c>
      <c r="T24" s="46">
        <f t="shared" si="27"/>
        <v>194</v>
      </c>
      <c r="U24" s="44">
        <f t="shared" si="43"/>
        <v>0</v>
      </c>
      <c r="V24" s="16">
        <f t="shared" si="28"/>
        <v>0</v>
      </c>
      <c r="W24" s="45">
        <f t="shared" si="2"/>
        <v>1.5429999999999999</v>
      </c>
      <c r="X24" s="46">
        <f t="shared" si="3"/>
        <v>0</v>
      </c>
      <c r="Y24" s="46">
        <v>0</v>
      </c>
      <c r="Z24" s="46">
        <v>0</v>
      </c>
      <c r="AA24" s="46">
        <f t="shared" si="4"/>
        <v>0</v>
      </c>
      <c r="AB24" s="46">
        <f t="shared" si="5"/>
        <v>0</v>
      </c>
      <c r="AE24" s="7">
        <f t="shared" si="29"/>
        <v>2035</v>
      </c>
      <c r="AF24" s="46">
        <f t="shared" si="6"/>
        <v>0</v>
      </c>
      <c r="AG24" s="16">
        <f t="shared" si="7"/>
        <v>0</v>
      </c>
      <c r="AH24" s="46">
        <f t="shared" si="44"/>
        <v>0</v>
      </c>
      <c r="AJ24" s="32">
        <f t="shared" si="30"/>
        <v>0</v>
      </c>
      <c r="AK24" s="32">
        <f t="shared" si="30"/>
        <v>0</v>
      </c>
      <c r="AL24" s="32">
        <f t="shared" si="8"/>
        <v>0</v>
      </c>
      <c r="AN24" s="77">
        <f t="shared" si="9"/>
        <v>0</v>
      </c>
      <c r="AQ24" s="7">
        <f t="shared" si="31"/>
        <v>2035</v>
      </c>
      <c r="AR24" s="46">
        <f t="shared" si="10"/>
        <v>0</v>
      </c>
      <c r="AS24" s="46">
        <f t="shared" si="11"/>
        <v>0</v>
      </c>
      <c r="AT24" s="91">
        <f t="shared" si="12"/>
        <v>0.04</v>
      </c>
      <c r="AU24" s="16">
        <f t="shared" si="47"/>
        <v>0</v>
      </c>
      <c r="AV24" s="53">
        <f t="shared" si="13"/>
        <v>2.448</v>
      </c>
      <c r="AW24" s="46">
        <f t="shared" si="14"/>
        <v>0</v>
      </c>
      <c r="AX24" s="91"/>
      <c r="AY24" s="92"/>
      <c r="AZ24" s="46">
        <f t="shared" si="32"/>
        <v>0</v>
      </c>
      <c r="BA24" s="17"/>
      <c r="BB24" s="46">
        <v>0</v>
      </c>
      <c r="BC24" s="46">
        <v>0</v>
      </c>
      <c r="BD24" s="47">
        <f t="shared" si="33"/>
        <v>0</v>
      </c>
      <c r="BE24" s="46">
        <f t="shared" si="15"/>
        <v>0</v>
      </c>
      <c r="BH24" s="7">
        <f t="shared" si="34"/>
        <v>2035</v>
      </c>
      <c r="BI24" s="46">
        <v>0</v>
      </c>
      <c r="BJ24" s="16">
        <f t="shared" si="16"/>
        <v>0</v>
      </c>
      <c r="BK24" s="87">
        <f t="shared" si="17"/>
        <v>9.3680000000000003</v>
      </c>
      <c r="BL24" s="46">
        <f t="shared" si="45"/>
        <v>0</v>
      </c>
      <c r="BM24" s="87">
        <f t="shared" si="18"/>
        <v>0.17499999999999999</v>
      </c>
      <c r="BN24" s="16">
        <f t="shared" si="48"/>
        <v>0</v>
      </c>
      <c r="BO24" s="16"/>
      <c r="BP24" s="46">
        <f t="shared" si="19"/>
        <v>0</v>
      </c>
      <c r="BR24" s="46">
        <f t="shared" si="49"/>
        <v>0</v>
      </c>
      <c r="BS24" s="46"/>
      <c r="BT24" s="46">
        <f t="shared" si="35"/>
        <v>0</v>
      </c>
      <c r="BW24" s="7">
        <f t="shared" si="36"/>
        <v>2035</v>
      </c>
      <c r="BX24" s="46">
        <f t="shared" si="20"/>
        <v>0</v>
      </c>
      <c r="BY24" s="16">
        <f t="shared" si="37"/>
        <v>0</v>
      </c>
      <c r="BZ24" s="116">
        <f t="shared" si="38"/>
        <v>0</v>
      </c>
      <c r="CA24" s="46">
        <f t="shared" si="39"/>
        <v>0</v>
      </c>
      <c r="CC24" s="46">
        <f t="shared" si="40"/>
        <v>0</v>
      </c>
      <c r="CD24" s="46">
        <f t="shared" si="40"/>
        <v>0</v>
      </c>
      <c r="CE24" s="46">
        <f t="shared" si="41"/>
        <v>0</v>
      </c>
      <c r="CF24" s="46"/>
      <c r="CG24" s="46">
        <f t="shared" si="50"/>
        <v>0</v>
      </c>
    </row>
    <row r="25" spans="1:106">
      <c r="A25" s="130" t="s">
        <v>106</v>
      </c>
      <c r="C25" s="11">
        <f>+'Gas Input Table Summary'!$E$17</f>
        <v>0</v>
      </c>
      <c r="E25" s="119" t="s">
        <v>102</v>
      </c>
      <c r="F25" s="139">
        <f>IF(ISERROR(F30/F32),0,F30/F32)</f>
        <v>0</v>
      </c>
      <c r="G25" s="133"/>
      <c r="H25" s="133"/>
      <c r="J25" s="2">
        <f t="shared" si="21"/>
        <v>11</v>
      </c>
      <c r="L25" s="7">
        <f t="shared" si="22"/>
        <v>2036</v>
      </c>
      <c r="M25" s="16">
        <f t="shared" si="46"/>
        <v>0</v>
      </c>
      <c r="N25" s="53">
        <f t="shared" si="0"/>
        <v>4.7290000000000001</v>
      </c>
      <c r="O25" s="32">
        <f t="shared" si="23"/>
        <v>0</v>
      </c>
      <c r="P25" s="53">
        <f t="shared" si="1"/>
        <v>0</v>
      </c>
      <c r="Q25" s="46">
        <f t="shared" si="24"/>
        <v>0</v>
      </c>
      <c r="R25" s="43">
        <f t="shared" si="25"/>
        <v>0</v>
      </c>
      <c r="S25" s="42">
        <f t="shared" si="26"/>
        <v>0</v>
      </c>
      <c r="T25" s="46">
        <f t="shared" si="27"/>
        <v>196</v>
      </c>
      <c r="U25" s="44">
        <f t="shared" si="43"/>
        <v>0</v>
      </c>
      <c r="V25" s="16">
        <f t="shared" si="28"/>
        <v>0</v>
      </c>
      <c r="W25" s="45">
        <f t="shared" si="2"/>
        <v>1.589</v>
      </c>
      <c r="X25" s="46">
        <f t="shared" si="3"/>
        <v>0</v>
      </c>
      <c r="Y25" s="46">
        <v>0</v>
      </c>
      <c r="Z25" s="46">
        <v>0</v>
      </c>
      <c r="AA25" s="46">
        <f t="shared" si="4"/>
        <v>0</v>
      </c>
      <c r="AB25" s="46">
        <f t="shared" si="5"/>
        <v>0</v>
      </c>
      <c r="AE25" s="7">
        <f t="shared" si="29"/>
        <v>2036</v>
      </c>
      <c r="AF25" s="46">
        <f t="shared" si="6"/>
        <v>0</v>
      </c>
      <c r="AG25" s="16">
        <f t="shared" si="7"/>
        <v>0</v>
      </c>
      <c r="AH25" s="46">
        <f t="shared" si="44"/>
        <v>0</v>
      </c>
      <c r="AJ25" s="32">
        <f t="shared" si="30"/>
        <v>0</v>
      </c>
      <c r="AK25" s="32">
        <f t="shared" si="30"/>
        <v>0</v>
      </c>
      <c r="AL25" s="32">
        <f t="shared" si="8"/>
        <v>0</v>
      </c>
      <c r="AN25" s="77">
        <f t="shared" si="9"/>
        <v>0</v>
      </c>
      <c r="AQ25" s="7">
        <f t="shared" si="31"/>
        <v>2036</v>
      </c>
      <c r="AR25" s="46">
        <f t="shared" si="10"/>
        <v>0</v>
      </c>
      <c r="AS25" s="46">
        <f t="shared" si="11"/>
        <v>0</v>
      </c>
      <c r="AT25" s="91">
        <f t="shared" si="12"/>
        <v>4.1000000000000002E-2</v>
      </c>
      <c r="AU25" s="16">
        <f t="shared" si="47"/>
        <v>0</v>
      </c>
      <c r="AV25" s="53">
        <f t="shared" si="13"/>
        <v>2.4889999999999999</v>
      </c>
      <c r="AW25" s="46">
        <f t="shared" si="14"/>
        <v>0</v>
      </c>
      <c r="AX25" s="91"/>
      <c r="AY25" s="92"/>
      <c r="AZ25" s="46">
        <f t="shared" si="32"/>
        <v>0</v>
      </c>
      <c r="BA25" s="17"/>
      <c r="BB25" s="46">
        <v>0</v>
      </c>
      <c r="BC25" s="46">
        <v>0</v>
      </c>
      <c r="BD25" s="47">
        <f t="shared" si="33"/>
        <v>0</v>
      </c>
      <c r="BE25" s="46">
        <f t="shared" si="15"/>
        <v>0</v>
      </c>
      <c r="BH25" s="7">
        <f t="shared" si="34"/>
        <v>2036</v>
      </c>
      <c r="BI25" s="46">
        <v>0</v>
      </c>
      <c r="BJ25" s="16">
        <f t="shared" si="16"/>
        <v>0</v>
      </c>
      <c r="BK25" s="87">
        <f t="shared" si="17"/>
        <v>9.6489999999999991</v>
      </c>
      <c r="BL25" s="46">
        <f t="shared" si="45"/>
        <v>0</v>
      </c>
      <c r="BM25" s="87">
        <f t="shared" si="18"/>
        <v>0.18099999999999999</v>
      </c>
      <c r="BN25" s="16">
        <f t="shared" si="48"/>
        <v>0</v>
      </c>
      <c r="BO25" s="16"/>
      <c r="BP25" s="46">
        <f t="shared" si="19"/>
        <v>0</v>
      </c>
      <c r="BR25" s="46">
        <f t="shared" si="49"/>
        <v>0</v>
      </c>
      <c r="BS25" s="46"/>
      <c r="BT25" s="46">
        <f t="shared" si="35"/>
        <v>0</v>
      </c>
      <c r="BW25" s="7">
        <f t="shared" si="36"/>
        <v>2036</v>
      </c>
      <c r="BX25" s="46">
        <f t="shared" si="20"/>
        <v>0</v>
      </c>
      <c r="BY25" s="16">
        <f t="shared" si="37"/>
        <v>0</v>
      </c>
      <c r="BZ25" s="116">
        <f t="shared" si="38"/>
        <v>0</v>
      </c>
      <c r="CA25" s="46">
        <f t="shared" si="39"/>
        <v>0</v>
      </c>
      <c r="CC25" s="46">
        <f t="shared" si="40"/>
        <v>0</v>
      </c>
      <c r="CD25" s="46">
        <f t="shared" si="40"/>
        <v>0</v>
      </c>
      <c r="CE25" s="46">
        <f t="shared" si="41"/>
        <v>0</v>
      </c>
      <c r="CF25" s="46"/>
      <c r="CG25" s="46">
        <f t="shared" si="50"/>
        <v>0</v>
      </c>
    </row>
    <row r="26" spans="1:106">
      <c r="A26" s="3" t="s">
        <v>18</v>
      </c>
      <c r="C26" s="15">
        <f>+'Gas Input Table Summary'!$E$18</f>
        <v>0</v>
      </c>
      <c r="F26" s="16"/>
      <c r="G26" s="16"/>
      <c r="H26" s="16"/>
      <c r="J26" s="2">
        <f t="shared" si="21"/>
        <v>12</v>
      </c>
      <c r="L26" s="7">
        <f t="shared" si="22"/>
        <v>2037</v>
      </c>
      <c r="M26" s="16">
        <f t="shared" si="46"/>
        <v>0</v>
      </c>
      <c r="N26" s="53">
        <f t="shared" si="0"/>
        <v>4.87</v>
      </c>
      <c r="O26" s="32">
        <f t="shared" si="23"/>
        <v>0</v>
      </c>
      <c r="P26" s="53">
        <f t="shared" si="1"/>
        <v>0</v>
      </c>
      <c r="Q26" s="46">
        <f t="shared" si="24"/>
        <v>0</v>
      </c>
      <c r="R26" s="43">
        <f t="shared" si="25"/>
        <v>0</v>
      </c>
      <c r="S26" s="42">
        <f t="shared" si="26"/>
        <v>0</v>
      </c>
      <c r="T26" s="46">
        <f t="shared" si="27"/>
        <v>198</v>
      </c>
      <c r="U26" s="44">
        <f t="shared" si="43"/>
        <v>0</v>
      </c>
      <c r="V26" s="16">
        <f t="shared" si="28"/>
        <v>0</v>
      </c>
      <c r="W26" s="45">
        <f t="shared" si="2"/>
        <v>1.637</v>
      </c>
      <c r="X26" s="46">
        <f t="shared" si="3"/>
        <v>0</v>
      </c>
      <c r="Y26" s="46">
        <v>0</v>
      </c>
      <c r="Z26" s="46">
        <v>0</v>
      </c>
      <c r="AA26" s="46">
        <f t="shared" si="4"/>
        <v>0</v>
      </c>
      <c r="AB26" s="46">
        <f t="shared" si="5"/>
        <v>0</v>
      </c>
      <c r="AE26" s="7">
        <f t="shared" si="29"/>
        <v>2037</v>
      </c>
      <c r="AF26" s="46">
        <f t="shared" si="6"/>
        <v>0</v>
      </c>
      <c r="AG26" s="16">
        <f t="shared" si="7"/>
        <v>0</v>
      </c>
      <c r="AH26" s="46">
        <f t="shared" si="44"/>
        <v>0</v>
      </c>
      <c r="AJ26" s="32">
        <f t="shared" si="30"/>
        <v>0</v>
      </c>
      <c r="AK26" s="32">
        <f t="shared" si="30"/>
        <v>0</v>
      </c>
      <c r="AL26" s="32">
        <f t="shared" si="8"/>
        <v>0</v>
      </c>
      <c r="AN26" s="77">
        <f t="shared" si="9"/>
        <v>0</v>
      </c>
      <c r="AQ26" s="7">
        <f t="shared" si="31"/>
        <v>2037</v>
      </c>
      <c r="AR26" s="46">
        <f t="shared" si="10"/>
        <v>0</v>
      </c>
      <c r="AS26" s="46">
        <f t="shared" si="11"/>
        <v>0</v>
      </c>
      <c r="AT26" s="91">
        <f t="shared" si="12"/>
        <v>4.2000000000000003E-2</v>
      </c>
      <c r="AU26" s="16">
        <f t="shared" si="47"/>
        <v>0</v>
      </c>
      <c r="AV26" s="53">
        <f t="shared" si="13"/>
        <v>2.5310000000000001</v>
      </c>
      <c r="AW26" s="46">
        <f t="shared" si="14"/>
        <v>0</v>
      </c>
      <c r="AX26" s="91"/>
      <c r="AY26" s="92"/>
      <c r="AZ26" s="46">
        <f t="shared" si="32"/>
        <v>0</v>
      </c>
      <c r="BA26" s="17"/>
      <c r="BB26" s="46">
        <v>0</v>
      </c>
      <c r="BC26" s="46">
        <v>0</v>
      </c>
      <c r="BD26" s="47">
        <f t="shared" si="33"/>
        <v>0</v>
      </c>
      <c r="BE26" s="46">
        <f t="shared" si="15"/>
        <v>0</v>
      </c>
      <c r="BH26" s="7">
        <f t="shared" si="34"/>
        <v>2037</v>
      </c>
      <c r="BI26" s="46">
        <v>0</v>
      </c>
      <c r="BJ26" s="16">
        <f t="shared" si="16"/>
        <v>0</v>
      </c>
      <c r="BK26" s="87">
        <f t="shared" si="17"/>
        <v>9.9390000000000001</v>
      </c>
      <c r="BL26" s="46">
        <f t="shared" si="45"/>
        <v>0</v>
      </c>
      <c r="BM26" s="87">
        <f t="shared" si="18"/>
        <v>0.186</v>
      </c>
      <c r="BN26" s="16">
        <f t="shared" si="48"/>
        <v>0</v>
      </c>
      <c r="BO26" s="16"/>
      <c r="BP26" s="46">
        <f t="shared" si="19"/>
        <v>0</v>
      </c>
      <c r="BR26" s="46">
        <f t="shared" si="49"/>
        <v>0</v>
      </c>
      <c r="BS26" s="46"/>
      <c r="BT26" s="46">
        <f t="shared" si="35"/>
        <v>0</v>
      </c>
      <c r="BW26" s="7">
        <f t="shared" si="36"/>
        <v>2037</v>
      </c>
      <c r="BX26" s="46">
        <f t="shared" si="20"/>
        <v>0</v>
      </c>
      <c r="BY26" s="16">
        <f t="shared" si="37"/>
        <v>0</v>
      </c>
      <c r="BZ26" s="116">
        <f t="shared" si="38"/>
        <v>0</v>
      </c>
      <c r="CA26" s="46">
        <f t="shared" si="39"/>
        <v>0</v>
      </c>
      <c r="CC26" s="46">
        <f t="shared" si="40"/>
        <v>0</v>
      </c>
      <c r="CD26" s="46">
        <f t="shared" si="40"/>
        <v>0</v>
      </c>
      <c r="CE26" s="46">
        <f t="shared" si="41"/>
        <v>0</v>
      </c>
      <c r="CF26" s="46"/>
      <c r="CG26" s="46">
        <f t="shared" si="50"/>
        <v>0</v>
      </c>
    </row>
    <row r="27" spans="1:106">
      <c r="A27" s="3"/>
      <c r="C27" s="15"/>
      <c r="E27" s="3" t="s">
        <v>70</v>
      </c>
      <c r="F27" s="250">
        <f>+'Database Inputs'!H18</f>
        <v>0</v>
      </c>
      <c r="G27" s="142"/>
      <c r="H27" s="142"/>
      <c r="J27" s="2">
        <f t="shared" si="21"/>
        <v>13</v>
      </c>
      <c r="L27" s="7">
        <f t="shared" si="22"/>
        <v>2038</v>
      </c>
      <c r="M27" s="16">
        <f t="shared" si="46"/>
        <v>0</v>
      </c>
      <c r="N27" s="53">
        <f t="shared" si="0"/>
        <v>5.0170000000000003</v>
      </c>
      <c r="O27" s="32">
        <f t="shared" si="23"/>
        <v>0</v>
      </c>
      <c r="P27" s="53">
        <f t="shared" si="1"/>
        <v>0</v>
      </c>
      <c r="Q27" s="46">
        <f t="shared" si="24"/>
        <v>0</v>
      </c>
      <c r="R27" s="43">
        <f t="shared" si="25"/>
        <v>0</v>
      </c>
      <c r="S27" s="42">
        <f t="shared" si="26"/>
        <v>0</v>
      </c>
      <c r="T27" s="46">
        <f t="shared" si="27"/>
        <v>200</v>
      </c>
      <c r="U27" s="44">
        <f t="shared" si="43"/>
        <v>0</v>
      </c>
      <c r="V27" s="16">
        <f t="shared" si="28"/>
        <v>0</v>
      </c>
      <c r="W27" s="45">
        <f t="shared" si="2"/>
        <v>1.6859999999999999</v>
      </c>
      <c r="X27" s="46">
        <f t="shared" si="3"/>
        <v>0</v>
      </c>
      <c r="Y27" s="46">
        <v>0</v>
      </c>
      <c r="Z27" s="46">
        <v>0</v>
      </c>
      <c r="AA27" s="46">
        <f t="shared" si="4"/>
        <v>0</v>
      </c>
      <c r="AB27" s="46">
        <f t="shared" si="5"/>
        <v>0</v>
      </c>
      <c r="AE27" s="7">
        <f t="shared" si="29"/>
        <v>2038</v>
      </c>
      <c r="AF27" s="46">
        <f t="shared" si="6"/>
        <v>0</v>
      </c>
      <c r="AG27" s="16">
        <f t="shared" si="7"/>
        <v>0</v>
      </c>
      <c r="AH27" s="46">
        <f t="shared" si="44"/>
        <v>0</v>
      </c>
      <c r="AJ27" s="32">
        <f t="shared" si="30"/>
        <v>0</v>
      </c>
      <c r="AK27" s="32">
        <f t="shared" si="30"/>
        <v>0</v>
      </c>
      <c r="AL27" s="32">
        <f t="shared" si="8"/>
        <v>0</v>
      </c>
      <c r="AN27" s="77">
        <f t="shared" si="9"/>
        <v>0</v>
      </c>
      <c r="AQ27" s="7">
        <f t="shared" si="31"/>
        <v>2038</v>
      </c>
      <c r="AR27" s="46">
        <f t="shared" si="10"/>
        <v>0</v>
      </c>
      <c r="AS27" s="46">
        <f t="shared" si="11"/>
        <v>0</v>
      </c>
      <c r="AT27" s="91">
        <f t="shared" si="12"/>
        <v>4.2999999999999997E-2</v>
      </c>
      <c r="AU27" s="16">
        <f t="shared" si="47"/>
        <v>0</v>
      </c>
      <c r="AV27" s="53">
        <f t="shared" si="13"/>
        <v>2.5739999999999998</v>
      </c>
      <c r="AW27" s="46">
        <f t="shared" si="14"/>
        <v>0</v>
      </c>
      <c r="AX27" s="91"/>
      <c r="AY27" s="92"/>
      <c r="AZ27" s="46">
        <f t="shared" si="32"/>
        <v>0</v>
      </c>
      <c r="BA27" s="17"/>
      <c r="BB27" s="46">
        <v>0</v>
      </c>
      <c r="BC27" s="46">
        <v>0</v>
      </c>
      <c r="BD27" s="47">
        <f t="shared" si="33"/>
        <v>0</v>
      </c>
      <c r="BE27" s="46">
        <f t="shared" si="15"/>
        <v>0</v>
      </c>
      <c r="BH27" s="7">
        <f t="shared" si="34"/>
        <v>2038</v>
      </c>
      <c r="BI27" s="46">
        <v>0</v>
      </c>
      <c r="BJ27" s="16">
        <f t="shared" si="16"/>
        <v>0</v>
      </c>
      <c r="BK27" s="87">
        <f t="shared" si="17"/>
        <v>10.237</v>
      </c>
      <c r="BL27" s="46">
        <f t="shared" si="45"/>
        <v>0</v>
      </c>
      <c r="BM27" s="87">
        <f t="shared" si="18"/>
        <v>0.192</v>
      </c>
      <c r="BN27" s="16">
        <f t="shared" si="48"/>
        <v>0</v>
      </c>
      <c r="BO27" s="16"/>
      <c r="BP27" s="46">
        <f t="shared" si="19"/>
        <v>0</v>
      </c>
      <c r="BR27" s="46">
        <f t="shared" si="49"/>
        <v>0</v>
      </c>
      <c r="BS27" s="46"/>
      <c r="BT27" s="46">
        <f t="shared" si="35"/>
        <v>0</v>
      </c>
      <c r="BW27" s="7">
        <f t="shared" si="36"/>
        <v>2038</v>
      </c>
      <c r="BX27" s="46">
        <f t="shared" si="20"/>
        <v>0</v>
      </c>
      <c r="BY27" s="16">
        <f t="shared" si="37"/>
        <v>0</v>
      </c>
      <c r="BZ27" s="116">
        <f t="shared" si="38"/>
        <v>0</v>
      </c>
      <c r="CA27" s="46">
        <f t="shared" si="39"/>
        <v>0</v>
      </c>
      <c r="CC27" s="46">
        <f t="shared" si="40"/>
        <v>0</v>
      </c>
      <c r="CD27" s="46">
        <f t="shared" si="40"/>
        <v>0</v>
      </c>
      <c r="CE27" s="46">
        <f t="shared" si="41"/>
        <v>0</v>
      </c>
      <c r="CF27" s="46"/>
      <c r="CG27" s="46">
        <f t="shared" si="50"/>
        <v>0</v>
      </c>
    </row>
    <row r="28" spans="1:106">
      <c r="A28" s="3" t="s">
        <v>71</v>
      </c>
      <c r="C28" s="140">
        <f>+'Gas Input Table Summary'!$E$19</f>
        <v>2.7300000000000001E-2</v>
      </c>
      <c r="E28" s="127" t="s">
        <v>72</v>
      </c>
      <c r="F28" s="250">
        <v>0</v>
      </c>
      <c r="G28" s="142"/>
      <c r="H28" s="142"/>
      <c r="J28" s="2">
        <f t="shared" si="21"/>
        <v>14</v>
      </c>
      <c r="L28" s="7">
        <f t="shared" si="22"/>
        <v>2039</v>
      </c>
      <c r="M28" s="16">
        <f t="shared" si="46"/>
        <v>0</v>
      </c>
      <c r="N28" s="53">
        <f t="shared" si="0"/>
        <v>5.1669999999999998</v>
      </c>
      <c r="O28" s="32">
        <f t="shared" si="23"/>
        <v>0</v>
      </c>
      <c r="P28" s="53">
        <f t="shared" si="1"/>
        <v>0</v>
      </c>
      <c r="Q28" s="46">
        <f t="shared" si="24"/>
        <v>0</v>
      </c>
      <c r="R28" s="43">
        <f t="shared" si="25"/>
        <v>0</v>
      </c>
      <c r="S28" s="42">
        <f t="shared" si="26"/>
        <v>0</v>
      </c>
      <c r="T28" s="46">
        <f t="shared" si="27"/>
        <v>202</v>
      </c>
      <c r="U28" s="44">
        <f t="shared" si="43"/>
        <v>0</v>
      </c>
      <c r="V28" s="16">
        <f t="shared" si="28"/>
        <v>0</v>
      </c>
      <c r="W28" s="45">
        <f t="shared" si="2"/>
        <v>1.736</v>
      </c>
      <c r="X28" s="46">
        <f t="shared" si="3"/>
        <v>0</v>
      </c>
      <c r="Y28" s="46">
        <v>0</v>
      </c>
      <c r="Z28" s="46">
        <v>0</v>
      </c>
      <c r="AA28" s="46">
        <f t="shared" si="4"/>
        <v>0</v>
      </c>
      <c r="AB28" s="46">
        <f t="shared" si="5"/>
        <v>0</v>
      </c>
      <c r="AE28" s="7">
        <f t="shared" si="29"/>
        <v>2039</v>
      </c>
      <c r="AF28" s="46">
        <f t="shared" si="6"/>
        <v>0</v>
      </c>
      <c r="AG28" s="16">
        <f t="shared" si="7"/>
        <v>0</v>
      </c>
      <c r="AH28" s="46">
        <f t="shared" si="44"/>
        <v>0</v>
      </c>
      <c r="AJ28" s="32">
        <f t="shared" si="30"/>
        <v>0</v>
      </c>
      <c r="AK28" s="32">
        <f t="shared" si="30"/>
        <v>0</v>
      </c>
      <c r="AL28" s="32">
        <f t="shared" si="8"/>
        <v>0</v>
      </c>
      <c r="AN28" s="77">
        <f t="shared" si="9"/>
        <v>0</v>
      </c>
      <c r="AQ28" s="7">
        <f t="shared" si="31"/>
        <v>2039</v>
      </c>
      <c r="AR28" s="46">
        <f t="shared" si="10"/>
        <v>0</v>
      </c>
      <c r="AS28" s="46">
        <f t="shared" si="11"/>
        <v>0</v>
      </c>
      <c r="AT28" s="91">
        <f t="shared" si="12"/>
        <v>4.4999999999999998E-2</v>
      </c>
      <c r="AU28" s="16">
        <f t="shared" si="47"/>
        <v>0</v>
      </c>
      <c r="AV28" s="53">
        <f t="shared" si="13"/>
        <v>2.617</v>
      </c>
      <c r="AW28" s="46">
        <f t="shared" si="14"/>
        <v>0</v>
      </c>
      <c r="AX28" s="91"/>
      <c r="AY28" s="92"/>
      <c r="AZ28" s="46">
        <f t="shared" si="32"/>
        <v>0</v>
      </c>
      <c r="BA28" s="17"/>
      <c r="BB28" s="46">
        <v>0</v>
      </c>
      <c r="BC28" s="46">
        <v>0</v>
      </c>
      <c r="BD28" s="47">
        <f t="shared" si="33"/>
        <v>0</v>
      </c>
      <c r="BE28" s="46">
        <f t="shared" si="15"/>
        <v>0</v>
      </c>
      <c r="BH28" s="7">
        <f t="shared" si="34"/>
        <v>2039</v>
      </c>
      <c r="BI28" s="46">
        <v>0</v>
      </c>
      <c r="BJ28" s="16">
        <f t="shared" si="16"/>
        <v>0</v>
      </c>
      <c r="BK28" s="87">
        <f t="shared" si="17"/>
        <v>10.544</v>
      </c>
      <c r="BL28" s="46">
        <f t="shared" si="45"/>
        <v>0</v>
      </c>
      <c r="BM28" s="87">
        <f t="shared" si="18"/>
        <v>0.19700000000000001</v>
      </c>
      <c r="BN28" s="16">
        <f t="shared" si="48"/>
        <v>0</v>
      </c>
      <c r="BO28" s="16"/>
      <c r="BP28" s="46">
        <f t="shared" si="19"/>
        <v>0</v>
      </c>
      <c r="BR28" s="46">
        <f t="shared" si="49"/>
        <v>0</v>
      </c>
      <c r="BS28" s="46"/>
      <c r="BT28" s="46">
        <f t="shared" si="35"/>
        <v>0</v>
      </c>
      <c r="BW28" s="7">
        <f t="shared" si="36"/>
        <v>2039</v>
      </c>
      <c r="BX28" s="46">
        <f t="shared" si="20"/>
        <v>0</v>
      </c>
      <c r="BY28" s="16">
        <f t="shared" si="37"/>
        <v>0</v>
      </c>
      <c r="BZ28" s="116">
        <f t="shared" si="38"/>
        <v>0</v>
      </c>
      <c r="CA28" s="46">
        <f t="shared" si="39"/>
        <v>0</v>
      </c>
      <c r="CC28" s="46">
        <f t="shared" si="40"/>
        <v>0</v>
      </c>
      <c r="CD28" s="46">
        <f t="shared" si="40"/>
        <v>0</v>
      </c>
      <c r="CE28" s="46">
        <f t="shared" si="41"/>
        <v>0</v>
      </c>
      <c r="CF28" s="46"/>
      <c r="CG28" s="46">
        <f t="shared" si="50"/>
        <v>0</v>
      </c>
    </row>
    <row r="29" spans="1:106">
      <c r="A29" s="3" t="s">
        <v>47</v>
      </c>
      <c r="C29" s="15">
        <f>+'Gas Input Table Summary'!$E$20</f>
        <v>0.03</v>
      </c>
      <c r="E29" s="3"/>
      <c r="F29" s="250"/>
      <c r="G29" s="16"/>
      <c r="H29" s="16"/>
      <c r="J29" s="2">
        <f t="shared" si="21"/>
        <v>15</v>
      </c>
      <c r="L29" s="7">
        <f t="shared" si="22"/>
        <v>2040</v>
      </c>
      <c r="M29" s="16">
        <f t="shared" si="46"/>
        <v>0</v>
      </c>
      <c r="N29" s="53">
        <f t="shared" si="0"/>
        <v>5.3220000000000001</v>
      </c>
      <c r="O29" s="32">
        <f t="shared" si="23"/>
        <v>0</v>
      </c>
      <c r="P29" s="53">
        <f t="shared" si="1"/>
        <v>0</v>
      </c>
      <c r="Q29" s="46">
        <f t="shared" si="24"/>
        <v>0</v>
      </c>
      <c r="R29" s="43">
        <f t="shared" si="25"/>
        <v>0</v>
      </c>
      <c r="S29" s="42">
        <f t="shared" si="26"/>
        <v>0</v>
      </c>
      <c r="T29" s="46">
        <f t="shared" si="27"/>
        <v>204</v>
      </c>
      <c r="U29" s="44">
        <f t="shared" si="43"/>
        <v>0</v>
      </c>
      <c r="V29" s="16">
        <f t="shared" si="28"/>
        <v>0</v>
      </c>
      <c r="W29" s="45">
        <f t="shared" si="2"/>
        <v>1.7889999999999999</v>
      </c>
      <c r="X29" s="46">
        <f t="shared" si="3"/>
        <v>0</v>
      </c>
      <c r="Y29" s="49">
        <v>0</v>
      </c>
      <c r="Z29" s="49">
        <v>0</v>
      </c>
      <c r="AA29" s="49">
        <f t="shared" si="4"/>
        <v>0</v>
      </c>
      <c r="AB29" s="49">
        <f t="shared" si="5"/>
        <v>0</v>
      </c>
      <c r="AE29" s="7">
        <f t="shared" si="29"/>
        <v>2040</v>
      </c>
      <c r="AF29" s="46">
        <f t="shared" si="6"/>
        <v>0</v>
      </c>
      <c r="AG29" s="16">
        <f t="shared" si="7"/>
        <v>0</v>
      </c>
      <c r="AH29" s="46">
        <f t="shared" si="44"/>
        <v>0</v>
      </c>
      <c r="AJ29" s="32">
        <f t="shared" si="30"/>
        <v>0</v>
      </c>
      <c r="AK29" s="32">
        <f t="shared" si="30"/>
        <v>0</v>
      </c>
      <c r="AL29" s="32">
        <f t="shared" si="8"/>
        <v>0</v>
      </c>
      <c r="AN29" s="77">
        <f t="shared" si="9"/>
        <v>0</v>
      </c>
      <c r="AQ29" s="7">
        <f t="shared" si="31"/>
        <v>2040</v>
      </c>
      <c r="AR29" s="49">
        <f t="shared" si="10"/>
        <v>0</v>
      </c>
      <c r="AS29" s="46">
        <f t="shared" si="11"/>
        <v>0</v>
      </c>
      <c r="AT29" s="91">
        <f t="shared" si="12"/>
        <v>4.5999999999999999E-2</v>
      </c>
      <c r="AU29" s="16">
        <f t="shared" si="47"/>
        <v>0</v>
      </c>
      <c r="AV29" s="53">
        <f t="shared" si="13"/>
        <v>2.6619999999999999</v>
      </c>
      <c r="AW29" s="46">
        <f t="shared" si="14"/>
        <v>0</v>
      </c>
      <c r="AX29" s="91"/>
      <c r="AY29" s="92"/>
      <c r="AZ29" s="49">
        <f t="shared" si="32"/>
        <v>0</v>
      </c>
      <c r="BA29" s="17"/>
      <c r="BB29" s="49">
        <v>0</v>
      </c>
      <c r="BC29" s="46">
        <v>0</v>
      </c>
      <c r="BD29" s="47">
        <f t="shared" si="33"/>
        <v>0</v>
      </c>
      <c r="BE29" s="49">
        <f t="shared" si="15"/>
        <v>0</v>
      </c>
      <c r="BH29" s="7">
        <f t="shared" si="34"/>
        <v>2040</v>
      </c>
      <c r="BI29" s="46">
        <v>0</v>
      </c>
      <c r="BJ29" s="16">
        <f t="shared" si="16"/>
        <v>0</v>
      </c>
      <c r="BK29" s="87">
        <f t="shared" si="17"/>
        <v>10.861000000000001</v>
      </c>
      <c r="BL29" s="46">
        <f t="shared" si="45"/>
        <v>0</v>
      </c>
      <c r="BM29" s="87">
        <f t="shared" si="18"/>
        <v>0.20300000000000001</v>
      </c>
      <c r="BN29" s="16">
        <f t="shared" si="48"/>
        <v>0</v>
      </c>
      <c r="BO29" s="16"/>
      <c r="BP29" s="46">
        <f t="shared" si="19"/>
        <v>0</v>
      </c>
      <c r="BR29" s="46">
        <f t="shared" si="49"/>
        <v>0</v>
      </c>
      <c r="BS29" s="46"/>
      <c r="BT29" s="46">
        <f t="shared" si="35"/>
        <v>0</v>
      </c>
      <c r="BW29" s="7">
        <f t="shared" si="36"/>
        <v>2040</v>
      </c>
      <c r="BX29" s="46">
        <f t="shared" si="20"/>
        <v>0</v>
      </c>
      <c r="BY29" s="16">
        <f t="shared" si="37"/>
        <v>0</v>
      </c>
      <c r="BZ29" s="116">
        <f t="shared" si="38"/>
        <v>0</v>
      </c>
      <c r="CA29" s="46">
        <f t="shared" si="39"/>
        <v>0</v>
      </c>
      <c r="CC29" s="46">
        <f t="shared" si="40"/>
        <v>0</v>
      </c>
      <c r="CD29" s="46">
        <f t="shared" si="40"/>
        <v>0</v>
      </c>
      <c r="CE29" s="46">
        <f t="shared" si="41"/>
        <v>0</v>
      </c>
      <c r="CF29" s="46"/>
      <c r="CG29" s="46">
        <f t="shared" si="50"/>
        <v>0</v>
      </c>
    </row>
    <row r="30" spans="1:106">
      <c r="E30" s="3" t="s">
        <v>73</v>
      </c>
      <c r="F30" s="138">
        <f>'Database Inputs'!C18</f>
        <v>0</v>
      </c>
      <c r="G30" s="132"/>
      <c r="H30" s="132"/>
      <c r="J30" s="2">
        <f t="shared" si="21"/>
        <v>16</v>
      </c>
      <c r="L30" s="7">
        <f t="shared" si="22"/>
        <v>2041</v>
      </c>
      <c r="M30" s="16">
        <f t="shared" si="46"/>
        <v>0</v>
      </c>
      <c r="N30" s="53">
        <f t="shared" si="0"/>
        <v>5.4820000000000002</v>
      </c>
      <c r="O30" s="32">
        <f t="shared" si="23"/>
        <v>0</v>
      </c>
      <c r="P30" s="53">
        <f t="shared" si="1"/>
        <v>0</v>
      </c>
      <c r="Q30" s="46">
        <f t="shared" si="24"/>
        <v>0</v>
      </c>
      <c r="R30" s="43">
        <f t="shared" si="25"/>
        <v>0</v>
      </c>
      <c r="S30" s="42">
        <f t="shared" si="26"/>
        <v>0</v>
      </c>
      <c r="T30" s="46">
        <f t="shared" si="27"/>
        <v>206</v>
      </c>
      <c r="U30" s="44">
        <f t="shared" si="43"/>
        <v>0</v>
      </c>
      <c r="V30" s="16">
        <f t="shared" si="28"/>
        <v>0</v>
      </c>
      <c r="W30" s="45">
        <f t="shared" si="2"/>
        <v>1.8420000000000001</v>
      </c>
      <c r="X30" s="46">
        <f t="shared" si="3"/>
        <v>0</v>
      </c>
      <c r="Y30" s="49">
        <v>0</v>
      </c>
      <c r="Z30" s="49">
        <v>0</v>
      </c>
      <c r="AA30" s="49">
        <f t="shared" si="4"/>
        <v>0</v>
      </c>
      <c r="AB30" s="49">
        <f t="shared" si="5"/>
        <v>0</v>
      </c>
      <c r="AE30" s="7">
        <f t="shared" si="29"/>
        <v>2041</v>
      </c>
      <c r="AF30" s="46">
        <f t="shared" si="6"/>
        <v>0</v>
      </c>
      <c r="AG30" s="16">
        <f t="shared" si="7"/>
        <v>0</v>
      </c>
      <c r="AH30" s="46">
        <f t="shared" si="44"/>
        <v>0</v>
      </c>
      <c r="AJ30" s="32">
        <f t="shared" si="30"/>
        <v>0</v>
      </c>
      <c r="AK30" s="32">
        <f t="shared" si="30"/>
        <v>0</v>
      </c>
      <c r="AL30" s="32">
        <f t="shared" si="8"/>
        <v>0</v>
      </c>
      <c r="AN30" s="77">
        <f t="shared" si="9"/>
        <v>0</v>
      </c>
      <c r="AQ30" s="7">
        <f t="shared" si="31"/>
        <v>2041</v>
      </c>
      <c r="AR30" s="49">
        <f t="shared" si="10"/>
        <v>0</v>
      </c>
      <c r="AS30" s="46">
        <f t="shared" si="11"/>
        <v>0</v>
      </c>
      <c r="AT30" s="91">
        <f t="shared" si="12"/>
        <v>4.7E-2</v>
      </c>
      <c r="AU30" s="16">
        <f t="shared" si="47"/>
        <v>0</v>
      </c>
      <c r="AV30" s="53">
        <f t="shared" si="13"/>
        <v>2.7069999999999999</v>
      </c>
      <c r="AW30" s="46">
        <f t="shared" si="14"/>
        <v>0</v>
      </c>
      <c r="AX30" s="91"/>
      <c r="AY30" s="92"/>
      <c r="AZ30" s="49">
        <f t="shared" si="32"/>
        <v>0</v>
      </c>
      <c r="BA30" s="17"/>
      <c r="BB30" s="49">
        <v>0</v>
      </c>
      <c r="BC30" s="46">
        <v>0</v>
      </c>
      <c r="BD30" s="47">
        <f t="shared" si="33"/>
        <v>0</v>
      </c>
      <c r="BE30" s="49">
        <f t="shared" si="15"/>
        <v>0</v>
      </c>
      <c r="BH30" s="7">
        <f t="shared" si="34"/>
        <v>2041</v>
      </c>
      <c r="BI30" s="46">
        <v>0</v>
      </c>
      <c r="BJ30" s="16">
        <f t="shared" si="16"/>
        <v>0</v>
      </c>
      <c r="BK30" s="87">
        <f t="shared" si="17"/>
        <v>11.186</v>
      </c>
      <c r="BL30" s="46">
        <f t="shared" si="45"/>
        <v>0</v>
      </c>
      <c r="BM30" s="87">
        <f t="shared" si="18"/>
        <v>0.20899999999999999</v>
      </c>
      <c r="BN30" s="16">
        <f t="shared" si="48"/>
        <v>0</v>
      </c>
      <c r="BO30" s="16"/>
      <c r="BP30" s="46">
        <f t="shared" si="19"/>
        <v>0</v>
      </c>
      <c r="BR30" s="46">
        <f t="shared" si="49"/>
        <v>0</v>
      </c>
      <c r="BS30" s="46"/>
      <c r="BT30" s="46">
        <f t="shared" si="35"/>
        <v>0</v>
      </c>
      <c r="BW30" s="7">
        <f t="shared" si="36"/>
        <v>2041</v>
      </c>
      <c r="BX30" s="46">
        <f t="shared" si="20"/>
        <v>0</v>
      </c>
      <c r="BY30" s="16">
        <f t="shared" si="37"/>
        <v>0</v>
      </c>
      <c r="BZ30" s="116">
        <f t="shared" si="38"/>
        <v>0</v>
      </c>
      <c r="CA30" s="46">
        <f t="shared" si="39"/>
        <v>0</v>
      </c>
      <c r="CC30" s="46">
        <f t="shared" si="40"/>
        <v>0</v>
      </c>
      <c r="CD30" s="46">
        <f t="shared" si="40"/>
        <v>0</v>
      </c>
      <c r="CE30" s="46">
        <f t="shared" si="41"/>
        <v>0</v>
      </c>
      <c r="CF30" s="46"/>
      <c r="CG30" s="46">
        <f t="shared" si="50"/>
        <v>0</v>
      </c>
    </row>
    <row r="31" spans="1:106">
      <c r="A31" s="2" t="s">
        <v>74</v>
      </c>
      <c r="C31" s="13">
        <f>+'Gas Input Table Summary'!$E$21</f>
        <v>7.7189999999999995E-2</v>
      </c>
      <c r="F31" s="16"/>
      <c r="G31" s="16"/>
      <c r="H31" s="16"/>
      <c r="J31" s="2">
        <f t="shared" si="21"/>
        <v>17</v>
      </c>
      <c r="L31" s="7">
        <f t="shared" si="22"/>
        <v>2042</v>
      </c>
      <c r="M31" s="16">
        <f t="shared" si="46"/>
        <v>0</v>
      </c>
      <c r="N31" s="53">
        <f t="shared" si="0"/>
        <v>5.6459999999999999</v>
      </c>
      <c r="O31" s="32">
        <f t="shared" si="23"/>
        <v>0</v>
      </c>
      <c r="P31" s="53">
        <f t="shared" si="1"/>
        <v>0</v>
      </c>
      <c r="Q31" s="46">
        <f t="shared" si="24"/>
        <v>0</v>
      </c>
      <c r="R31" s="43">
        <f t="shared" si="25"/>
        <v>0</v>
      </c>
      <c r="S31" s="42">
        <f t="shared" si="26"/>
        <v>0</v>
      </c>
      <c r="T31" s="46">
        <f t="shared" si="27"/>
        <v>208</v>
      </c>
      <c r="U31" s="44">
        <f t="shared" si="43"/>
        <v>0</v>
      </c>
      <c r="V31" s="16">
        <f t="shared" si="28"/>
        <v>0</v>
      </c>
      <c r="W31" s="45">
        <f t="shared" si="2"/>
        <v>1.897</v>
      </c>
      <c r="X31" s="46">
        <f t="shared" si="3"/>
        <v>0</v>
      </c>
      <c r="Y31" s="49">
        <v>0</v>
      </c>
      <c r="Z31" s="49">
        <v>0</v>
      </c>
      <c r="AA31" s="49">
        <f t="shared" si="4"/>
        <v>0</v>
      </c>
      <c r="AB31" s="49">
        <f t="shared" si="5"/>
        <v>0</v>
      </c>
      <c r="AE31" s="7">
        <f t="shared" si="29"/>
        <v>2042</v>
      </c>
      <c r="AF31" s="46">
        <f t="shared" si="6"/>
        <v>0</v>
      </c>
      <c r="AG31" s="16">
        <f t="shared" si="7"/>
        <v>0</v>
      </c>
      <c r="AH31" s="46">
        <f t="shared" si="44"/>
        <v>0</v>
      </c>
      <c r="AJ31" s="32">
        <f t="shared" si="30"/>
        <v>0</v>
      </c>
      <c r="AK31" s="32">
        <f t="shared" si="30"/>
        <v>0</v>
      </c>
      <c r="AL31" s="32">
        <f t="shared" si="8"/>
        <v>0</v>
      </c>
      <c r="AN31" s="77">
        <f t="shared" si="9"/>
        <v>0</v>
      </c>
      <c r="AQ31" s="7">
        <f t="shared" si="31"/>
        <v>2042</v>
      </c>
      <c r="AR31" s="49">
        <f t="shared" si="10"/>
        <v>0</v>
      </c>
      <c r="AS31" s="46">
        <f t="shared" si="11"/>
        <v>0</v>
      </c>
      <c r="AT31" s="91">
        <f t="shared" si="12"/>
        <v>4.9000000000000002E-2</v>
      </c>
      <c r="AU31" s="16">
        <f t="shared" si="47"/>
        <v>0</v>
      </c>
      <c r="AV31" s="53">
        <f t="shared" si="13"/>
        <v>2.7519999999999998</v>
      </c>
      <c r="AW31" s="46">
        <f t="shared" si="14"/>
        <v>0</v>
      </c>
      <c r="AX31" s="91"/>
      <c r="AY31" s="92"/>
      <c r="AZ31" s="49">
        <f t="shared" si="32"/>
        <v>0</v>
      </c>
      <c r="BA31" s="17"/>
      <c r="BB31" s="49">
        <v>0</v>
      </c>
      <c r="BC31" s="46">
        <v>0</v>
      </c>
      <c r="BD31" s="47">
        <f t="shared" si="33"/>
        <v>0</v>
      </c>
      <c r="BE31" s="49">
        <f t="shared" si="15"/>
        <v>0</v>
      </c>
      <c r="BH31" s="7">
        <f t="shared" si="34"/>
        <v>2042</v>
      </c>
      <c r="BI31" s="46">
        <v>0</v>
      </c>
      <c r="BJ31" s="16">
        <f t="shared" si="16"/>
        <v>0</v>
      </c>
      <c r="BK31" s="87">
        <f t="shared" si="17"/>
        <v>11.522</v>
      </c>
      <c r="BL31" s="46">
        <f t="shared" si="45"/>
        <v>0</v>
      </c>
      <c r="BM31" s="87">
        <f t="shared" si="18"/>
        <v>0.216</v>
      </c>
      <c r="BN31" s="16">
        <f t="shared" si="48"/>
        <v>0</v>
      </c>
      <c r="BO31" s="16"/>
      <c r="BP31" s="46">
        <f t="shared" si="19"/>
        <v>0</v>
      </c>
      <c r="BR31" s="46">
        <f t="shared" si="49"/>
        <v>0</v>
      </c>
      <c r="BS31" s="46"/>
      <c r="BT31" s="46">
        <f t="shared" si="35"/>
        <v>0</v>
      </c>
      <c r="BW31" s="7">
        <f t="shared" si="36"/>
        <v>2042</v>
      </c>
      <c r="BX31" s="46">
        <f t="shared" si="20"/>
        <v>0</v>
      </c>
      <c r="BY31" s="16">
        <f t="shared" si="37"/>
        <v>0</v>
      </c>
      <c r="BZ31" s="116">
        <f t="shared" si="38"/>
        <v>0</v>
      </c>
      <c r="CA31" s="46">
        <f t="shared" si="39"/>
        <v>0</v>
      </c>
      <c r="CC31" s="46">
        <f t="shared" si="40"/>
        <v>0</v>
      </c>
      <c r="CD31" s="46">
        <f t="shared" si="40"/>
        <v>0</v>
      </c>
      <c r="CE31" s="46">
        <f t="shared" si="41"/>
        <v>0</v>
      </c>
      <c r="CF31" s="46"/>
      <c r="CG31" s="46">
        <f t="shared" si="50"/>
        <v>0</v>
      </c>
    </row>
    <row r="32" spans="1:106">
      <c r="E32" s="48" t="s">
        <v>103</v>
      </c>
      <c r="F32" s="22">
        <f>+'Total Program Inputs'!G20</f>
        <v>0</v>
      </c>
      <c r="G32" s="22"/>
      <c r="H32" s="22"/>
      <c r="J32" s="2">
        <f t="shared" si="21"/>
        <v>18</v>
      </c>
      <c r="L32" s="7">
        <f t="shared" si="22"/>
        <v>2043</v>
      </c>
      <c r="M32" s="16">
        <f t="shared" si="46"/>
        <v>0</v>
      </c>
      <c r="N32" s="53">
        <f t="shared" si="0"/>
        <v>5.8159999999999998</v>
      </c>
      <c r="O32" s="32">
        <f t="shared" si="23"/>
        <v>0</v>
      </c>
      <c r="P32" s="53">
        <f t="shared" si="1"/>
        <v>0</v>
      </c>
      <c r="Q32" s="46">
        <f t="shared" si="24"/>
        <v>0</v>
      </c>
      <c r="R32" s="43">
        <f t="shared" si="25"/>
        <v>0</v>
      </c>
      <c r="S32" s="42">
        <f t="shared" si="26"/>
        <v>0</v>
      </c>
      <c r="T32" s="46">
        <f t="shared" si="27"/>
        <v>210</v>
      </c>
      <c r="U32" s="44">
        <f t="shared" si="43"/>
        <v>0</v>
      </c>
      <c r="V32" s="16">
        <f t="shared" si="28"/>
        <v>0</v>
      </c>
      <c r="W32" s="45">
        <f t="shared" si="2"/>
        <v>1.954</v>
      </c>
      <c r="X32" s="46">
        <f t="shared" si="3"/>
        <v>0</v>
      </c>
      <c r="Y32" s="49">
        <v>0</v>
      </c>
      <c r="Z32" s="49">
        <v>0</v>
      </c>
      <c r="AA32" s="49">
        <f t="shared" si="4"/>
        <v>0</v>
      </c>
      <c r="AB32" s="49">
        <f t="shared" si="5"/>
        <v>0</v>
      </c>
      <c r="AE32" s="7">
        <f t="shared" si="29"/>
        <v>2043</v>
      </c>
      <c r="AF32" s="46">
        <f t="shared" si="6"/>
        <v>0</v>
      </c>
      <c r="AG32" s="16">
        <f t="shared" si="7"/>
        <v>0</v>
      </c>
      <c r="AH32" s="46">
        <f t="shared" si="44"/>
        <v>0</v>
      </c>
      <c r="AJ32" s="32">
        <f t="shared" si="30"/>
        <v>0</v>
      </c>
      <c r="AK32" s="32">
        <f t="shared" si="30"/>
        <v>0</v>
      </c>
      <c r="AL32" s="32">
        <f t="shared" si="8"/>
        <v>0</v>
      </c>
      <c r="AN32" s="77">
        <f t="shared" si="9"/>
        <v>0</v>
      </c>
      <c r="AQ32" s="7">
        <f t="shared" si="31"/>
        <v>2043</v>
      </c>
      <c r="AR32" s="49">
        <f t="shared" si="10"/>
        <v>0</v>
      </c>
      <c r="AS32" s="46">
        <f t="shared" si="11"/>
        <v>0</v>
      </c>
      <c r="AT32" s="91">
        <f t="shared" si="12"/>
        <v>0.05</v>
      </c>
      <c r="AU32" s="16">
        <f t="shared" si="47"/>
        <v>0</v>
      </c>
      <c r="AV32" s="53">
        <f t="shared" si="13"/>
        <v>2.7989999999999999</v>
      </c>
      <c r="AW32" s="46">
        <f t="shared" si="14"/>
        <v>0</v>
      </c>
      <c r="AX32" s="91"/>
      <c r="AY32" s="92"/>
      <c r="AZ32" s="49">
        <f t="shared" si="32"/>
        <v>0</v>
      </c>
      <c r="BA32" s="17"/>
      <c r="BB32" s="49">
        <v>0</v>
      </c>
      <c r="BC32" s="46">
        <v>0</v>
      </c>
      <c r="BD32" s="47">
        <f t="shared" si="33"/>
        <v>0</v>
      </c>
      <c r="BE32" s="49">
        <f t="shared" si="15"/>
        <v>0</v>
      </c>
      <c r="BH32" s="7">
        <f t="shared" si="34"/>
        <v>2043</v>
      </c>
      <c r="BI32" s="46">
        <v>0</v>
      </c>
      <c r="BJ32" s="16">
        <f t="shared" si="16"/>
        <v>0</v>
      </c>
      <c r="BK32" s="87">
        <f t="shared" si="17"/>
        <v>11.868</v>
      </c>
      <c r="BL32" s="46">
        <f t="shared" si="45"/>
        <v>0</v>
      </c>
      <c r="BM32" s="87">
        <f t="shared" si="18"/>
        <v>0.222</v>
      </c>
      <c r="BN32" s="16">
        <f t="shared" si="48"/>
        <v>0</v>
      </c>
      <c r="BO32" s="16"/>
      <c r="BP32" s="46">
        <f t="shared" si="19"/>
        <v>0</v>
      </c>
      <c r="BR32" s="46">
        <f t="shared" si="49"/>
        <v>0</v>
      </c>
      <c r="BS32" s="46"/>
      <c r="BT32" s="46">
        <f t="shared" si="35"/>
        <v>0</v>
      </c>
      <c r="BW32" s="7">
        <f t="shared" si="36"/>
        <v>2043</v>
      </c>
      <c r="BX32" s="46">
        <f t="shared" si="20"/>
        <v>0</v>
      </c>
      <c r="BY32" s="16">
        <f t="shared" si="37"/>
        <v>0</v>
      </c>
      <c r="BZ32" s="116">
        <f t="shared" si="38"/>
        <v>0</v>
      </c>
      <c r="CA32" s="46">
        <f t="shared" si="39"/>
        <v>0</v>
      </c>
      <c r="CC32" s="46">
        <f t="shared" si="40"/>
        <v>0</v>
      </c>
      <c r="CD32" s="46">
        <f t="shared" si="40"/>
        <v>0</v>
      </c>
      <c r="CE32" s="46">
        <f t="shared" si="41"/>
        <v>0</v>
      </c>
      <c r="CF32" s="46"/>
      <c r="CG32" s="46">
        <f t="shared" si="50"/>
        <v>0</v>
      </c>
    </row>
    <row r="33" spans="1:87">
      <c r="A33" s="2" t="s">
        <v>75</v>
      </c>
      <c r="C33" s="11">
        <f>+'Gas Input Table Summary'!$E$22</f>
        <v>2.0699999999999998</v>
      </c>
      <c r="F33" s="16"/>
      <c r="G33" s="16"/>
      <c r="H33" s="16"/>
      <c r="J33" s="2">
        <f t="shared" si="21"/>
        <v>19</v>
      </c>
      <c r="L33" s="7">
        <f t="shared" si="22"/>
        <v>2044</v>
      </c>
      <c r="M33" s="16">
        <f t="shared" si="46"/>
        <v>0</v>
      </c>
      <c r="N33" s="53">
        <f t="shared" si="0"/>
        <v>5.99</v>
      </c>
      <c r="O33" s="32">
        <f t="shared" si="23"/>
        <v>0</v>
      </c>
      <c r="P33" s="53">
        <f t="shared" si="1"/>
        <v>0</v>
      </c>
      <c r="Q33" s="46">
        <f t="shared" si="24"/>
        <v>0</v>
      </c>
      <c r="R33" s="43">
        <f t="shared" si="25"/>
        <v>0</v>
      </c>
      <c r="S33" s="42">
        <f t="shared" si="26"/>
        <v>0</v>
      </c>
      <c r="T33" s="46">
        <f t="shared" si="27"/>
        <v>212</v>
      </c>
      <c r="U33" s="44">
        <f t="shared" si="43"/>
        <v>0</v>
      </c>
      <c r="V33" s="16">
        <f t="shared" si="28"/>
        <v>0</v>
      </c>
      <c r="W33" s="45">
        <f t="shared" si="2"/>
        <v>2.0129999999999999</v>
      </c>
      <c r="X33" s="46">
        <f t="shared" si="3"/>
        <v>0</v>
      </c>
      <c r="Y33" s="49">
        <v>0</v>
      </c>
      <c r="Z33" s="49">
        <v>0</v>
      </c>
      <c r="AA33" s="49">
        <f t="shared" si="4"/>
        <v>0</v>
      </c>
      <c r="AB33" s="49">
        <f t="shared" si="5"/>
        <v>0</v>
      </c>
      <c r="AE33" s="7">
        <f t="shared" si="29"/>
        <v>2044</v>
      </c>
      <c r="AF33" s="46">
        <f t="shared" si="6"/>
        <v>0</v>
      </c>
      <c r="AG33" s="16">
        <f t="shared" si="7"/>
        <v>0</v>
      </c>
      <c r="AH33" s="46">
        <f t="shared" si="44"/>
        <v>0</v>
      </c>
      <c r="AJ33" s="32">
        <f t="shared" si="30"/>
        <v>0</v>
      </c>
      <c r="AK33" s="32">
        <f t="shared" si="30"/>
        <v>0</v>
      </c>
      <c r="AL33" s="32">
        <f t="shared" si="8"/>
        <v>0</v>
      </c>
      <c r="AN33" s="77">
        <f t="shared" si="9"/>
        <v>0</v>
      </c>
      <c r="AQ33" s="7">
        <f t="shared" si="31"/>
        <v>2044</v>
      </c>
      <c r="AR33" s="49">
        <f t="shared" si="10"/>
        <v>0</v>
      </c>
      <c r="AS33" s="46">
        <f t="shared" si="11"/>
        <v>0</v>
      </c>
      <c r="AT33" s="91">
        <f t="shared" si="12"/>
        <v>5.1999999999999998E-2</v>
      </c>
      <c r="AU33" s="16">
        <f t="shared" si="47"/>
        <v>0</v>
      </c>
      <c r="AV33" s="53">
        <f t="shared" si="13"/>
        <v>2.8460000000000001</v>
      </c>
      <c r="AW33" s="46">
        <f t="shared" si="14"/>
        <v>0</v>
      </c>
      <c r="AX33" s="91"/>
      <c r="AY33" s="92"/>
      <c r="AZ33" s="49">
        <f t="shared" si="32"/>
        <v>0</v>
      </c>
      <c r="BA33" s="17"/>
      <c r="BB33" s="49">
        <v>0</v>
      </c>
      <c r="BC33" s="46">
        <v>0</v>
      </c>
      <c r="BD33" s="47">
        <f t="shared" si="33"/>
        <v>0</v>
      </c>
      <c r="BE33" s="49">
        <f t="shared" si="15"/>
        <v>0</v>
      </c>
      <c r="BH33" s="7">
        <f t="shared" si="34"/>
        <v>2044</v>
      </c>
      <c r="BI33" s="46">
        <v>0</v>
      </c>
      <c r="BJ33" s="16">
        <f t="shared" si="16"/>
        <v>0</v>
      </c>
      <c r="BK33" s="87">
        <f t="shared" si="17"/>
        <v>12.224</v>
      </c>
      <c r="BL33" s="46">
        <f t="shared" si="45"/>
        <v>0</v>
      </c>
      <c r="BM33" s="87">
        <f t="shared" si="18"/>
        <v>0.22900000000000001</v>
      </c>
      <c r="BN33" s="16">
        <f t="shared" si="48"/>
        <v>0</v>
      </c>
      <c r="BO33" s="16"/>
      <c r="BP33" s="46">
        <f t="shared" si="19"/>
        <v>0</v>
      </c>
      <c r="BR33" s="46">
        <f t="shared" si="49"/>
        <v>0</v>
      </c>
      <c r="BS33" s="46"/>
      <c r="BT33" s="46">
        <f t="shared" si="35"/>
        <v>0</v>
      </c>
      <c r="BW33" s="7">
        <f t="shared" si="36"/>
        <v>2044</v>
      </c>
      <c r="BX33" s="46">
        <f t="shared" si="20"/>
        <v>0</v>
      </c>
      <c r="BY33" s="16">
        <f t="shared" si="37"/>
        <v>0</v>
      </c>
      <c r="BZ33" s="116">
        <f t="shared" si="38"/>
        <v>0</v>
      </c>
      <c r="CA33" s="46">
        <f t="shared" si="39"/>
        <v>0</v>
      </c>
      <c r="CC33" s="46">
        <f t="shared" si="40"/>
        <v>0</v>
      </c>
      <c r="CD33" s="46">
        <f t="shared" si="40"/>
        <v>0</v>
      </c>
      <c r="CE33" s="46">
        <f t="shared" si="41"/>
        <v>0</v>
      </c>
      <c r="CF33" s="46"/>
      <c r="CG33" s="46">
        <f t="shared" si="50"/>
        <v>0</v>
      </c>
    </row>
    <row r="34" spans="1:87">
      <c r="A34" s="3" t="s">
        <v>18</v>
      </c>
      <c r="C34" s="15">
        <f>+'Gas Input Table Summary'!$E$23</f>
        <v>1.6899999999999998E-2</v>
      </c>
      <c r="E34" s="2" t="s">
        <v>76</v>
      </c>
      <c r="F34" s="259">
        <f>'Database Inputs'!L18</f>
        <v>3000</v>
      </c>
      <c r="G34" s="135"/>
      <c r="H34" s="135"/>
      <c r="J34" s="2">
        <f t="shared" si="21"/>
        <v>20</v>
      </c>
      <c r="L34" s="7">
        <f t="shared" si="22"/>
        <v>2045</v>
      </c>
      <c r="M34" s="16">
        <f t="shared" si="46"/>
        <v>0</v>
      </c>
      <c r="N34" s="95">
        <f t="shared" si="0"/>
        <v>6.17</v>
      </c>
      <c r="O34" s="32">
        <f t="shared" si="23"/>
        <v>0</v>
      </c>
      <c r="P34" s="95">
        <f t="shared" si="1"/>
        <v>0</v>
      </c>
      <c r="Q34" s="49">
        <f t="shared" si="24"/>
        <v>0</v>
      </c>
      <c r="R34" s="96">
        <f t="shared" si="25"/>
        <v>0</v>
      </c>
      <c r="S34" s="97">
        <f t="shared" si="26"/>
        <v>0</v>
      </c>
      <c r="T34" s="49">
        <f t="shared" si="27"/>
        <v>214</v>
      </c>
      <c r="U34" s="99">
        <f t="shared" si="43"/>
        <v>0</v>
      </c>
      <c r="V34" s="16">
        <f t="shared" si="28"/>
        <v>0</v>
      </c>
      <c r="W34" s="87">
        <f t="shared" si="2"/>
        <v>2.073</v>
      </c>
      <c r="X34" s="49">
        <f t="shared" si="3"/>
        <v>0</v>
      </c>
      <c r="Y34" s="49">
        <v>0</v>
      </c>
      <c r="Z34" s="49">
        <v>0</v>
      </c>
      <c r="AA34" s="49">
        <f t="shared" si="4"/>
        <v>0</v>
      </c>
      <c r="AB34" s="49">
        <f t="shared" si="5"/>
        <v>0</v>
      </c>
      <c r="AE34" s="7">
        <f t="shared" si="29"/>
        <v>2045</v>
      </c>
      <c r="AF34" s="49">
        <f t="shared" si="6"/>
        <v>0</v>
      </c>
      <c r="AG34" s="16">
        <f t="shared" si="7"/>
        <v>0</v>
      </c>
      <c r="AH34" s="49">
        <f t="shared" si="44"/>
        <v>0</v>
      </c>
      <c r="AJ34" s="32">
        <f t="shared" si="30"/>
        <v>0</v>
      </c>
      <c r="AK34" s="32">
        <f t="shared" si="30"/>
        <v>0</v>
      </c>
      <c r="AL34" s="32">
        <f t="shared" si="8"/>
        <v>0</v>
      </c>
      <c r="AN34" s="179">
        <f t="shared" si="9"/>
        <v>0</v>
      </c>
      <c r="AQ34" s="7">
        <f t="shared" si="31"/>
        <v>2045</v>
      </c>
      <c r="AR34" s="49">
        <f t="shared" si="10"/>
        <v>0</v>
      </c>
      <c r="AS34" s="49">
        <f t="shared" si="11"/>
        <v>0</v>
      </c>
      <c r="AT34" s="98">
        <f t="shared" si="12"/>
        <v>5.2999999999999999E-2</v>
      </c>
      <c r="AU34" s="16">
        <f t="shared" si="47"/>
        <v>0</v>
      </c>
      <c r="AV34" s="95">
        <f t="shared" si="13"/>
        <v>2.8940000000000001</v>
      </c>
      <c r="AW34" s="49">
        <f t="shared" si="14"/>
        <v>0</v>
      </c>
      <c r="AX34" s="98"/>
      <c r="AY34" s="180"/>
      <c r="AZ34" s="49">
        <f t="shared" si="32"/>
        <v>0</v>
      </c>
      <c r="BA34" s="17"/>
      <c r="BB34" s="49">
        <v>0</v>
      </c>
      <c r="BC34" s="49">
        <v>0</v>
      </c>
      <c r="BD34" s="181">
        <f t="shared" si="33"/>
        <v>0</v>
      </c>
      <c r="BE34" s="49">
        <f t="shared" si="15"/>
        <v>0</v>
      </c>
      <c r="BH34" s="7">
        <f t="shared" si="34"/>
        <v>2045</v>
      </c>
      <c r="BI34" s="49">
        <v>0</v>
      </c>
      <c r="BJ34" s="16">
        <f t="shared" si="16"/>
        <v>0</v>
      </c>
      <c r="BK34" s="87">
        <f t="shared" si="17"/>
        <v>12.59</v>
      </c>
      <c r="BL34" s="49">
        <f t="shared" si="45"/>
        <v>0</v>
      </c>
      <c r="BM34" s="87">
        <f t="shared" si="18"/>
        <v>0.23599999999999999</v>
      </c>
      <c r="BN34" s="16">
        <f t="shared" si="48"/>
        <v>0</v>
      </c>
      <c r="BO34" s="16"/>
      <c r="BP34" s="49">
        <f t="shared" si="19"/>
        <v>0</v>
      </c>
      <c r="BR34" s="49">
        <f t="shared" si="49"/>
        <v>0</v>
      </c>
      <c r="BS34" s="49"/>
      <c r="BT34" s="49">
        <f t="shared" si="35"/>
        <v>0</v>
      </c>
      <c r="BW34" s="7">
        <f t="shared" si="36"/>
        <v>2045</v>
      </c>
      <c r="BX34" s="49">
        <f t="shared" si="20"/>
        <v>0</v>
      </c>
      <c r="BY34" s="16">
        <f t="shared" si="37"/>
        <v>0</v>
      </c>
      <c r="BZ34" s="116">
        <f t="shared" si="38"/>
        <v>0</v>
      </c>
      <c r="CA34" s="49">
        <f t="shared" si="39"/>
        <v>0</v>
      </c>
      <c r="CC34" s="49">
        <f t="shared" si="40"/>
        <v>0</v>
      </c>
      <c r="CD34" s="49">
        <f t="shared" si="40"/>
        <v>0</v>
      </c>
      <c r="CE34" s="49">
        <f t="shared" si="41"/>
        <v>0</v>
      </c>
      <c r="CF34" s="49"/>
      <c r="CG34" s="49">
        <f t="shared" si="50"/>
        <v>0</v>
      </c>
    </row>
    <row r="35" spans="1:87">
      <c r="A35" s="3"/>
      <c r="C35" s="15"/>
      <c r="E35" s="3"/>
      <c r="F35" s="22"/>
      <c r="G35" s="50"/>
      <c r="H35" s="50"/>
      <c r="J35" s="2">
        <f t="shared" si="21"/>
        <v>21</v>
      </c>
      <c r="L35" s="7">
        <f t="shared" si="22"/>
        <v>2046</v>
      </c>
      <c r="M35" s="16">
        <f t="shared" ref="M35:M36" si="51">ROUND(IF($C$47+$F$23&gt;L35,$F$25*$F$30,0)+IF($C$48+$G$23&gt;L35,$G$25*$G$30,0)+IF($C$49+$H$23&gt;L35,$H$25*$H$30,0),0)</f>
        <v>0</v>
      </c>
      <c r="N35" s="95">
        <f t="shared" ref="N35:N36" si="52">ROUND($C$17*(1+$C$18)^J35,3)</f>
        <v>6.3550000000000004</v>
      </c>
      <c r="O35" s="32">
        <f t="shared" ref="O35:O36" si="53">ROUND(M35*N35,0)</f>
        <v>0</v>
      </c>
      <c r="P35" s="95">
        <f t="shared" ref="P35:P36" si="54">ROUND($C$25*(1+$C$26)^J35,3)</f>
        <v>0</v>
      </c>
      <c r="Q35" s="49">
        <f t="shared" ref="Q35:Q36" si="55">ROUND(M35*P35,0)</f>
        <v>0</v>
      </c>
      <c r="R35" s="96">
        <f t="shared" ref="R35:R36" si="56">O35+Q35</f>
        <v>0</v>
      </c>
      <c r="S35" s="97">
        <f t="shared" ref="S35:S36" si="57">ROUND(M35*$C$23,1)</f>
        <v>0</v>
      </c>
      <c r="T35" s="49">
        <f t="shared" ref="T35:T36" si="58">ROUND($C$20*(1+$C$21)^J35,0)</f>
        <v>216</v>
      </c>
      <c r="U35" s="99">
        <f t="shared" ref="U35:U36" si="59">ROUND(S35*T35,0)</f>
        <v>0</v>
      </c>
      <c r="V35" s="16">
        <f t="shared" ref="V35:V36" si="60">ROUND(+U35+R35,0)</f>
        <v>0</v>
      </c>
      <c r="W35" s="87">
        <f t="shared" ref="W35:W36" si="61">ROUND($H$36*(1+$C$11)^J35,3)</f>
        <v>2.1360000000000001</v>
      </c>
      <c r="X35" s="49">
        <f t="shared" ref="X35:X36" si="62">ROUND((1-$H$38)*(W35*M35),0)</f>
        <v>0</v>
      </c>
      <c r="Y35" s="49">
        <v>0</v>
      </c>
      <c r="Z35" s="49">
        <v>0</v>
      </c>
      <c r="AA35" s="49">
        <f t="shared" ref="AA35:AA36" si="63">SUM(X35:Z35)</f>
        <v>0</v>
      </c>
      <c r="AB35" s="49">
        <f t="shared" ref="AB35:AB36" si="64">V35-AA35</f>
        <v>0</v>
      </c>
      <c r="AE35" s="7">
        <f t="shared" si="29"/>
        <v>2046</v>
      </c>
      <c r="AF35" s="49">
        <f t="shared" ref="AF35:AF36" si="65">+R35</f>
        <v>0</v>
      </c>
      <c r="AG35" s="16">
        <f t="shared" ref="AG35:AG36" si="66">+U35</f>
        <v>0</v>
      </c>
      <c r="AH35" s="49">
        <f t="shared" ref="AH35:AH36" si="67">+AG35+AF35</f>
        <v>0</v>
      </c>
      <c r="AJ35" s="32">
        <f t="shared" ref="AJ35:AJ36" si="68">ROUND(Y35,0)</f>
        <v>0</v>
      </c>
      <c r="AK35" s="32">
        <f t="shared" ref="AK35:AK36" si="69">ROUND(Z35,0)</f>
        <v>0</v>
      </c>
      <c r="AL35" s="32">
        <f t="shared" ref="AL35:AL36" si="70">SUM(AJ35:AK35)</f>
        <v>0</v>
      </c>
      <c r="AN35" s="179">
        <f t="shared" ref="AN35:AN36" si="71">+AH35-AL35</f>
        <v>0</v>
      </c>
      <c r="AQ35" s="7">
        <f t="shared" si="31"/>
        <v>2046</v>
      </c>
      <c r="AR35" s="49">
        <f t="shared" ref="AR35:AR36" si="72">AF35</f>
        <v>0</v>
      </c>
      <c r="AS35" s="49">
        <f t="shared" ref="AS35:AS36" si="73">+AG35</f>
        <v>0</v>
      </c>
      <c r="AT35" s="98">
        <f t="shared" ref="AT35:AT36" si="74">ROUND(($C$28/(1-$C$31))*(1+$C$29)^J35,3)</f>
        <v>5.5E-2</v>
      </c>
      <c r="AU35" s="16">
        <f t="shared" ref="AU35:AU36" si="75">ROUND((IF($C$47+$F$23&gt;$AQ35,$F$27*$F$30,0)+IF($C$48+$G$23&gt;AQ35,$G$27*$G$30,0)+IF($C$49+$H$23&gt;AQ35,$H$27*$H$30,0))*AT35,0)</f>
        <v>0</v>
      </c>
      <c r="AV35" s="95">
        <f t="shared" ref="AV35:AV36" si="76">ROUND($C$33*(1+$C$34)^J35,3)</f>
        <v>2.9430000000000001</v>
      </c>
      <c r="AW35" s="49">
        <f t="shared" ref="AW35:AW36" si="77">ROUND(AV35*M35,0)</f>
        <v>0</v>
      </c>
      <c r="AX35" s="98"/>
      <c r="AY35" s="180"/>
      <c r="AZ35" s="49">
        <f t="shared" ref="AZ35:AZ36" si="78">ROUND(AR35+AS35+AU35+AW35+AY35,0)</f>
        <v>0</v>
      </c>
      <c r="BA35" s="17"/>
      <c r="BB35" s="49">
        <v>0</v>
      </c>
      <c r="BC35" s="49">
        <v>0</v>
      </c>
      <c r="BD35" s="181">
        <f t="shared" ref="BD35:BD36" si="79">BB35+BC35</f>
        <v>0</v>
      </c>
      <c r="BE35" s="49">
        <f t="shared" ref="BE35:BE36" si="80">AZ35-BD35</f>
        <v>0</v>
      </c>
      <c r="BH35" s="7">
        <f t="shared" si="34"/>
        <v>2046</v>
      </c>
      <c r="BI35" s="49">
        <v>0</v>
      </c>
      <c r="BJ35" s="16">
        <f t="shared" ref="BJ35:BJ36" si="81">+M35</f>
        <v>0</v>
      </c>
      <c r="BK35" s="87">
        <f t="shared" ref="BK35:BK36" si="82">ROUND($C$10*(1+$C$11)^J35,3)</f>
        <v>12.968</v>
      </c>
      <c r="BL35" s="49">
        <f t="shared" ref="BL35:BL36" si="83">ROUND(BJ35*BK35,0)</f>
        <v>0</v>
      </c>
      <c r="BM35" s="87">
        <f t="shared" ref="BM35:BM36" si="84">ROUND($C$13*(1+$C$14)^J35,3)</f>
        <v>0.24299999999999999</v>
      </c>
      <c r="BN35" s="16">
        <f t="shared" ref="BN35:BN36" si="85">ROUND((IF($C$47+$F$23&gt;BH35,$F$27*$F$30,0)+IF($C$49+$H$23&gt;BH35,$H$27*$H$30,0)+IF($C$48+$G$23&gt;BH35,$G$27*$G$30,0))*BM35,0)</f>
        <v>0</v>
      </c>
      <c r="BO35" s="16"/>
      <c r="BP35" s="49">
        <f t="shared" ref="BP35:BP36" si="86">BI35+BL35+BN35+BO35</f>
        <v>0</v>
      </c>
      <c r="BR35" s="49">
        <f t="shared" ref="BR35:BR36" si="87">+BC35</f>
        <v>0</v>
      </c>
      <c r="BS35" s="49"/>
      <c r="BT35" s="49">
        <f t="shared" ref="BT35:BT36" si="88">BP35-BR35</f>
        <v>0</v>
      </c>
      <c r="BW35" s="7">
        <f t="shared" si="36"/>
        <v>2046</v>
      </c>
      <c r="BX35" s="49">
        <f t="shared" si="20"/>
        <v>0</v>
      </c>
      <c r="BY35" s="16">
        <f t="shared" ref="BY35:BY36" si="89">U35</f>
        <v>0</v>
      </c>
      <c r="BZ35" s="116">
        <f t="shared" ref="BZ35:BZ36" si="90">AU35</f>
        <v>0</v>
      </c>
      <c r="CA35" s="49">
        <f t="shared" ref="CA35:CA36" si="91">SUM(BX35:BZ35)</f>
        <v>0</v>
      </c>
      <c r="CC35" s="49">
        <f t="shared" ref="CC35:CC36" si="92">BB35</f>
        <v>0</v>
      </c>
      <c r="CD35" s="49">
        <f t="shared" ref="CD35:CD36" si="93">BC35</f>
        <v>0</v>
      </c>
      <c r="CE35" s="49">
        <f t="shared" ref="CE35:CE36" si="94">SUM(CC35:CD35)</f>
        <v>0</v>
      </c>
      <c r="CF35" s="49"/>
      <c r="CG35" s="49">
        <f t="shared" ref="CG35:CG36" si="95">CA35-CE35</f>
        <v>0</v>
      </c>
    </row>
    <row r="36" spans="1:87">
      <c r="A36" s="3" t="s">
        <v>77</v>
      </c>
      <c r="C36" s="11">
        <f>+'Gas Input Table Summary'!$E$24</f>
        <v>0</v>
      </c>
      <c r="E36" s="3" t="s">
        <v>91</v>
      </c>
      <c r="F36" s="27"/>
      <c r="H36" s="30">
        <f>+'Gas Input Table Summary'!E58</f>
        <v>1.1479999999999999</v>
      </c>
      <c r="J36" s="2">
        <f t="shared" si="21"/>
        <v>22</v>
      </c>
      <c r="L36" s="7">
        <f t="shared" si="22"/>
        <v>2047</v>
      </c>
      <c r="M36" s="33">
        <f t="shared" si="51"/>
        <v>0</v>
      </c>
      <c r="N36" s="53">
        <f t="shared" si="52"/>
        <v>6.5449999999999999</v>
      </c>
      <c r="O36" s="32">
        <f t="shared" si="53"/>
        <v>0</v>
      </c>
      <c r="P36" s="95">
        <f t="shared" si="54"/>
        <v>0</v>
      </c>
      <c r="Q36" s="49">
        <f t="shared" si="55"/>
        <v>0</v>
      </c>
      <c r="R36" s="96">
        <f t="shared" si="56"/>
        <v>0</v>
      </c>
      <c r="S36" s="97">
        <f t="shared" si="57"/>
        <v>0</v>
      </c>
      <c r="T36" s="49">
        <f t="shared" si="58"/>
        <v>218</v>
      </c>
      <c r="U36" s="99">
        <f t="shared" si="59"/>
        <v>0</v>
      </c>
      <c r="V36" s="33">
        <f t="shared" si="60"/>
        <v>0</v>
      </c>
      <c r="W36" s="45">
        <f t="shared" si="61"/>
        <v>2.2000000000000002</v>
      </c>
      <c r="X36" s="49">
        <f t="shared" si="62"/>
        <v>0</v>
      </c>
      <c r="Y36" s="49">
        <v>0</v>
      </c>
      <c r="Z36" s="49">
        <v>0</v>
      </c>
      <c r="AA36" s="54">
        <f t="shared" si="63"/>
        <v>0</v>
      </c>
      <c r="AB36" s="54">
        <f t="shared" si="64"/>
        <v>0</v>
      </c>
      <c r="AE36" s="7">
        <f t="shared" si="29"/>
        <v>2047</v>
      </c>
      <c r="AF36" s="49">
        <f t="shared" si="65"/>
        <v>0</v>
      </c>
      <c r="AG36" s="16">
        <f t="shared" si="66"/>
        <v>0</v>
      </c>
      <c r="AH36" s="54">
        <f t="shared" si="67"/>
        <v>0</v>
      </c>
      <c r="AJ36" s="32">
        <f t="shared" si="68"/>
        <v>0</v>
      </c>
      <c r="AK36" s="32">
        <f t="shared" si="69"/>
        <v>0</v>
      </c>
      <c r="AL36" s="34">
        <f t="shared" si="70"/>
        <v>0</v>
      </c>
      <c r="AN36" s="78">
        <f t="shared" si="71"/>
        <v>0</v>
      </c>
      <c r="AQ36" s="7">
        <f t="shared" si="31"/>
        <v>2047</v>
      </c>
      <c r="AR36" s="49">
        <f t="shared" si="72"/>
        <v>0</v>
      </c>
      <c r="AS36" s="49">
        <f t="shared" si="73"/>
        <v>0</v>
      </c>
      <c r="AT36" s="98">
        <f t="shared" si="74"/>
        <v>5.7000000000000002E-2</v>
      </c>
      <c r="AU36" s="16">
        <f t="shared" si="75"/>
        <v>0</v>
      </c>
      <c r="AV36" s="95">
        <f t="shared" si="76"/>
        <v>2.9929999999999999</v>
      </c>
      <c r="AW36" s="49">
        <f t="shared" si="77"/>
        <v>0</v>
      </c>
      <c r="AX36" s="91"/>
      <c r="AY36" s="93"/>
      <c r="AZ36" s="54">
        <f t="shared" si="78"/>
        <v>0</v>
      </c>
      <c r="BA36" s="17"/>
      <c r="BB36" s="49">
        <v>0</v>
      </c>
      <c r="BC36" s="49">
        <v>0</v>
      </c>
      <c r="BD36" s="55">
        <f t="shared" si="79"/>
        <v>0</v>
      </c>
      <c r="BE36" s="54">
        <f t="shared" si="80"/>
        <v>0</v>
      </c>
      <c r="BH36" s="7">
        <f t="shared" si="34"/>
        <v>2047</v>
      </c>
      <c r="BI36" s="49">
        <v>0</v>
      </c>
      <c r="BJ36" s="33">
        <f t="shared" si="81"/>
        <v>0</v>
      </c>
      <c r="BK36" s="87">
        <f t="shared" si="82"/>
        <v>13.356999999999999</v>
      </c>
      <c r="BL36" s="49">
        <f t="shared" si="83"/>
        <v>0</v>
      </c>
      <c r="BM36" s="87">
        <f t="shared" si="84"/>
        <v>0.25</v>
      </c>
      <c r="BN36" s="16">
        <f t="shared" si="85"/>
        <v>0</v>
      </c>
      <c r="BO36" s="33"/>
      <c r="BP36" s="54">
        <f t="shared" si="86"/>
        <v>0</v>
      </c>
      <c r="BR36" s="54">
        <f t="shared" si="87"/>
        <v>0</v>
      </c>
      <c r="BS36" s="54"/>
      <c r="BT36" s="54">
        <f t="shared" si="88"/>
        <v>0</v>
      </c>
      <c r="BW36" s="7">
        <f t="shared" si="36"/>
        <v>2047</v>
      </c>
      <c r="BX36" s="49">
        <f t="shared" si="20"/>
        <v>0</v>
      </c>
      <c r="BY36" s="16">
        <f t="shared" si="89"/>
        <v>0</v>
      </c>
      <c r="BZ36" s="116">
        <f t="shared" si="90"/>
        <v>0</v>
      </c>
      <c r="CA36" s="54">
        <f t="shared" si="91"/>
        <v>0</v>
      </c>
      <c r="CC36" s="54">
        <f t="shared" si="92"/>
        <v>0</v>
      </c>
      <c r="CD36" s="54">
        <f t="shared" si="93"/>
        <v>0</v>
      </c>
      <c r="CE36" s="54">
        <f t="shared" si="94"/>
        <v>0</v>
      </c>
      <c r="CF36" s="54"/>
      <c r="CG36" s="54">
        <f t="shared" si="95"/>
        <v>0</v>
      </c>
    </row>
    <row r="37" spans="1:87">
      <c r="A37" s="2" t="s">
        <v>47</v>
      </c>
      <c r="C37" s="15">
        <f>+'Gas Input Table Summary'!$E$25</f>
        <v>0</v>
      </c>
      <c r="F37" s="16"/>
      <c r="M37" s="5"/>
      <c r="N37" s="2"/>
      <c r="R37" s="24"/>
      <c r="T37" s="18"/>
      <c r="V37" s="5"/>
      <c r="AA37" s="5"/>
      <c r="AB37" s="5"/>
      <c r="AF37" s="5"/>
      <c r="AH37" s="5"/>
      <c r="AN37" s="5"/>
      <c r="AR37" s="5"/>
      <c r="AU37" s="47"/>
      <c r="AW37" s="47"/>
      <c r="AY37" s="47"/>
      <c r="AZ37" s="47"/>
      <c r="BC37" s="16"/>
      <c r="BG37" s="7"/>
      <c r="BJ37" s="23"/>
      <c r="BP37" s="5"/>
      <c r="BT37" s="5"/>
      <c r="BV37" s="7"/>
      <c r="BY37" s="23"/>
      <c r="CA37" s="5"/>
      <c r="CG37" s="5"/>
    </row>
    <row r="38" spans="1:87">
      <c r="C38" s="15"/>
      <c r="E38" s="51" t="s">
        <v>98</v>
      </c>
      <c r="H38" s="128">
        <f>+'Gas Input Table Summary'!E59</f>
        <v>0.21</v>
      </c>
      <c r="J38" s="24"/>
      <c r="K38" s="2" t="s">
        <v>212</v>
      </c>
      <c r="M38" s="16">
        <f>SUM(M14:M36)</f>
        <v>0</v>
      </c>
      <c r="N38" s="2"/>
      <c r="R38" s="24"/>
      <c r="S38" s="12"/>
      <c r="T38" s="18"/>
      <c r="V38" s="12">
        <f>SUM(V14:V36)</f>
        <v>0</v>
      </c>
      <c r="X38" s="12"/>
      <c r="Y38" s="12"/>
      <c r="Z38" s="12"/>
      <c r="AA38" s="12">
        <f>SUM(AA14:AA36)</f>
        <v>0</v>
      </c>
      <c r="AB38" s="12">
        <f>SUM(AB14:AB36)</f>
        <v>0</v>
      </c>
      <c r="AD38" s="3" t="s">
        <v>78</v>
      </c>
      <c r="AE38" s="16"/>
      <c r="AF38" s="12"/>
      <c r="AG38" s="12"/>
      <c r="AH38" s="12">
        <f>SUM(AH14:AH36)</f>
        <v>0</v>
      </c>
      <c r="AL38" s="12">
        <f>SUM(AL14:AL36)</f>
        <v>0</v>
      </c>
      <c r="AN38" s="12">
        <f>SUM(AN14:AN36)</f>
        <v>0</v>
      </c>
      <c r="AP38" s="3" t="s">
        <v>78</v>
      </c>
      <c r="AQ38" s="16"/>
      <c r="AR38" s="12"/>
      <c r="AS38" s="12"/>
      <c r="AU38" s="46"/>
      <c r="AW38" s="46"/>
      <c r="AY38" s="46"/>
      <c r="AZ38" s="94">
        <f>SUM(AZ14:AZ36)</f>
        <v>0</v>
      </c>
      <c r="BB38" s="12"/>
      <c r="BC38" s="12"/>
      <c r="BD38" s="12">
        <f>SUM(BD14:BD36)</f>
        <v>0</v>
      </c>
      <c r="BE38" s="12">
        <f>SUM(BE14:BE36)</f>
        <v>0</v>
      </c>
      <c r="BG38" s="3" t="s">
        <v>212</v>
      </c>
      <c r="BI38" s="12"/>
      <c r="BJ38" s="16">
        <f>SUM(BJ14:BJ36)</f>
        <v>0</v>
      </c>
      <c r="BK38" s="18"/>
      <c r="BL38" s="12"/>
      <c r="BN38" s="12"/>
      <c r="BO38" s="12"/>
      <c r="BP38" s="12">
        <f>SUM(BP14:BP36)</f>
        <v>0</v>
      </c>
      <c r="BR38" s="12">
        <f>SUM(BR14:BR36)</f>
        <v>0</v>
      </c>
      <c r="BS38" s="12"/>
      <c r="BT38" s="12">
        <f>SUM(BT14:BT36)</f>
        <v>0</v>
      </c>
      <c r="BX38" s="12"/>
      <c r="BY38" s="16"/>
      <c r="BZ38" s="3" t="s">
        <v>212</v>
      </c>
      <c r="CA38" s="12">
        <f>SUM(CA14:CA36)</f>
        <v>0</v>
      </c>
      <c r="CC38" s="12"/>
      <c r="CD38" s="12"/>
      <c r="CE38" s="12">
        <f>SUM(CE14:CE36)</f>
        <v>0</v>
      </c>
      <c r="CF38" s="12"/>
      <c r="CG38" s="12">
        <f>SUM(CG14:CG36)</f>
        <v>0</v>
      </c>
    </row>
    <row r="39" spans="1:87">
      <c r="A39" s="3" t="s">
        <v>79</v>
      </c>
      <c r="C39" s="13">
        <f>+'Gas Input Table Summary'!$E$26</f>
        <v>9.8699999999999996E-2</v>
      </c>
      <c r="E39" s="119" t="s">
        <v>227</v>
      </c>
      <c r="M39" s="16"/>
      <c r="N39" s="2"/>
      <c r="R39" s="24"/>
      <c r="S39" s="52"/>
      <c r="T39" s="5" t="s">
        <v>80</v>
      </c>
      <c r="V39" s="52">
        <f>ROUND(V14+NPV($C$41,V15:V36),0)</f>
        <v>0</v>
      </c>
      <c r="X39" s="12"/>
      <c r="Y39" s="12"/>
      <c r="Z39" s="12"/>
      <c r="AA39" s="12">
        <f>ROUND(AA14+NPV($C$41,AA15:AA36),0)</f>
        <v>0</v>
      </c>
      <c r="AB39" s="12">
        <f>ROUND(AB14+NPV($C$41,AB15:AB36),0)</f>
        <v>0</v>
      </c>
      <c r="AF39" s="12"/>
      <c r="AG39" s="3" t="s">
        <v>80</v>
      </c>
      <c r="AH39" s="12">
        <f>ROUND(AH14+NPV($C$41,AH15:AH36),0)</f>
        <v>0</v>
      </c>
      <c r="AL39" s="12">
        <f>ROUND(AL14+NPV($C$41,AL15:AL36),0)</f>
        <v>0</v>
      </c>
      <c r="AN39" s="12">
        <f>+AH39-AL39</f>
        <v>0</v>
      </c>
      <c r="AR39" s="12"/>
      <c r="AS39" s="12"/>
      <c r="AU39" s="46"/>
      <c r="AW39" s="3" t="s">
        <v>80</v>
      </c>
      <c r="AY39" s="46"/>
      <c r="AZ39" s="12">
        <f>ROUND(AZ14+NPV($C$43,AZ15:AZ36),0)</f>
        <v>0</v>
      </c>
      <c r="BB39" s="12"/>
      <c r="BC39" s="12"/>
      <c r="BD39" s="12">
        <f>ROUND(BD14+NPV($C$43,BD15:BD36),0)</f>
        <v>0</v>
      </c>
      <c r="BE39" s="12">
        <f>AZ39-BD39</f>
        <v>0</v>
      </c>
      <c r="BG39" s="7"/>
      <c r="BI39" s="12"/>
      <c r="BL39" s="12"/>
      <c r="BN39" s="12" t="s">
        <v>205</v>
      </c>
      <c r="BO39" s="12"/>
      <c r="BP39" s="12">
        <f>ROUND(BP14+NPV($C$39,BP15:BP36),0)</f>
        <v>0</v>
      </c>
      <c r="BR39" s="12">
        <f>ROUND(BR14+NPV($C$39,BR15:BR36),0)</f>
        <v>0</v>
      </c>
      <c r="BS39" s="12"/>
      <c r="BT39" s="16">
        <f>ROUND(BT14+NPV($C$39,BT15:BT36),0)</f>
        <v>0</v>
      </c>
      <c r="BV39" s="7"/>
      <c r="BX39" s="12"/>
      <c r="BZ39" s="12" t="s">
        <v>205</v>
      </c>
      <c r="CA39" s="12">
        <f>ROUND(CA14+NPV($C$41,CA15:CA36),0)</f>
        <v>0</v>
      </c>
      <c r="CC39" s="12"/>
      <c r="CD39" s="12"/>
      <c r="CE39" s="12">
        <f>ROUND(CE14+NPV($C$41,CE15:CE36),0)</f>
        <v>0</v>
      </c>
      <c r="CF39" s="12"/>
      <c r="CG39" s="16">
        <f>ROUND(CG14+NPV($C$41,CG15:CG36),0)</f>
        <v>0</v>
      </c>
    </row>
    <row r="40" spans="1:87">
      <c r="A40" s="3"/>
      <c r="C40" s="13"/>
      <c r="F40" s="16"/>
      <c r="M40" s="16"/>
      <c r="N40" s="2"/>
      <c r="R40" s="24"/>
      <c r="T40" s="18"/>
      <c r="V40" s="16"/>
      <c r="X40" s="3" t="s">
        <v>81</v>
      </c>
      <c r="Z40" s="16"/>
      <c r="AA40" s="16"/>
      <c r="AB40" s="16"/>
      <c r="AF40" s="16"/>
      <c r="AH40" s="16"/>
      <c r="AI40" s="16"/>
      <c r="AR40" s="16"/>
      <c r="AY40" s="16"/>
      <c r="AZ40" s="16"/>
      <c r="BA40" s="16"/>
      <c r="BB40" s="16"/>
      <c r="BC40" s="16"/>
      <c r="BD40" s="16"/>
      <c r="BE40" s="16"/>
      <c r="BF40" s="16"/>
      <c r="BG40" s="7"/>
      <c r="BI40" s="12"/>
      <c r="BP40" s="16"/>
      <c r="BS40" s="16"/>
      <c r="BU40" s="16"/>
      <c r="BV40" s="7"/>
      <c r="BX40" s="12"/>
      <c r="CA40" s="16"/>
      <c r="CF40" s="16"/>
      <c r="CG40" s="12"/>
    </row>
    <row r="41" spans="1:87">
      <c r="A41" s="3" t="s">
        <v>82</v>
      </c>
      <c r="C41" s="13">
        <f>+'Gas Input Table Summary'!$E$27</f>
        <v>7.0099999999999996E-2</v>
      </c>
      <c r="E41" s="39" t="s">
        <v>88</v>
      </c>
      <c r="F41" s="40" t="s">
        <v>89</v>
      </c>
      <c r="G41" s="41" t="s">
        <v>90</v>
      </c>
      <c r="K41" s="3" t="s">
        <v>83</v>
      </c>
      <c r="M41" s="16"/>
      <c r="N41" s="12">
        <f>AB39</f>
        <v>0</v>
      </c>
      <c r="Q41" s="12"/>
      <c r="R41" s="24"/>
      <c r="T41" s="18"/>
      <c r="U41" s="18"/>
      <c r="V41" s="16"/>
      <c r="X41" s="3" t="s">
        <v>81</v>
      </c>
      <c r="Z41" s="16"/>
      <c r="AA41" s="16"/>
      <c r="AB41" s="16"/>
      <c r="AD41" s="3" t="s">
        <v>83</v>
      </c>
      <c r="AF41" s="16"/>
      <c r="AG41" s="12">
        <f>AN39</f>
        <v>0</v>
      </c>
      <c r="AH41" s="12"/>
      <c r="AI41" s="16"/>
      <c r="AM41" s="16"/>
      <c r="AP41" s="3" t="s">
        <v>83</v>
      </c>
      <c r="AR41" s="16"/>
      <c r="AS41" s="12">
        <f>BE39</f>
        <v>0</v>
      </c>
      <c r="AU41" s="12"/>
      <c r="AW41" s="12"/>
      <c r="AY41" s="16"/>
      <c r="AZ41" s="16"/>
      <c r="BA41" s="25"/>
      <c r="BB41" s="16"/>
      <c r="BC41" s="16"/>
      <c r="BD41" s="16"/>
      <c r="BF41" s="16"/>
      <c r="BG41" s="3" t="s">
        <v>83</v>
      </c>
      <c r="BJ41" s="12">
        <f>BT39</f>
        <v>0</v>
      </c>
      <c r="BK41" s="12"/>
      <c r="BP41" s="16"/>
      <c r="BS41" s="16"/>
      <c r="BT41" s="16"/>
      <c r="BU41" s="16"/>
      <c r="BV41" s="3" t="s">
        <v>83</v>
      </c>
      <c r="BY41" s="12">
        <f>CG39</f>
        <v>0</v>
      </c>
      <c r="BZ41" s="12"/>
      <c r="CA41" s="16"/>
      <c r="CE41" s="12"/>
      <c r="CF41" s="16"/>
      <c r="CG41" s="16"/>
    </row>
    <row r="42" spans="1:87" ht="13.5" thickBot="1">
      <c r="E42" s="121" t="s">
        <v>5</v>
      </c>
      <c r="F42" s="122">
        <f>N41</f>
        <v>0</v>
      </c>
      <c r="G42" s="123">
        <f>N42</f>
        <v>0</v>
      </c>
      <c r="K42" s="3" t="s">
        <v>84</v>
      </c>
      <c r="N42" s="90">
        <f>IF(ISERROR(V39/AA39),0,V39/AA39)</f>
        <v>0</v>
      </c>
      <c r="Q42" s="18"/>
      <c r="R42" s="24"/>
      <c r="AB42" s="16"/>
      <c r="AD42" s="3" t="s">
        <v>84</v>
      </c>
      <c r="AF42" s="18"/>
      <c r="AG42" s="35">
        <f>IF(ISERROR(AH39/AL39),0,AH39/AL39)</f>
        <v>0</v>
      </c>
      <c r="AH42" s="18"/>
      <c r="AP42" s="3" t="s">
        <v>84</v>
      </c>
      <c r="AR42" s="18"/>
      <c r="AS42" s="35">
        <f>IF(ISERROR(AZ39/BD39),0,AZ39/BD39)</f>
        <v>0</v>
      </c>
      <c r="AU42" s="18"/>
      <c r="AW42" s="18"/>
      <c r="AZ42" s="2"/>
      <c r="BD42" s="16"/>
      <c r="BG42" s="3" t="s">
        <v>84</v>
      </c>
      <c r="BJ42" s="35">
        <f>IF(ISERROR(BP39/BR39),0,BP39/BR39)</f>
        <v>0</v>
      </c>
      <c r="BK42" s="18"/>
      <c r="BV42" s="3" t="s">
        <v>84</v>
      </c>
      <c r="BY42" s="35">
        <f>IF(ISERROR(CA39/CE39),0,CA39/CE39)</f>
        <v>0</v>
      </c>
      <c r="BZ42" s="18"/>
    </row>
    <row r="43" spans="1:87" ht="13.5" thickTop="1">
      <c r="A43" s="2" t="s">
        <v>85</v>
      </c>
      <c r="C43" s="13">
        <f>+'Gas Input Table Summary'!$E$28</f>
        <v>2.29E-2</v>
      </c>
      <c r="E43" s="37" t="s">
        <v>6</v>
      </c>
      <c r="F43" s="12">
        <f>AG41</f>
        <v>0</v>
      </c>
      <c r="G43" s="120">
        <f>AG42</f>
        <v>0</v>
      </c>
      <c r="J43" s="74"/>
      <c r="K43" s="75"/>
      <c r="L43" s="74"/>
      <c r="M43" s="74"/>
      <c r="N43" s="74"/>
      <c r="O43" s="74"/>
      <c r="Q43" s="74"/>
      <c r="R43" s="76"/>
      <c r="S43" s="74"/>
      <c r="T43" s="74"/>
      <c r="U43" s="74"/>
      <c r="V43" s="74"/>
      <c r="W43" s="74"/>
      <c r="X43" s="74"/>
      <c r="AB43" s="16"/>
      <c r="AD43" s="3"/>
      <c r="AM43" s="26"/>
      <c r="AN43" s="3"/>
      <c r="AP43" s="3"/>
      <c r="AZ43" s="2"/>
      <c r="BB43" s="26"/>
      <c r="BE43" s="3"/>
      <c r="BG43" s="7"/>
      <c r="BV43" s="7"/>
      <c r="CI43" s="17"/>
    </row>
    <row r="44" spans="1:87">
      <c r="E44" s="38" t="s">
        <v>7</v>
      </c>
      <c r="F44" s="12">
        <f>AS41</f>
        <v>0</v>
      </c>
      <c r="G44" s="120">
        <f>AS42</f>
        <v>0</v>
      </c>
      <c r="J44" s="57" t="s">
        <v>125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AB44" s="16"/>
      <c r="AZ44" s="2"/>
      <c r="BD44" s="7"/>
      <c r="BV44" s="57" t="s">
        <v>125</v>
      </c>
      <c r="BW44" s="58"/>
      <c r="BX44" s="66"/>
      <c r="BY44" s="66"/>
      <c r="BZ44" s="67"/>
      <c r="CI44" s="17"/>
    </row>
    <row r="45" spans="1:87">
      <c r="A45" s="3" t="s">
        <v>86</v>
      </c>
      <c r="C45" s="136">
        <f>+'Gas Input Table Summary'!$E$29</f>
        <v>2025</v>
      </c>
      <c r="E45" s="37" t="s">
        <v>8</v>
      </c>
      <c r="F45" s="12">
        <f>BJ41</f>
        <v>0</v>
      </c>
      <c r="G45" s="120">
        <f>BJ42</f>
        <v>0</v>
      </c>
      <c r="J45" s="68" t="s">
        <v>48</v>
      </c>
      <c r="K45" s="69" t="s">
        <v>122</v>
      </c>
      <c r="L45" s="70"/>
      <c r="M45" s="70"/>
      <c r="N45" s="70"/>
      <c r="O45" s="70"/>
      <c r="P45" s="70"/>
      <c r="Q45" s="70"/>
      <c r="R45" s="70"/>
      <c r="S45" s="70"/>
      <c r="T45" s="71" t="s">
        <v>56</v>
      </c>
      <c r="U45" s="69" t="s">
        <v>143</v>
      </c>
      <c r="V45" s="70"/>
      <c r="W45" s="70"/>
      <c r="X45" s="72"/>
      <c r="AB45" s="16"/>
      <c r="AD45" s="57" t="s">
        <v>125</v>
      </c>
      <c r="AE45" s="58"/>
      <c r="AF45" s="66"/>
      <c r="AG45" s="66"/>
      <c r="AH45" s="67"/>
      <c r="AI45" s="67"/>
      <c r="AJ45" s="67"/>
      <c r="AK45" s="67"/>
      <c r="AN45" s="3"/>
      <c r="AP45" s="57" t="s">
        <v>125</v>
      </c>
      <c r="AQ45" s="58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7"/>
      <c r="BG45" s="57" t="s">
        <v>125</v>
      </c>
      <c r="BH45" s="58"/>
      <c r="BI45" s="66"/>
      <c r="BJ45" s="66"/>
      <c r="BK45" s="66"/>
      <c r="BL45" s="66"/>
      <c r="BM45" s="66"/>
      <c r="BN45" s="66"/>
      <c r="BO45" s="249"/>
      <c r="BP45" s="66"/>
      <c r="BQ45" s="66"/>
      <c r="BR45" s="66"/>
      <c r="BS45" s="66"/>
      <c r="BT45" s="67"/>
      <c r="BV45" s="85" t="s">
        <v>48</v>
      </c>
      <c r="BW45" s="118" t="s">
        <v>163</v>
      </c>
      <c r="BX45" s="70"/>
      <c r="BY45" s="70"/>
      <c r="BZ45" s="72"/>
      <c r="CA45" s="56" t="s">
        <v>81</v>
      </c>
      <c r="CB45" s="56"/>
      <c r="CC45" s="56"/>
      <c r="CD45" s="56"/>
      <c r="CE45" s="56"/>
      <c r="CI45" s="17"/>
    </row>
    <row r="46" spans="1:87">
      <c r="C46" s="7"/>
      <c r="E46" s="124" t="s">
        <v>218</v>
      </c>
      <c r="F46" s="125">
        <f>BY41</f>
        <v>0</v>
      </c>
      <c r="G46" s="126">
        <f>BY42</f>
        <v>0</v>
      </c>
      <c r="J46" s="38" t="s">
        <v>49</v>
      </c>
      <c r="K46" s="48" t="s">
        <v>140</v>
      </c>
      <c r="N46" s="2"/>
      <c r="T46" s="5" t="s">
        <v>57</v>
      </c>
      <c r="U46" s="48" t="s">
        <v>144</v>
      </c>
      <c r="X46" s="60"/>
      <c r="AB46" s="5"/>
      <c r="AD46" s="68" t="s">
        <v>48</v>
      </c>
      <c r="AE46" s="69" t="s">
        <v>163</v>
      </c>
      <c r="AF46" s="70"/>
      <c r="AG46" s="70"/>
      <c r="AH46" s="70"/>
      <c r="AI46" s="70"/>
      <c r="AJ46" s="70"/>
      <c r="AK46" s="72"/>
      <c r="AN46" s="3"/>
      <c r="AP46" s="82" t="s">
        <v>48</v>
      </c>
      <c r="AQ46" s="69" t="s">
        <v>163</v>
      </c>
      <c r="AR46" s="70"/>
      <c r="AS46" s="70"/>
      <c r="AU46" s="70"/>
      <c r="AW46" s="5" t="s">
        <v>55</v>
      </c>
      <c r="AZ46" s="48" t="s">
        <v>153</v>
      </c>
      <c r="BD46" s="70"/>
      <c r="BE46" s="72"/>
      <c r="BG46" s="85" t="s">
        <v>48</v>
      </c>
      <c r="BH46" s="69" t="s">
        <v>157</v>
      </c>
      <c r="BI46" s="70"/>
      <c r="BJ46" s="70"/>
      <c r="BK46" s="70"/>
      <c r="BL46" s="246" t="s">
        <v>54</v>
      </c>
      <c r="BM46" s="69" t="s">
        <v>158</v>
      </c>
      <c r="BN46" s="70"/>
      <c r="BO46" s="70"/>
      <c r="BP46" s="70"/>
      <c r="BQ46" s="70"/>
      <c r="BR46" s="70"/>
      <c r="BS46" s="70"/>
      <c r="BT46" s="72"/>
      <c r="BV46" s="86" t="s">
        <v>49</v>
      </c>
      <c r="BW46" s="119" t="s">
        <v>164</v>
      </c>
      <c r="BZ46" s="60"/>
      <c r="CI46" s="17"/>
    </row>
    <row r="47" spans="1:87">
      <c r="A47" s="3" t="s">
        <v>87</v>
      </c>
      <c r="C47" s="136">
        <f>+'Total Program Inputs'!C6</f>
        <v>2025</v>
      </c>
      <c r="J47" s="38" t="s">
        <v>50</v>
      </c>
      <c r="K47" s="19" t="s">
        <v>121</v>
      </c>
      <c r="N47" s="2"/>
      <c r="T47" s="5" t="s">
        <v>58</v>
      </c>
      <c r="U47" s="48" t="s">
        <v>160</v>
      </c>
      <c r="X47" s="60"/>
      <c r="AB47" s="12"/>
      <c r="AD47" s="38" t="s">
        <v>49</v>
      </c>
      <c r="AE47" s="19" t="s">
        <v>164</v>
      </c>
      <c r="AK47" s="60"/>
      <c r="AP47" s="83" t="s">
        <v>54</v>
      </c>
      <c r="AQ47" s="48" t="s">
        <v>164</v>
      </c>
      <c r="AW47" s="5" t="s">
        <v>56</v>
      </c>
      <c r="AZ47" s="19" t="s">
        <v>154</v>
      </c>
      <c r="BE47" s="60"/>
      <c r="BG47" s="86" t="s">
        <v>49</v>
      </c>
      <c r="BH47" s="48" t="s">
        <v>126</v>
      </c>
      <c r="BL47" s="7" t="s">
        <v>55</v>
      </c>
      <c r="BM47" s="19" t="s">
        <v>167</v>
      </c>
      <c r="BO47" s="56"/>
      <c r="BP47" s="56"/>
      <c r="BQ47" s="56"/>
      <c r="BR47" s="56"/>
      <c r="BT47" s="60"/>
      <c r="BV47" s="86" t="s">
        <v>50</v>
      </c>
      <c r="BW47" s="119" t="s">
        <v>220</v>
      </c>
      <c r="BZ47" s="60"/>
      <c r="CI47" s="17"/>
    </row>
    <row r="48" spans="1:87">
      <c r="A48" s="127"/>
      <c r="C48" s="7"/>
      <c r="J48" s="38" t="s">
        <v>51</v>
      </c>
      <c r="K48" s="48" t="s">
        <v>139</v>
      </c>
      <c r="N48" s="2"/>
      <c r="T48" s="5" t="s">
        <v>59</v>
      </c>
      <c r="U48" s="19" t="s">
        <v>161</v>
      </c>
      <c r="X48" s="60"/>
      <c r="AB48" s="16"/>
      <c r="AD48" s="38" t="s">
        <v>50</v>
      </c>
      <c r="AE48" s="19" t="s">
        <v>165</v>
      </c>
      <c r="AK48" s="60"/>
      <c r="AP48" s="83" t="s">
        <v>50</v>
      </c>
      <c r="AQ48" s="48" t="s">
        <v>201</v>
      </c>
      <c r="AW48" s="5" t="s">
        <v>57</v>
      </c>
      <c r="AZ48" s="19" t="s">
        <v>155</v>
      </c>
      <c r="BE48" s="60"/>
      <c r="BG48" s="86" t="s">
        <v>50</v>
      </c>
      <c r="BH48" s="19" t="s">
        <v>130</v>
      </c>
      <c r="BL48" s="7" t="s">
        <v>56</v>
      </c>
      <c r="BM48" s="19" t="s">
        <v>159</v>
      </c>
      <c r="BT48" s="60"/>
      <c r="BV48" s="86" t="s">
        <v>51</v>
      </c>
      <c r="BW48" s="119" t="s">
        <v>128</v>
      </c>
      <c r="BZ48" s="60"/>
      <c r="CI48" s="17"/>
    </row>
    <row r="49" spans="1:108">
      <c r="A49" s="127"/>
      <c r="C49" s="7"/>
      <c r="J49" s="38" t="s">
        <v>52</v>
      </c>
      <c r="K49" s="19" t="s">
        <v>141</v>
      </c>
      <c r="N49" s="2"/>
      <c r="O49" s="24"/>
      <c r="T49" s="5" t="s">
        <v>60</v>
      </c>
      <c r="U49" s="48" t="s">
        <v>147</v>
      </c>
      <c r="X49" s="60"/>
      <c r="AB49" s="16"/>
      <c r="AD49" s="38" t="s">
        <v>51</v>
      </c>
      <c r="AE49" s="48" t="s">
        <v>127</v>
      </c>
      <c r="AK49" s="60"/>
      <c r="AO49" s="3"/>
      <c r="AP49" s="83" t="s">
        <v>51</v>
      </c>
      <c r="AQ49" s="48" t="s">
        <v>152</v>
      </c>
      <c r="AW49" s="5" t="s">
        <v>58</v>
      </c>
      <c r="AZ49" s="19" t="s">
        <v>156</v>
      </c>
      <c r="BE49" s="60"/>
      <c r="BG49" s="86" t="s">
        <v>51</v>
      </c>
      <c r="BH49" s="48" t="s">
        <v>131</v>
      </c>
      <c r="BT49" s="60"/>
      <c r="BV49" s="86" t="s">
        <v>52</v>
      </c>
      <c r="BW49" s="119" t="s">
        <v>224</v>
      </c>
      <c r="BZ49" s="60"/>
    </row>
    <row r="50" spans="1:108">
      <c r="J50" s="38" t="s">
        <v>53</v>
      </c>
      <c r="K50" s="48" t="s">
        <v>142</v>
      </c>
      <c r="N50" s="2"/>
      <c r="T50" s="5" t="s">
        <v>61</v>
      </c>
      <c r="U50" s="19" t="s">
        <v>129</v>
      </c>
      <c r="X50" s="60"/>
      <c r="AD50" s="38" t="s">
        <v>52</v>
      </c>
      <c r="AE50" s="48" t="s">
        <v>157</v>
      </c>
      <c r="AK50" s="60"/>
      <c r="AP50" s="83" t="s">
        <v>52</v>
      </c>
      <c r="AQ50" s="48" t="s">
        <v>135</v>
      </c>
      <c r="AW50" s="5"/>
      <c r="AZ50" s="2"/>
      <c r="BE50" s="60"/>
      <c r="BG50" s="86" t="s">
        <v>52</v>
      </c>
      <c r="BH50" s="48" t="s">
        <v>166</v>
      </c>
      <c r="BT50" s="60"/>
      <c r="BV50" s="86" t="s">
        <v>53</v>
      </c>
      <c r="BW50" s="119" t="s">
        <v>225</v>
      </c>
      <c r="BZ50" s="60"/>
    </row>
    <row r="51" spans="1:108" ht="14.1" customHeight="1">
      <c r="J51" s="38" t="s">
        <v>54</v>
      </c>
      <c r="K51" s="48" t="s">
        <v>123</v>
      </c>
      <c r="N51" s="2"/>
      <c r="T51" s="5" t="s">
        <v>138</v>
      </c>
      <c r="U51" s="19" t="s">
        <v>162</v>
      </c>
      <c r="X51" s="60"/>
      <c r="AD51" s="38" t="s">
        <v>53</v>
      </c>
      <c r="AE51" s="19" t="s">
        <v>149</v>
      </c>
      <c r="AK51" s="60"/>
      <c r="AP51" s="83" t="s">
        <v>53</v>
      </c>
      <c r="AQ51" s="48" t="s">
        <v>136</v>
      </c>
      <c r="AW51" s="5"/>
      <c r="AZ51" s="2"/>
      <c r="BE51" s="60"/>
      <c r="BG51" s="247" t="s">
        <v>53</v>
      </c>
      <c r="BH51" s="251" t="s">
        <v>330</v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64"/>
      <c r="BV51" s="86" t="s">
        <v>54</v>
      </c>
      <c r="BW51" s="119" t="s">
        <v>221</v>
      </c>
      <c r="BZ51" s="60"/>
    </row>
    <row r="52" spans="1:108" ht="14.1" customHeight="1">
      <c r="A52" s="3"/>
      <c r="C52" s="13"/>
      <c r="J52" s="89" t="s">
        <v>55</v>
      </c>
      <c r="K52" s="62" t="s">
        <v>124</v>
      </c>
      <c r="L52" s="10"/>
      <c r="M52" s="10"/>
      <c r="N52" s="10"/>
      <c r="O52" s="10"/>
      <c r="P52" s="10"/>
      <c r="Q52" s="10"/>
      <c r="R52" s="10"/>
      <c r="S52" s="10"/>
      <c r="T52" s="63" t="s">
        <v>146</v>
      </c>
      <c r="U52" s="62" t="s">
        <v>148</v>
      </c>
      <c r="V52" s="10"/>
      <c r="W52" s="10"/>
      <c r="X52" s="64"/>
      <c r="AD52" s="61" t="s">
        <v>54</v>
      </c>
      <c r="AE52" s="73" t="s">
        <v>150</v>
      </c>
      <c r="AF52" s="10"/>
      <c r="AG52" s="10"/>
      <c r="AH52" s="10"/>
      <c r="AI52" s="10"/>
      <c r="AJ52" s="10"/>
      <c r="AK52" s="64"/>
      <c r="AP52" s="84" t="s">
        <v>54</v>
      </c>
      <c r="AQ52" s="73" t="s">
        <v>151</v>
      </c>
      <c r="AR52" s="10"/>
      <c r="AS52" s="10"/>
      <c r="AT52" s="10"/>
      <c r="AU52" s="10"/>
      <c r="AV52" s="10"/>
      <c r="AW52" s="63"/>
      <c r="AX52" s="63"/>
      <c r="AY52" s="63"/>
      <c r="AZ52" s="63"/>
      <c r="BA52" s="10"/>
      <c r="BB52" s="10"/>
      <c r="BC52" s="10"/>
      <c r="BD52" s="10"/>
      <c r="BE52" s="64"/>
      <c r="BG52" s="7"/>
      <c r="BH52" s="48"/>
      <c r="BM52" s="5"/>
      <c r="BV52" s="247" t="s">
        <v>55</v>
      </c>
      <c r="BW52" s="248" t="s">
        <v>222</v>
      </c>
      <c r="BX52" s="10"/>
      <c r="BY52" s="10"/>
      <c r="BZ52" s="64"/>
      <c r="CL52" s="18"/>
      <c r="DB52" s="16"/>
    </row>
    <row r="53" spans="1:108" ht="14.1" customHeight="1">
      <c r="C53" s="3"/>
      <c r="AD53" s="5"/>
      <c r="AZ53" s="2"/>
      <c r="BG53" s="7"/>
      <c r="BH53" s="19"/>
      <c r="BV53" s="7"/>
      <c r="CL53" s="12"/>
      <c r="DD53" s="16"/>
    </row>
    <row r="54" spans="1:108" ht="14.1" customHeight="1">
      <c r="C54" s="17"/>
      <c r="K54" s="48"/>
      <c r="N54" s="2"/>
      <c r="R54" s="24"/>
      <c r="AZ54" s="2"/>
      <c r="BG54" s="7"/>
      <c r="BH54" s="19"/>
    </row>
    <row r="55" spans="1:108" ht="14.1" customHeight="1">
      <c r="C55" s="17"/>
      <c r="K55" s="48"/>
      <c r="N55" s="2"/>
      <c r="R55" s="24"/>
      <c r="AB55" s="16"/>
      <c r="AP55" s="5"/>
      <c r="AZ55" s="2"/>
      <c r="BG55" s="7"/>
      <c r="BV55" s="7"/>
    </row>
    <row r="56" spans="1:108">
      <c r="C56" s="17"/>
      <c r="K56" s="48"/>
      <c r="N56" s="2"/>
      <c r="R56" s="24"/>
      <c r="AP56" s="3"/>
      <c r="AZ56" s="2"/>
      <c r="BH56" s="7"/>
      <c r="BW56" s="7"/>
    </row>
    <row r="57" spans="1:108">
      <c r="C57" s="28"/>
      <c r="N57" s="2"/>
      <c r="R57" s="24"/>
      <c r="AP57" s="3"/>
      <c r="AZ57" s="2"/>
      <c r="BW57" s="7"/>
    </row>
    <row r="58" spans="1:108">
      <c r="C58" s="28"/>
      <c r="N58" s="2"/>
      <c r="Q58" s="24"/>
      <c r="AO58" s="3"/>
      <c r="AZ58" s="2"/>
      <c r="BV58" s="7"/>
    </row>
    <row r="59" spans="1:108">
      <c r="C59" s="17"/>
      <c r="N59" s="2"/>
      <c r="Q59" s="24"/>
      <c r="AZ59" s="2"/>
      <c r="BV59" s="7"/>
    </row>
    <row r="60" spans="1:108">
      <c r="N60" s="2"/>
      <c r="Q60" s="24"/>
      <c r="AZ60" s="2"/>
      <c r="BV60" s="7"/>
    </row>
    <row r="61" spans="1:108">
      <c r="N61" s="2"/>
      <c r="Q61" s="24"/>
      <c r="AZ61" s="2"/>
      <c r="BV61" s="7"/>
    </row>
    <row r="62" spans="1:108" ht="12" customHeight="1">
      <c r="N62" s="2"/>
      <c r="Q62" s="24"/>
      <c r="AZ62" s="2"/>
      <c r="BV62" s="7"/>
    </row>
    <row r="63" spans="1:108">
      <c r="N63" s="2"/>
      <c r="Q63" s="24"/>
      <c r="AZ63" s="2"/>
      <c r="BV63" s="7"/>
    </row>
    <row r="64" spans="1:108">
      <c r="N64" s="2"/>
      <c r="Q64" s="24"/>
      <c r="AZ64" s="2"/>
      <c r="BG64" s="7"/>
      <c r="BV64" s="7"/>
    </row>
    <row r="65" spans="1:74">
      <c r="C65" s="12"/>
      <c r="N65" s="2"/>
      <c r="Q65" s="24"/>
      <c r="AZ65" s="2"/>
      <c r="BG65" s="7"/>
      <c r="BV65" s="7"/>
    </row>
    <row r="66" spans="1:74">
      <c r="A66" s="9"/>
      <c r="B66" s="3"/>
      <c r="N66" s="2"/>
      <c r="Q66" s="24"/>
      <c r="AZ66" s="2"/>
      <c r="BG66" s="7"/>
      <c r="BV66" s="7"/>
    </row>
    <row r="67" spans="1:74">
      <c r="A67" s="9"/>
      <c r="B67" s="3"/>
      <c r="N67" s="2"/>
      <c r="Q67" s="24"/>
      <c r="AZ67" s="2"/>
      <c r="BG67" s="7"/>
      <c r="BV67" s="7"/>
    </row>
    <row r="68" spans="1:74">
      <c r="N68" s="2"/>
      <c r="Q68" s="24"/>
      <c r="AZ68" s="2"/>
      <c r="BG68" s="7"/>
      <c r="BV68" s="7"/>
    </row>
    <row r="69" spans="1:74">
      <c r="N69" s="2"/>
      <c r="Q69" s="24"/>
      <c r="AZ69" s="2"/>
      <c r="BG69" s="7"/>
      <c r="BV69" s="7"/>
    </row>
    <row r="70" spans="1:74">
      <c r="N70" s="2"/>
      <c r="Q70" s="24"/>
      <c r="AZ70" s="2"/>
      <c r="BG70" s="7"/>
      <c r="BV70" s="7"/>
    </row>
    <row r="71" spans="1:74">
      <c r="N71" s="2"/>
      <c r="Q71" s="24"/>
      <c r="AZ71" s="2"/>
      <c r="BG71" s="7"/>
      <c r="BV71" s="7"/>
    </row>
    <row r="72" spans="1:74">
      <c r="N72" s="2"/>
      <c r="Q72" s="24"/>
      <c r="AZ72" s="2"/>
      <c r="BG72" s="7"/>
      <c r="BV72" s="7"/>
    </row>
    <row r="73" spans="1:74">
      <c r="N73" s="2"/>
      <c r="Q73" s="24"/>
      <c r="AZ73" s="2"/>
      <c r="BG73" s="7"/>
      <c r="BV73" s="7"/>
    </row>
    <row r="74" spans="1:74">
      <c r="N74" s="2"/>
      <c r="Q74" s="24"/>
      <c r="AZ74" s="2"/>
      <c r="BG74" s="7"/>
      <c r="BV74" s="7"/>
    </row>
    <row r="75" spans="1:74">
      <c r="N75" s="2"/>
      <c r="Q75" s="24"/>
      <c r="AZ75" s="2"/>
      <c r="BG75" s="7"/>
      <c r="BV75" s="7"/>
    </row>
    <row r="76" spans="1:74">
      <c r="N76" s="2"/>
      <c r="Q76" s="24"/>
      <c r="AZ76" s="2"/>
      <c r="BG76" s="7"/>
      <c r="BV76" s="7"/>
    </row>
    <row r="77" spans="1:74">
      <c r="N77" s="2"/>
      <c r="Q77" s="24"/>
      <c r="AZ77" s="2"/>
      <c r="BG77" s="7"/>
      <c r="BV77" s="7"/>
    </row>
    <row r="78" spans="1:74">
      <c r="N78" s="2"/>
      <c r="Q78" s="24"/>
      <c r="AZ78" s="2"/>
      <c r="BG78" s="7"/>
      <c r="BV78" s="7"/>
    </row>
    <row r="79" spans="1:74">
      <c r="N79" s="2"/>
      <c r="Q79" s="24"/>
      <c r="AZ79" s="2"/>
      <c r="BG79" s="7"/>
      <c r="BV79" s="7"/>
    </row>
    <row r="80" spans="1:74">
      <c r="N80" s="2"/>
      <c r="Q80" s="24"/>
      <c r="AZ80" s="2"/>
      <c r="BG80" s="7"/>
      <c r="BV80" s="7"/>
    </row>
    <row r="81" spans="6:74">
      <c r="F81" s="26"/>
      <c r="G81" s="26"/>
      <c r="N81" s="2"/>
      <c r="Q81" s="24"/>
      <c r="AZ81" s="2"/>
      <c r="BG81" s="7"/>
      <c r="BV81" s="7"/>
    </row>
    <row r="82" spans="6:74">
      <c r="N82" s="2"/>
      <c r="Q82" s="24"/>
      <c r="AZ82" s="2"/>
      <c r="BG82" s="7"/>
      <c r="BV82" s="7"/>
    </row>
    <row r="83" spans="6:74">
      <c r="N83" s="2"/>
      <c r="Q83" s="24"/>
      <c r="AZ83" s="2"/>
      <c r="BG83" s="7"/>
      <c r="BV83" s="7"/>
    </row>
    <row r="84" spans="6:74">
      <c r="N84" s="2"/>
      <c r="Q84" s="24"/>
      <c r="AZ84" s="2"/>
      <c r="BG84" s="7"/>
      <c r="BV84" s="7"/>
    </row>
    <row r="85" spans="6:74">
      <c r="N85" s="2"/>
      <c r="Q85" s="24"/>
      <c r="AZ85" s="2"/>
      <c r="BG85" s="7"/>
      <c r="BV85" s="7"/>
    </row>
    <row r="86" spans="6:74">
      <c r="N86" s="2"/>
      <c r="Q86" s="24"/>
      <c r="AZ86" s="2"/>
      <c r="BG86" s="7"/>
      <c r="BV86" s="7"/>
    </row>
    <row r="87" spans="6:74">
      <c r="N87" s="2"/>
      <c r="Q87" s="24"/>
      <c r="AZ87" s="2"/>
      <c r="BG87" s="7"/>
      <c r="BV87" s="7"/>
    </row>
    <row r="88" spans="6:74">
      <c r="N88" s="2"/>
      <c r="Q88" s="24"/>
      <c r="AZ88" s="2"/>
      <c r="BG88" s="7"/>
      <c r="BV88" s="7"/>
    </row>
    <row r="89" spans="6:74">
      <c r="N89" s="2"/>
      <c r="Q89" s="24"/>
      <c r="AZ89" s="2"/>
      <c r="BG89" s="7"/>
      <c r="BV89" s="7"/>
    </row>
    <row r="90" spans="6:74">
      <c r="N90" s="2"/>
      <c r="Q90" s="24"/>
      <c r="AZ90" s="2"/>
      <c r="BG90" s="7"/>
      <c r="BV90" s="7"/>
    </row>
    <row r="91" spans="6:74">
      <c r="N91" s="2"/>
      <c r="Q91" s="24"/>
      <c r="AZ91" s="2"/>
      <c r="BG91" s="7"/>
      <c r="BV91" s="7"/>
    </row>
    <row r="92" spans="6:74">
      <c r="N92" s="2"/>
      <c r="Q92" s="24"/>
      <c r="AZ92" s="2"/>
      <c r="BG92" s="7"/>
      <c r="BV92" s="7"/>
    </row>
    <row r="93" spans="6:74">
      <c r="N93" s="2"/>
      <c r="Q93" s="24"/>
      <c r="AZ93" s="2"/>
      <c r="BG93" s="7"/>
      <c r="BV93" s="7"/>
    </row>
    <row r="94" spans="6:74">
      <c r="N94" s="2"/>
      <c r="Q94" s="24"/>
      <c r="AZ94" s="2"/>
      <c r="BG94" s="7"/>
      <c r="BV94" s="7"/>
    </row>
    <row r="95" spans="6:74">
      <c r="N95" s="2"/>
      <c r="Q95" s="24"/>
      <c r="AZ95" s="2"/>
      <c r="BG95" s="7"/>
      <c r="BV95" s="7"/>
    </row>
    <row r="96" spans="6:74">
      <c r="N96" s="2"/>
      <c r="Q96" s="24"/>
      <c r="AZ96" s="2"/>
      <c r="BG96" s="7"/>
      <c r="BV96" s="7"/>
    </row>
    <row r="97" spans="1:74">
      <c r="N97" s="2"/>
      <c r="Q97" s="24"/>
      <c r="AZ97" s="2"/>
      <c r="BG97" s="7"/>
      <c r="BV97" s="7"/>
    </row>
    <row r="98" spans="1:74">
      <c r="N98" s="2"/>
      <c r="Q98" s="24"/>
      <c r="AZ98" s="2"/>
      <c r="BG98" s="7"/>
      <c r="BV98" s="7"/>
    </row>
    <row r="99" spans="1:74">
      <c r="N99" s="2"/>
      <c r="Q99" s="24"/>
      <c r="AZ99" s="2"/>
      <c r="BG99" s="7"/>
      <c r="BV99" s="7"/>
    </row>
    <row r="100" spans="1:74">
      <c r="N100" s="2"/>
      <c r="Q100" s="24"/>
      <c r="AZ100" s="2"/>
      <c r="BG100" s="7"/>
      <c r="BV100" s="7"/>
    </row>
    <row r="101" spans="1:74">
      <c r="N101" s="2"/>
      <c r="Q101" s="24"/>
      <c r="AZ101" s="2"/>
      <c r="BG101" s="7"/>
      <c r="BV101" s="7"/>
    </row>
    <row r="102" spans="1:74">
      <c r="N102" s="2"/>
      <c r="Q102" s="24"/>
      <c r="AZ102" s="2"/>
      <c r="BG102" s="7"/>
      <c r="BV102" s="7"/>
    </row>
    <row r="103" spans="1:74">
      <c r="N103" s="2"/>
      <c r="Q103" s="24"/>
      <c r="AZ103" s="2"/>
      <c r="BG103" s="7"/>
      <c r="BV103" s="7"/>
    </row>
    <row r="104" spans="1:74">
      <c r="N104" s="2"/>
      <c r="Q104" s="24"/>
      <c r="AZ104" s="2"/>
      <c r="BG104" s="7"/>
      <c r="BV104" s="7"/>
    </row>
    <row r="105" spans="1:74">
      <c r="E105" s="29"/>
      <c r="N105" s="2"/>
      <c r="Q105" s="24"/>
      <c r="AZ105" s="2"/>
      <c r="BG105" s="7"/>
      <c r="BV105" s="7"/>
    </row>
    <row r="106" spans="1:74">
      <c r="N106" s="2"/>
      <c r="Q106" s="24"/>
      <c r="AZ106" s="2"/>
      <c r="BG106" s="7"/>
      <c r="BV106" s="7"/>
    </row>
    <row r="107" spans="1:74">
      <c r="N107" s="2"/>
      <c r="Q107" s="24"/>
      <c r="AZ107" s="2"/>
      <c r="BG107" s="7"/>
      <c r="BV107" s="7"/>
    </row>
    <row r="108" spans="1:74">
      <c r="N108" s="2"/>
      <c r="Q108" s="24"/>
      <c r="AZ108" s="2"/>
      <c r="BG108" s="7"/>
      <c r="BV108" s="7"/>
    </row>
    <row r="109" spans="1:74">
      <c r="N109" s="2"/>
      <c r="Q109" s="24"/>
      <c r="AZ109" s="2"/>
      <c r="BG109" s="7"/>
      <c r="BV109" s="7"/>
    </row>
    <row r="110" spans="1:74">
      <c r="N110" s="2"/>
      <c r="Q110" s="24"/>
      <c r="AZ110" s="2"/>
      <c r="BG110" s="7"/>
      <c r="BV110" s="7"/>
    </row>
    <row r="111" spans="1:74">
      <c r="A111" s="9"/>
      <c r="B111" s="3"/>
      <c r="N111" s="2"/>
      <c r="Q111" s="24"/>
      <c r="AZ111" s="2"/>
      <c r="BG111" s="7"/>
      <c r="BV111" s="7"/>
    </row>
    <row r="112" spans="1:74">
      <c r="N112" s="2"/>
      <c r="Q112" s="24"/>
      <c r="AZ112" s="2"/>
      <c r="BG112" s="7"/>
      <c r="BV112" s="7"/>
    </row>
    <row r="113" spans="1:74">
      <c r="N113" s="2"/>
      <c r="Q113" s="24"/>
      <c r="AZ113" s="2"/>
      <c r="BG113" s="7"/>
      <c r="BV113" s="7"/>
    </row>
    <row r="114" spans="1:74">
      <c r="N114" s="2"/>
      <c r="Q114" s="24"/>
      <c r="AZ114" s="2"/>
      <c r="BG114" s="7"/>
      <c r="BV114" s="7"/>
    </row>
    <row r="115" spans="1:74">
      <c r="N115" s="2"/>
      <c r="Q115" s="24"/>
      <c r="AZ115" s="2"/>
      <c r="BG115" s="7"/>
      <c r="BV115" s="7"/>
    </row>
    <row r="116" spans="1:74">
      <c r="N116" s="2"/>
      <c r="Q116" s="24"/>
      <c r="AZ116" s="2"/>
      <c r="BG116" s="7"/>
      <c r="BV116" s="7"/>
    </row>
    <row r="117" spans="1:74">
      <c r="N117" s="2"/>
      <c r="Q117" s="24"/>
      <c r="AZ117" s="2"/>
      <c r="BG117" s="7"/>
      <c r="BV117" s="7"/>
    </row>
    <row r="118" spans="1:74">
      <c r="N118" s="2"/>
      <c r="Q118" s="24"/>
      <c r="AZ118" s="2"/>
      <c r="BG118" s="7"/>
      <c r="BV118" s="7"/>
    </row>
    <row r="119" spans="1:74">
      <c r="N119" s="2"/>
      <c r="Q119" s="24"/>
      <c r="AZ119" s="2"/>
      <c r="BG119" s="7"/>
      <c r="BV119" s="7"/>
    </row>
    <row r="120" spans="1:74">
      <c r="N120" s="2"/>
      <c r="Q120" s="24"/>
      <c r="AZ120" s="2"/>
      <c r="BG120" s="7"/>
      <c r="BV120" s="7"/>
    </row>
    <row r="121" spans="1:74">
      <c r="N121" s="2"/>
      <c r="Q121" s="24"/>
      <c r="AZ121" s="2"/>
      <c r="BG121" s="7"/>
      <c r="BV121" s="7"/>
    </row>
    <row r="122" spans="1:74">
      <c r="N122" s="2"/>
      <c r="Q122" s="24"/>
      <c r="AZ122" s="2"/>
      <c r="BG122" s="7"/>
      <c r="BV122" s="7"/>
    </row>
    <row r="123" spans="1:74">
      <c r="N123" s="2"/>
      <c r="Q123" s="24"/>
      <c r="AZ123" s="2"/>
      <c r="BG123" s="7"/>
      <c r="BV123" s="7"/>
    </row>
    <row r="124" spans="1:74">
      <c r="N124" s="2"/>
      <c r="Q124" s="24"/>
      <c r="AZ124" s="2"/>
      <c r="BG124" s="7"/>
      <c r="BV124" s="7"/>
    </row>
    <row r="125" spans="1:74">
      <c r="N125" s="2"/>
      <c r="Q125" s="24"/>
      <c r="AZ125" s="2"/>
      <c r="BG125" s="7"/>
      <c r="BV125" s="7"/>
    </row>
    <row r="126" spans="1:74">
      <c r="N126" s="2"/>
      <c r="Q126" s="24"/>
      <c r="AZ126" s="2"/>
      <c r="BG126" s="7"/>
      <c r="BV126" s="7"/>
    </row>
    <row r="127" spans="1:74">
      <c r="N127" s="2"/>
      <c r="Q127" s="24"/>
      <c r="AZ127" s="2"/>
      <c r="BG127" s="7"/>
      <c r="BV127" s="7"/>
    </row>
    <row r="128" spans="1:74">
      <c r="A128" s="3"/>
      <c r="N128" s="2"/>
      <c r="Q128" s="24"/>
      <c r="AZ128" s="2"/>
      <c r="BG128" s="7"/>
      <c r="BV128" s="7"/>
    </row>
    <row r="129" spans="1:74">
      <c r="A129" s="3"/>
      <c r="N129" s="2"/>
      <c r="Q129" s="24"/>
      <c r="AZ129" s="2"/>
      <c r="BG129" s="7"/>
      <c r="BV129" s="7"/>
    </row>
    <row r="130" spans="1:74">
      <c r="A130" s="3"/>
      <c r="B130" s="3"/>
      <c r="N130" s="2"/>
      <c r="Q130" s="24"/>
      <c r="AZ130" s="2"/>
      <c r="BG130" s="7"/>
      <c r="BV130" s="7"/>
    </row>
    <row r="131" spans="1:74">
      <c r="N131" s="2"/>
      <c r="Q131" s="24"/>
      <c r="AZ131" s="2"/>
      <c r="BG131" s="7"/>
      <c r="BV131" s="7"/>
    </row>
    <row r="132" spans="1:74">
      <c r="A132" s="3"/>
      <c r="B132" s="3"/>
      <c r="N132" s="2"/>
      <c r="Q132" s="24"/>
      <c r="AZ132" s="2"/>
      <c r="BG132" s="7"/>
      <c r="BV132" s="7"/>
    </row>
    <row r="133" spans="1:74">
      <c r="N133" s="2"/>
      <c r="Q133" s="24"/>
      <c r="AZ133" s="2"/>
      <c r="BG133" s="7"/>
      <c r="BV133" s="7"/>
    </row>
    <row r="134" spans="1:74">
      <c r="A134" s="3"/>
      <c r="B134" s="3"/>
      <c r="N134" s="2"/>
      <c r="Q134" s="24"/>
      <c r="AZ134" s="2"/>
      <c r="BG134" s="7"/>
      <c r="BV134" s="7"/>
    </row>
    <row r="135" spans="1:74">
      <c r="N135" s="2"/>
      <c r="Q135" s="24"/>
      <c r="AZ135" s="2"/>
      <c r="BG135" s="7"/>
      <c r="BV135" s="7"/>
    </row>
    <row r="136" spans="1:74">
      <c r="A136" s="3"/>
      <c r="B136" s="3"/>
      <c r="N136" s="2"/>
      <c r="Q136" s="24"/>
      <c r="AZ136" s="2"/>
      <c r="BG136" s="7"/>
      <c r="BV136" s="7"/>
    </row>
    <row r="137" spans="1:74">
      <c r="N137" s="2"/>
      <c r="Q137" s="24"/>
      <c r="AZ137" s="2"/>
      <c r="BG137" s="7"/>
      <c r="BV137" s="7"/>
    </row>
    <row r="138" spans="1:74">
      <c r="A138" s="3"/>
      <c r="B138" s="3"/>
      <c r="N138" s="2"/>
      <c r="Q138" s="24"/>
      <c r="AZ138" s="2"/>
      <c r="BG138" s="7"/>
      <c r="BV138" s="7"/>
    </row>
    <row r="139" spans="1:74">
      <c r="N139" s="2"/>
      <c r="Q139" s="24"/>
      <c r="AZ139" s="2"/>
      <c r="BG139" s="7"/>
      <c r="BV139" s="7"/>
    </row>
    <row r="140" spans="1:74">
      <c r="A140" s="3"/>
      <c r="B140" s="3"/>
      <c r="N140" s="2"/>
      <c r="Q140" s="24"/>
      <c r="AZ140" s="2"/>
      <c r="BG140" s="7"/>
      <c r="BV140" s="7"/>
    </row>
    <row r="141" spans="1:74">
      <c r="N141" s="2"/>
      <c r="Q141" s="24"/>
      <c r="AZ141" s="2"/>
      <c r="BG141" s="7"/>
      <c r="BV141" s="7"/>
    </row>
    <row r="142" spans="1:74">
      <c r="A142" s="3"/>
      <c r="B142" s="3"/>
      <c r="N142" s="2"/>
      <c r="Q142" s="24"/>
      <c r="AZ142" s="2"/>
      <c r="BG142" s="7"/>
      <c r="BV142" s="7"/>
    </row>
    <row r="143" spans="1:74">
      <c r="N143" s="2"/>
      <c r="Q143" s="24"/>
      <c r="AZ143" s="2"/>
      <c r="BG143" s="7"/>
      <c r="BV143" s="7"/>
    </row>
    <row r="144" spans="1:74">
      <c r="A144" s="3"/>
      <c r="B144" s="3"/>
      <c r="N144" s="2"/>
      <c r="Q144" s="24"/>
      <c r="AZ144" s="2"/>
      <c r="BG144" s="7"/>
      <c r="BV144" s="7"/>
    </row>
    <row r="145" spans="1:74">
      <c r="N145" s="2"/>
      <c r="Q145" s="24"/>
      <c r="AZ145" s="2"/>
      <c r="BG145" s="7"/>
      <c r="BV145" s="7"/>
    </row>
    <row r="146" spans="1:74">
      <c r="N146" s="2"/>
      <c r="Q146" s="24"/>
      <c r="AZ146" s="2"/>
      <c r="BG146" s="7"/>
      <c r="BV146" s="7"/>
    </row>
    <row r="147" spans="1:74">
      <c r="N147" s="2"/>
      <c r="Q147" s="24"/>
      <c r="AZ147" s="2"/>
      <c r="BG147" s="7"/>
      <c r="BV147" s="7"/>
    </row>
    <row r="148" spans="1:74">
      <c r="A148" s="3"/>
      <c r="N148" s="2"/>
      <c r="Q148" s="24"/>
      <c r="AZ148" s="2"/>
      <c r="BG148" s="7"/>
      <c r="BV148" s="7"/>
    </row>
    <row r="149" spans="1:74">
      <c r="A149" s="3"/>
      <c r="N149" s="2"/>
      <c r="Q149" s="24"/>
      <c r="AZ149" s="2"/>
      <c r="BG149" s="7"/>
      <c r="BV149" s="7"/>
    </row>
    <row r="150" spans="1:74">
      <c r="A150" s="3"/>
      <c r="B150" s="3"/>
      <c r="N150" s="2"/>
      <c r="Q150" s="24"/>
      <c r="AZ150" s="2"/>
      <c r="BG150" s="7"/>
      <c r="BV150" s="7"/>
    </row>
    <row r="151" spans="1:74">
      <c r="B151" s="3"/>
      <c r="N151" s="2"/>
      <c r="Q151" s="24"/>
      <c r="AZ151" s="2"/>
      <c r="BG151" s="7"/>
      <c r="BV151" s="7"/>
    </row>
    <row r="152" spans="1:74">
      <c r="B152" s="3"/>
      <c r="N152" s="2"/>
      <c r="Q152" s="24"/>
      <c r="AZ152" s="2"/>
      <c r="BG152" s="7"/>
      <c r="BV152" s="7"/>
    </row>
    <row r="153" spans="1:74">
      <c r="B153" s="3"/>
      <c r="N153" s="2"/>
      <c r="Q153" s="24"/>
      <c r="AZ153" s="2"/>
      <c r="BG153" s="7"/>
      <c r="BV153" s="7"/>
    </row>
    <row r="154" spans="1:74">
      <c r="B154" s="3"/>
      <c r="N154" s="2"/>
      <c r="Q154" s="24"/>
      <c r="AZ154" s="2"/>
      <c r="BG154" s="7"/>
      <c r="BV154" s="7"/>
    </row>
    <row r="155" spans="1:74">
      <c r="B155" s="3"/>
      <c r="N155" s="2"/>
      <c r="Q155" s="24"/>
      <c r="AZ155" s="2"/>
      <c r="BG155" s="7"/>
      <c r="BV155" s="7"/>
    </row>
    <row r="156" spans="1:74">
      <c r="B156" s="3"/>
      <c r="N156" s="2"/>
      <c r="Q156" s="24"/>
      <c r="AZ156" s="2"/>
      <c r="BG156" s="7"/>
      <c r="BV156" s="7"/>
    </row>
    <row r="157" spans="1:74">
      <c r="B157" s="3"/>
      <c r="N157" s="2"/>
      <c r="Q157" s="24"/>
      <c r="AZ157" s="2"/>
      <c r="BG157" s="7"/>
      <c r="BV157" s="7"/>
    </row>
    <row r="158" spans="1:74">
      <c r="N158" s="2"/>
      <c r="Q158" s="24"/>
      <c r="AZ158" s="2"/>
      <c r="BG158" s="7"/>
      <c r="BV158" s="7"/>
    </row>
    <row r="159" spans="1:74">
      <c r="N159" s="2"/>
      <c r="Q159" s="24"/>
      <c r="AZ159" s="2"/>
      <c r="BG159" s="7"/>
      <c r="BV159" s="7"/>
    </row>
    <row r="160" spans="1:74">
      <c r="N160" s="2"/>
      <c r="Q160" s="24"/>
      <c r="AZ160" s="2"/>
      <c r="BG160" s="7"/>
      <c r="BV160" s="7"/>
    </row>
    <row r="161" spans="1:74">
      <c r="A161" s="3"/>
      <c r="B161" s="3"/>
      <c r="N161" s="2"/>
      <c r="Q161" s="24"/>
      <c r="AZ161" s="2"/>
      <c r="BG161" s="7"/>
      <c r="BV161" s="7"/>
    </row>
    <row r="162" spans="1:74">
      <c r="B162" s="3"/>
      <c r="N162" s="2"/>
      <c r="Q162" s="24"/>
      <c r="AZ162" s="2"/>
      <c r="BG162" s="7"/>
      <c r="BV162" s="7"/>
    </row>
    <row r="163" spans="1:74">
      <c r="N163" s="2"/>
      <c r="Q163" s="24"/>
      <c r="AZ163" s="2"/>
      <c r="BG163" s="7"/>
      <c r="BV163" s="7"/>
    </row>
    <row r="164" spans="1:74">
      <c r="N164" s="2"/>
      <c r="Q164" s="24"/>
      <c r="AZ164" s="2"/>
      <c r="BG164" s="7"/>
      <c r="BV164" s="7"/>
    </row>
    <row r="165" spans="1:74">
      <c r="N165" s="2"/>
      <c r="Q165" s="24"/>
      <c r="AZ165" s="2"/>
      <c r="BG165" s="7"/>
      <c r="BV165" s="7"/>
    </row>
    <row r="166" spans="1:74">
      <c r="N166" s="2"/>
      <c r="Q166" s="24"/>
      <c r="AZ166" s="2"/>
      <c r="BG166" s="7"/>
      <c r="BV166" s="7"/>
    </row>
    <row r="167" spans="1:74">
      <c r="N167" s="2"/>
      <c r="Q167" s="24"/>
      <c r="AZ167" s="2"/>
      <c r="BG167" s="7"/>
      <c r="BV167" s="7"/>
    </row>
    <row r="168" spans="1:74">
      <c r="A168" s="3"/>
      <c r="N168" s="2"/>
      <c r="Q168" s="24"/>
      <c r="AZ168" s="2"/>
      <c r="BG168" s="7"/>
      <c r="BV168" s="7"/>
    </row>
    <row r="169" spans="1:74">
      <c r="A169" s="3"/>
      <c r="N169" s="2"/>
      <c r="Q169" s="24"/>
      <c r="AZ169" s="2"/>
      <c r="BG169" s="7"/>
      <c r="BV169" s="7"/>
    </row>
    <row r="170" spans="1:74">
      <c r="A170" s="3"/>
      <c r="B170" s="3"/>
      <c r="N170" s="2"/>
      <c r="Q170" s="24"/>
      <c r="AZ170" s="2"/>
      <c r="BG170" s="7"/>
      <c r="BV170" s="7"/>
    </row>
    <row r="171" spans="1:74">
      <c r="B171" s="3"/>
      <c r="N171" s="2"/>
      <c r="Q171" s="24"/>
      <c r="AZ171" s="2"/>
      <c r="BG171" s="7"/>
      <c r="BV171" s="7"/>
    </row>
    <row r="172" spans="1:74">
      <c r="A172" s="3"/>
      <c r="B172" s="3"/>
      <c r="N172" s="2"/>
      <c r="Q172" s="24"/>
      <c r="AZ172" s="2"/>
      <c r="BG172" s="7"/>
      <c r="BV172" s="7"/>
    </row>
    <row r="173" spans="1:74">
      <c r="N173" s="2"/>
      <c r="Q173" s="24"/>
      <c r="AZ173" s="2"/>
      <c r="BG173" s="7"/>
      <c r="BV173" s="7"/>
    </row>
    <row r="174" spans="1:74">
      <c r="N174" s="2"/>
      <c r="Q174" s="24"/>
      <c r="AZ174" s="2"/>
      <c r="BG174" s="7"/>
      <c r="BV174" s="7"/>
    </row>
    <row r="175" spans="1:74">
      <c r="AZ175" s="2"/>
      <c r="BC175" s="7"/>
    </row>
    <row r="176" spans="1:74">
      <c r="AZ176" s="2"/>
      <c r="BC176" s="7"/>
    </row>
    <row r="177" spans="52:55">
      <c r="AZ177" s="2"/>
      <c r="BC177" s="7"/>
    </row>
    <row r="178" spans="52:55">
      <c r="AZ178" s="2"/>
      <c r="BC178" s="7"/>
    </row>
    <row r="179" spans="52:55">
      <c r="AZ179" s="2"/>
      <c r="BC179" s="7"/>
    </row>
    <row r="180" spans="52:55">
      <c r="AZ180" s="2"/>
      <c r="BC180" s="7"/>
    </row>
    <row r="181" spans="52:55">
      <c r="AZ181" s="2"/>
      <c r="BC181" s="7"/>
    </row>
    <row r="182" spans="52:55">
      <c r="AZ182" s="2"/>
      <c r="BC182" s="7"/>
    </row>
    <row r="183" spans="52:55">
      <c r="AZ183" s="2"/>
      <c r="BC183" s="7"/>
    </row>
    <row r="184" spans="52:55">
      <c r="AZ184" s="2"/>
      <c r="BC184" s="7"/>
    </row>
    <row r="185" spans="52:55">
      <c r="AZ185" s="2"/>
      <c r="BC185" s="7"/>
    </row>
    <row r="186" spans="52:55">
      <c r="AZ186" s="2"/>
      <c r="BC186" s="7"/>
    </row>
    <row r="187" spans="52:55">
      <c r="AZ187" s="2"/>
      <c r="BC187" s="7"/>
    </row>
    <row r="188" spans="52:55">
      <c r="AZ188" s="2"/>
      <c r="BC188" s="7"/>
    </row>
    <row r="189" spans="52:55">
      <c r="AZ189" s="2"/>
      <c r="BC189" s="7"/>
    </row>
    <row r="190" spans="52:55">
      <c r="AZ190" s="2"/>
      <c r="BC190" s="7"/>
    </row>
    <row r="191" spans="52:55">
      <c r="AZ191" s="2"/>
      <c r="BC191" s="7"/>
    </row>
    <row r="192" spans="52:55">
      <c r="AZ192" s="2"/>
      <c r="BC192" s="7"/>
    </row>
    <row r="193" spans="52:55">
      <c r="AZ193" s="2"/>
      <c r="BC193" s="7"/>
    </row>
    <row r="194" spans="52:55">
      <c r="AZ194" s="2"/>
      <c r="BC194" s="7"/>
    </row>
    <row r="195" spans="52:55">
      <c r="AZ195" s="2"/>
      <c r="BC195" s="7"/>
    </row>
    <row r="196" spans="52:55">
      <c r="AZ196" s="2"/>
      <c r="BC196" s="7"/>
    </row>
    <row r="197" spans="52:55">
      <c r="AZ197" s="2"/>
      <c r="BC197" s="7"/>
    </row>
    <row r="198" spans="52:55">
      <c r="AZ198" s="2"/>
      <c r="BC198" s="7"/>
    </row>
    <row r="199" spans="52:55">
      <c r="AZ199" s="2"/>
      <c r="BC199" s="7"/>
    </row>
    <row r="200" spans="52:55">
      <c r="AZ200" s="2"/>
      <c r="BC200" s="7"/>
    </row>
    <row r="201" spans="52:55">
      <c r="AZ201" s="2"/>
      <c r="BC201" s="7"/>
    </row>
    <row r="202" spans="52:55">
      <c r="AZ202" s="2"/>
      <c r="BC202" s="7"/>
    </row>
    <row r="203" spans="52:55">
      <c r="AZ203" s="2"/>
      <c r="BC203" s="7"/>
    </row>
    <row r="204" spans="52:55">
      <c r="AZ204" s="2"/>
      <c r="BC204" s="7"/>
    </row>
    <row r="205" spans="52:55">
      <c r="AZ205" s="2"/>
      <c r="BC205" s="7"/>
    </row>
    <row r="206" spans="52:55">
      <c r="AZ206" s="2"/>
      <c r="BC206" s="7"/>
    </row>
    <row r="207" spans="52:55">
      <c r="AZ207" s="2"/>
      <c r="BC207" s="7"/>
    </row>
    <row r="208" spans="52:55">
      <c r="AZ208" s="2"/>
      <c r="BC208" s="7"/>
    </row>
    <row r="209" spans="52:55">
      <c r="AZ209" s="2"/>
      <c r="BC209" s="7"/>
    </row>
    <row r="210" spans="52:55">
      <c r="AZ210" s="2"/>
      <c r="BC210" s="7"/>
    </row>
    <row r="211" spans="52:55">
      <c r="AZ211" s="2"/>
      <c r="BC211" s="7"/>
    </row>
    <row r="212" spans="52:55">
      <c r="AZ212" s="2"/>
      <c r="BC212" s="7"/>
    </row>
    <row r="213" spans="52:55">
      <c r="AZ213" s="2"/>
      <c r="BC213" s="7"/>
    </row>
    <row r="214" spans="52:55">
      <c r="AZ214" s="2"/>
      <c r="BC214" s="7"/>
    </row>
    <row r="215" spans="52:55">
      <c r="AZ215" s="2"/>
      <c r="BC215" s="7"/>
    </row>
    <row r="216" spans="52:55">
      <c r="AZ216" s="2"/>
      <c r="BC216" s="7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AA20"/>
  <sheetViews>
    <sheetView showGridLines="0" zoomScaleNormal="100" workbookViewId="0">
      <pane xSplit="2" ySplit="8" topLeftCell="C9" activePane="bottomRight" state="frozen"/>
      <selection activeCell="C32" sqref="C32"/>
      <selection pane="topRight" activeCell="C32" sqref="C32"/>
      <selection pane="bottomLeft" activeCell="C32" sqref="C32"/>
      <selection pane="bottomRight" activeCell="C9" sqref="C9"/>
    </sheetView>
  </sheetViews>
  <sheetFormatPr defaultColWidth="9.140625" defaultRowHeight="12.75"/>
  <cols>
    <col min="1" max="1" width="37.140625" style="143" customWidth="1"/>
    <col min="2" max="2" width="8.5703125" style="143" customWidth="1"/>
    <col min="3" max="3" width="9" style="143" customWidth="1"/>
    <col min="4" max="4" width="7.42578125" style="143" bestFit="1" customWidth="1"/>
    <col min="5" max="6" width="9.7109375" style="143" bestFit="1" customWidth="1"/>
    <col min="7" max="7" width="9.42578125" style="143" bestFit="1" customWidth="1"/>
    <col min="8" max="8" width="11.42578125" style="143" hidden="1" customWidth="1"/>
    <col min="9" max="9" width="12.5703125" style="143" hidden="1" customWidth="1"/>
    <col min="10" max="10" width="9.28515625" style="143" hidden="1" customWidth="1"/>
    <col min="11" max="11" width="7.28515625" style="143" hidden="1" customWidth="1"/>
    <col min="12" max="12" width="9.28515625" style="143" hidden="1" customWidth="1"/>
    <col min="13" max="13" width="7.42578125" style="143" hidden="1" customWidth="1"/>
    <col min="14" max="14" width="10.5703125" style="143" hidden="1" customWidth="1"/>
    <col min="15" max="15" width="9.42578125" style="143" hidden="1" customWidth="1"/>
    <col min="16" max="16" width="30" style="143" hidden="1" customWidth="1"/>
    <col min="17" max="17" width="19.5703125" style="143" hidden="1" customWidth="1"/>
    <col min="18" max="18" width="11.140625" style="143" hidden="1" customWidth="1"/>
    <col min="19" max="21" width="9.140625" style="143" hidden="1" customWidth="1"/>
    <col min="22" max="16384" width="9.140625" style="143"/>
  </cols>
  <sheetData>
    <row r="1" spans="1:27">
      <c r="A1" s="194" t="s">
        <v>308</v>
      </c>
      <c r="B1" s="194"/>
    </row>
    <row r="2" spans="1:27">
      <c r="A2" s="194" t="s">
        <v>228</v>
      </c>
      <c r="B2" s="194"/>
    </row>
    <row r="3" spans="1:27">
      <c r="A3" s="194"/>
      <c r="C3" s="195"/>
      <c r="D3" s="195"/>
      <c r="E3" s="195"/>
      <c r="F3" s="195"/>
      <c r="G3" s="196"/>
      <c r="H3" s="196"/>
      <c r="I3" s="195" t="s">
        <v>229</v>
      </c>
      <c r="J3" s="195"/>
      <c r="K3" s="195"/>
      <c r="L3" s="195"/>
      <c r="M3" s="195"/>
      <c r="N3" s="195"/>
      <c r="O3" s="195"/>
      <c r="AA3" s="151"/>
    </row>
    <row r="4" spans="1:27">
      <c r="A4" s="194"/>
      <c r="B4" s="194"/>
      <c r="C4" s="197"/>
      <c r="D4" s="197"/>
      <c r="E4" s="197"/>
      <c r="F4" s="198"/>
      <c r="I4" s="194"/>
      <c r="J4" s="194"/>
      <c r="K4" s="194"/>
      <c r="L4" s="194"/>
      <c r="M4" s="194"/>
      <c r="N4" s="194"/>
      <c r="O4" s="194"/>
      <c r="AA4" s="151"/>
    </row>
    <row r="5" spans="1:27">
      <c r="A5" s="199"/>
      <c r="B5" s="199"/>
      <c r="H5" s="198" t="s">
        <v>204</v>
      </c>
      <c r="M5" s="198" t="s">
        <v>240</v>
      </c>
      <c r="N5" s="198" t="s">
        <v>20</v>
      </c>
      <c r="O5" s="198"/>
    </row>
    <row r="6" spans="1:27" s="198" customFormat="1">
      <c r="C6" s="198" t="s">
        <v>322</v>
      </c>
      <c r="F6" s="198" t="s">
        <v>204</v>
      </c>
      <c r="G6" s="198" t="s">
        <v>204</v>
      </c>
      <c r="H6" s="198" t="s">
        <v>230</v>
      </c>
      <c r="L6" s="198" t="s">
        <v>324</v>
      </c>
      <c r="M6" s="198" t="s">
        <v>20</v>
      </c>
      <c r="N6" s="198" t="s">
        <v>231</v>
      </c>
      <c r="O6" s="198" t="s">
        <v>375</v>
      </c>
    </row>
    <row r="7" spans="1:27" s="198" customFormat="1">
      <c r="B7" s="198" t="s">
        <v>199</v>
      </c>
      <c r="C7" s="198" t="s">
        <v>321</v>
      </c>
      <c r="D7" s="198" t="s">
        <v>219</v>
      </c>
      <c r="E7" s="198" t="s">
        <v>232</v>
      </c>
      <c r="F7" s="198" t="s">
        <v>233</v>
      </c>
      <c r="G7" s="198" t="s">
        <v>234</v>
      </c>
      <c r="H7" s="198" t="s">
        <v>14</v>
      </c>
      <c r="I7" s="198" t="s">
        <v>235</v>
      </c>
      <c r="J7" s="198" t="s">
        <v>236</v>
      </c>
      <c r="K7" s="198" t="s">
        <v>323</v>
      </c>
      <c r="L7" s="198" t="s">
        <v>118</v>
      </c>
      <c r="M7" s="198" t="s">
        <v>237</v>
      </c>
      <c r="N7" s="198" t="s">
        <v>238</v>
      </c>
      <c r="O7" s="198" t="s">
        <v>376</v>
      </c>
      <c r="R7" s="198" t="s">
        <v>20</v>
      </c>
    </row>
    <row r="8" spans="1:27" s="198" customFormat="1">
      <c r="A8" s="200" t="s">
        <v>436</v>
      </c>
      <c r="B8" s="200" t="s">
        <v>239</v>
      </c>
      <c r="C8" s="200">
        <f>+'Total Program Inputs'!C6</f>
        <v>2025</v>
      </c>
      <c r="D8" s="200" t="s">
        <v>223</v>
      </c>
      <c r="E8" s="200" t="s">
        <v>241</v>
      </c>
      <c r="F8" s="200" t="s">
        <v>241</v>
      </c>
      <c r="G8" s="200" t="s">
        <v>242</v>
      </c>
      <c r="H8" s="200" t="s">
        <v>243</v>
      </c>
      <c r="I8" s="200" t="s">
        <v>244</v>
      </c>
      <c r="J8" s="200" t="s">
        <v>245</v>
      </c>
      <c r="K8" s="200" t="s">
        <v>215</v>
      </c>
      <c r="L8" s="200" t="s">
        <v>243</v>
      </c>
      <c r="M8" s="200" t="s">
        <v>15</v>
      </c>
      <c r="N8" s="200" t="s">
        <v>15</v>
      </c>
      <c r="O8" s="200" t="s">
        <v>215</v>
      </c>
      <c r="P8" s="200" t="s">
        <v>246</v>
      </c>
      <c r="Q8" s="200" t="s">
        <v>247</v>
      </c>
      <c r="R8" s="198" t="s">
        <v>25</v>
      </c>
    </row>
    <row r="9" spans="1:27" s="198" customFormat="1">
      <c r="A9" s="197" t="s">
        <v>117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1" t="s">
        <v>240</v>
      </c>
      <c r="S9" s="201"/>
      <c r="T9" s="201"/>
    </row>
    <row r="10" spans="1:27">
      <c r="A10" s="143" t="s">
        <v>312</v>
      </c>
      <c r="B10" s="144" t="s">
        <v>326</v>
      </c>
      <c r="C10" s="145">
        <f>+'Total Program Inputs'!E11</f>
        <v>44</v>
      </c>
      <c r="D10" s="145">
        <v>20</v>
      </c>
      <c r="E10" s="144">
        <v>90</v>
      </c>
      <c r="F10" s="144">
        <v>95</v>
      </c>
      <c r="G10" s="146">
        <f>+'Total Program Inputs'!S11</f>
        <v>6.4</v>
      </c>
      <c r="H10" s="146">
        <v>0</v>
      </c>
      <c r="I10" s="319">
        <v>1380</v>
      </c>
      <c r="J10" s="319">
        <v>2000</v>
      </c>
      <c r="K10" s="291">
        <v>165</v>
      </c>
      <c r="L10" s="291">
        <v>150</v>
      </c>
      <c r="M10" s="175">
        <f>+'Res .95+% Res Furnace - NEW'!$F$11</f>
        <v>2229</v>
      </c>
      <c r="N10" s="175">
        <v>0</v>
      </c>
      <c r="O10" s="291">
        <f>+'Total Program Inputs'!M11</f>
        <v>2229</v>
      </c>
      <c r="P10" s="144" t="s">
        <v>249</v>
      </c>
      <c r="Q10" s="144" t="s">
        <v>248</v>
      </c>
      <c r="R10" s="177">
        <f>ROUND(L10*C10,0)</f>
        <v>6600</v>
      </c>
      <c r="S10" s="177"/>
      <c r="T10" s="177"/>
      <c r="V10" s="286" t="s">
        <v>440</v>
      </c>
    </row>
    <row r="11" spans="1:27">
      <c r="A11" s="143" t="s">
        <v>313</v>
      </c>
      <c r="B11" s="144" t="s">
        <v>326</v>
      </c>
      <c r="C11" s="145">
        <f>+'Total Program Inputs'!E12</f>
        <v>143</v>
      </c>
      <c r="D11" s="145">
        <v>20</v>
      </c>
      <c r="E11" s="144">
        <v>80</v>
      </c>
      <c r="F11" s="144">
        <v>95</v>
      </c>
      <c r="G11" s="146">
        <f>+'Total Program Inputs'!S12</f>
        <v>20.6</v>
      </c>
      <c r="H11" s="146">
        <v>720</v>
      </c>
      <c r="I11" s="319">
        <v>880</v>
      </c>
      <c r="J11" s="319">
        <v>2000</v>
      </c>
      <c r="K11" s="175">
        <v>736</v>
      </c>
      <c r="L11" s="175">
        <v>300</v>
      </c>
      <c r="M11" s="175">
        <f>+'Res .95+% Res Furnace - Replace'!$F$11</f>
        <v>14490</v>
      </c>
      <c r="N11" s="175">
        <v>0</v>
      </c>
      <c r="O11" s="175">
        <f>+'Total Program Inputs'!M12</f>
        <v>14490</v>
      </c>
      <c r="P11" s="144" t="s">
        <v>249</v>
      </c>
      <c r="Q11" s="144" t="s">
        <v>248</v>
      </c>
      <c r="R11" s="177">
        <f>ROUND(L11*C11,0)</f>
        <v>42900</v>
      </c>
      <c r="S11" s="177"/>
      <c r="T11" s="177"/>
      <c r="V11" s="286" t="s">
        <v>440</v>
      </c>
    </row>
    <row r="12" spans="1:27">
      <c r="A12" s="143" t="s">
        <v>328</v>
      </c>
      <c r="B12" s="144" t="s">
        <v>326</v>
      </c>
      <c r="C12" s="145">
        <f>+'Total Program Inputs'!E13</f>
        <v>35</v>
      </c>
      <c r="D12" s="145">
        <v>10</v>
      </c>
      <c r="E12" s="144" t="s">
        <v>115</v>
      </c>
      <c r="F12" s="144" t="s">
        <v>115</v>
      </c>
      <c r="G12" s="146">
        <f>+'Total Program Inputs'!S13</f>
        <v>2.2999999999999998</v>
      </c>
      <c r="H12" s="146">
        <v>0</v>
      </c>
      <c r="I12" s="320" t="s">
        <v>115</v>
      </c>
      <c r="J12" s="320" t="s">
        <v>115</v>
      </c>
      <c r="K12" s="176">
        <v>30</v>
      </c>
      <c r="L12" s="176">
        <v>15</v>
      </c>
      <c r="M12" s="176">
        <f>'Programmable Tstats - Tier 1'!$F$11</f>
        <v>177</v>
      </c>
      <c r="N12" s="176">
        <v>0</v>
      </c>
      <c r="O12" s="175">
        <f>+'Total Program Inputs'!M13</f>
        <v>177</v>
      </c>
      <c r="P12" s="143" t="s">
        <v>286</v>
      </c>
      <c r="Q12" s="143" t="s">
        <v>287</v>
      </c>
      <c r="R12" s="177">
        <f>ROUND(L12*C12,0)</f>
        <v>525</v>
      </c>
      <c r="S12" s="177"/>
      <c r="T12" s="177"/>
    </row>
    <row r="13" spans="1:27">
      <c r="A13" s="143" t="s">
        <v>327</v>
      </c>
      <c r="B13" s="144" t="s">
        <v>326</v>
      </c>
      <c r="C13" s="145">
        <f>+'Total Program Inputs'!E14</f>
        <v>123</v>
      </c>
      <c r="D13" s="145">
        <v>10</v>
      </c>
      <c r="E13" s="144" t="s">
        <v>115</v>
      </c>
      <c r="F13" s="144" t="s">
        <v>115</v>
      </c>
      <c r="G13" s="146">
        <f>+'Total Program Inputs'!S14</f>
        <v>6.3</v>
      </c>
      <c r="H13" s="146">
        <v>41</v>
      </c>
      <c r="I13" s="319"/>
      <c r="J13" s="319"/>
      <c r="K13" s="175">
        <f>0.35*91+0.65*189</f>
        <v>154.70000000000002</v>
      </c>
      <c r="L13" s="175">
        <v>60</v>
      </c>
      <c r="M13" s="175"/>
      <c r="N13" s="175"/>
      <c r="O13" s="175">
        <f>+'Total Program Inputs'!M14</f>
        <v>2484</v>
      </c>
      <c r="P13" s="144"/>
      <c r="Q13" s="144"/>
      <c r="R13" s="177"/>
      <c r="S13" s="177"/>
      <c r="T13" s="177"/>
      <c r="V13" s="143" t="s">
        <v>434</v>
      </c>
    </row>
    <row r="14" spans="1:27" hidden="1">
      <c r="A14" s="143" t="s">
        <v>329</v>
      </c>
      <c r="B14" s="144" t="s">
        <v>326</v>
      </c>
      <c r="C14" s="145">
        <v>0</v>
      </c>
      <c r="D14" s="145">
        <v>0</v>
      </c>
      <c r="E14" s="144">
        <v>0</v>
      </c>
      <c r="F14" s="144">
        <v>0</v>
      </c>
      <c r="G14" s="146">
        <v>0</v>
      </c>
      <c r="H14" s="146">
        <v>0</v>
      </c>
      <c r="I14" s="319"/>
      <c r="J14" s="319"/>
      <c r="K14" s="175">
        <v>0</v>
      </c>
      <c r="L14" s="175">
        <v>0</v>
      </c>
      <c r="M14" s="175"/>
      <c r="N14" s="175"/>
      <c r="O14" s="175">
        <v>0</v>
      </c>
      <c r="P14" s="144"/>
      <c r="Q14" s="144"/>
      <c r="R14" s="177"/>
      <c r="S14" s="177"/>
      <c r="T14" s="177"/>
    </row>
    <row r="15" spans="1:27">
      <c r="A15" s="194" t="s">
        <v>262</v>
      </c>
      <c r="B15" s="144"/>
      <c r="C15" s="145"/>
      <c r="D15" s="145"/>
      <c r="E15" s="144"/>
      <c r="F15" s="144"/>
      <c r="G15" s="146"/>
      <c r="H15" s="146"/>
      <c r="I15" s="319"/>
      <c r="J15" s="319"/>
      <c r="K15" s="175"/>
      <c r="L15" s="175"/>
      <c r="M15" s="175"/>
      <c r="N15" s="175"/>
      <c r="O15" s="175"/>
      <c r="P15" s="144"/>
      <c r="Q15" s="144"/>
      <c r="R15" s="177"/>
      <c r="S15" s="177"/>
      <c r="T15" s="177"/>
    </row>
    <row r="16" spans="1:27">
      <c r="A16" s="143" t="s">
        <v>312</v>
      </c>
      <c r="B16" s="144" t="s">
        <v>325</v>
      </c>
      <c r="C16" s="145">
        <f>+'Total Program Inputs'!E18</f>
        <v>2</v>
      </c>
      <c r="D16" s="145">
        <v>20</v>
      </c>
      <c r="E16" s="144">
        <v>90</v>
      </c>
      <c r="F16" s="144">
        <v>95</v>
      </c>
      <c r="G16" s="146">
        <f>+'Total Program Inputs'!S18</f>
        <v>5</v>
      </c>
      <c r="H16" s="146">
        <v>0</v>
      </c>
      <c r="I16" s="319">
        <v>880</v>
      </c>
      <c r="J16" s="319">
        <v>2000</v>
      </c>
      <c r="K16" s="175">
        <v>165</v>
      </c>
      <c r="L16" s="175">
        <v>150</v>
      </c>
      <c r="M16" s="175">
        <f>+'Comm 95+% Furnace - NEW'!$F$11</f>
        <v>102</v>
      </c>
      <c r="N16" s="175">
        <v>0</v>
      </c>
      <c r="O16" s="175">
        <f>+'Total Program Inputs'!M18</f>
        <v>102</v>
      </c>
      <c r="P16" s="144" t="s">
        <v>249</v>
      </c>
      <c r="Q16" s="144" t="s">
        <v>288</v>
      </c>
      <c r="R16" s="177">
        <f>ROUND(L16*C16,0)</f>
        <v>300</v>
      </c>
      <c r="S16" s="177"/>
      <c r="T16" s="177"/>
      <c r="V16" s="286" t="s">
        <v>440</v>
      </c>
    </row>
    <row r="17" spans="1:22">
      <c r="A17" s="143" t="s">
        <v>313</v>
      </c>
      <c r="B17" s="144" t="s">
        <v>325</v>
      </c>
      <c r="C17" s="145">
        <f>+'Total Program Inputs'!E19</f>
        <v>9</v>
      </c>
      <c r="D17" s="145">
        <v>20</v>
      </c>
      <c r="E17" s="144">
        <v>80</v>
      </c>
      <c r="F17" s="144">
        <v>95</v>
      </c>
      <c r="G17" s="146">
        <f>+'Total Program Inputs'!S19</f>
        <v>24.8</v>
      </c>
      <c r="H17" s="146">
        <v>0</v>
      </c>
      <c r="I17" s="319">
        <v>880</v>
      </c>
      <c r="J17" s="319">
        <v>2000</v>
      </c>
      <c r="K17" s="175">
        <v>736</v>
      </c>
      <c r="L17" s="175">
        <v>300</v>
      </c>
      <c r="M17" s="175">
        <f>+'Comm 95+% Furnace - Replace'!$F$11</f>
        <v>912</v>
      </c>
      <c r="N17" s="175">
        <v>0</v>
      </c>
      <c r="O17" s="175">
        <f>+'Total Program Inputs'!M19</f>
        <v>912</v>
      </c>
      <c r="P17" s="144" t="s">
        <v>249</v>
      </c>
      <c r="Q17" s="144" t="s">
        <v>288</v>
      </c>
      <c r="R17" s="177">
        <f>ROUND(L17*C17,0)</f>
        <v>2700</v>
      </c>
      <c r="S17" s="177"/>
      <c r="T17" s="177"/>
      <c r="V17" s="286" t="s">
        <v>440</v>
      </c>
    </row>
    <row r="18" spans="1:22">
      <c r="A18" s="143" t="s">
        <v>254</v>
      </c>
      <c r="B18" s="144" t="s">
        <v>325</v>
      </c>
      <c r="C18" s="145">
        <f>+'Total Program Inputs'!E20</f>
        <v>0</v>
      </c>
      <c r="D18" s="145">
        <v>15</v>
      </c>
      <c r="E18" s="144" t="s">
        <v>115</v>
      </c>
      <c r="F18" s="144" t="s">
        <v>115</v>
      </c>
      <c r="G18" s="146">
        <f>+'Total Program Inputs'!S20</f>
        <v>0</v>
      </c>
      <c r="H18" s="146">
        <v>0</v>
      </c>
      <c r="I18" s="319" t="s">
        <v>115</v>
      </c>
      <c r="J18" s="319" t="s">
        <v>115</v>
      </c>
      <c r="K18" s="175">
        <v>7750</v>
      </c>
      <c r="L18" s="175">
        <v>3000</v>
      </c>
      <c r="M18" s="175">
        <f>+'Comm Custom'!F11</f>
        <v>0</v>
      </c>
      <c r="N18" s="175">
        <v>0</v>
      </c>
      <c r="O18" s="175">
        <f>+'Total Program Inputs'!M20</f>
        <v>0</v>
      </c>
      <c r="P18" s="144"/>
      <c r="R18" s="177">
        <f>ROUND(L18*C18,0)</f>
        <v>0</v>
      </c>
      <c r="S18" s="177"/>
      <c r="T18" s="177"/>
    </row>
    <row r="19" spans="1:22" ht="13.5" thickBot="1">
      <c r="A19" s="202" t="s">
        <v>116</v>
      </c>
      <c r="B19" s="203">
        <f>SUM(C19:C19)</f>
        <v>356</v>
      </c>
      <c r="C19" s="203">
        <f>SUM(C10:C18)</f>
        <v>356</v>
      </c>
      <c r="D19" s="204"/>
      <c r="E19" s="194"/>
      <c r="F19" s="194"/>
      <c r="G19" s="194"/>
      <c r="H19" s="194"/>
      <c r="I19" s="194"/>
      <c r="J19" s="194"/>
      <c r="K19" s="205"/>
      <c r="L19" s="194"/>
      <c r="M19" s="205"/>
      <c r="N19" s="194"/>
      <c r="O19" s="194"/>
      <c r="P19" s="198"/>
      <c r="Q19" s="206" t="s">
        <v>289</v>
      </c>
      <c r="R19" s="207"/>
      <c r="S19" s="207"/>
      <c r="T19" s="207"/>
    </row>
    <row r="20" spans="1:22" ht="13.5" thickTop="1">
      <c r="Q20" s="206" t="s">
        <v>276</v>
      </c>
      <c r="R20" s="178"/>
      <c r="S20" s="178"/>
      <c r="T20" s="178"/>
    </row>
  </sheetData>
  <pageMargins left="0.65" right="0.52" top="1" bottom="0.25" header="0.99" footer="0.3"/>
  <pageSetup scale="90" fitToWidth="2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88"/>
  <sheetViews>
    <sheetView showGridLines="0" zoomScaleNormal="100" workbookViewId="0">
      <selection activeCell="D27" sqref="D27"/>
    </sheetView>
  </sheetViews>
  <sheetFormatPr defaultColWidth="10.42578125" defaultRowHeight="12.75"/>
  <cols>
    <col min="1" max="1" width="9.140625" style="163" bestFit="1" customWidth="1"/>
    <col min="2" max="2" width="38.28515625" style="163" customWidth="1"/>
    <col min="3" max="3" width="62" style="163" bestFit="1" customWidth="1"/>
    <col min="4" max="4" width="10.28515625" style="163" bestFit="1" customWidth="1"/>
    <col min="5" max="5" width="11" style="163" bestFit="1" customWidth="1"/>
    <col min="6" max="16384" width="10.42578125" style="163"/>
  </cols>
  <sheetData>
    <row r="1" spans="1:7">
      <c r="A1" s="161" t="s">
        <v>94</v>
      </c>
      <c r="B1" s="162"/>
      <c r="C1" s="161"/>
      <c r="D1" s="162"/>
      <c r="E1" s="162"/>
    </row>
    <row r="2" spans="1:7">
      <c r="A2" s="161" t="s">
        <v>460</v>
      </c>
      <c r="B2" s="162"/>
      <c r="C2" s="161"/>
      <c r="D2" s="162"/>
      <c r="E2" s="162"/>
    </row>
    <row r="3" spans="1:7">
      <c r="A3" s="161" t="s">
        <v>311</v>
      </c>
      <c r="B3" s="162"/>
      <c r="C3" s="162"/>
      <c r="D3" s="162"/>
      <c r="E3" s="162"/>
    </row>
    <row r="4" spans="1:7">
      <c r="A4" s="162"/>
      <c r="B4" s="161"/>
      <c r="C4" s="161"/>
    </row>
    <row r="6" spans="1:7">
      <c r="A6" s="164" t="s">
        <v>168</v>
      </c>
      <c r="B6" s="164" t="s">
        <v>169</v>
      </c>
      <c r="C6" s="164" t="s">
        <v>170</v>
      </c>
      <c r="D6" s="164" t="s">
        <v>310</v>
      </c>
      <c r="E6" s="164" t="s">
        <v>304</v>
      </c>
    </row>
    <row r="7" spans="1:7" ht="25.5">
      <c r="A7" s="165">
        <v>1</v>
      </c>
      <c r="B7" s="147" t="s">
        <v>171</v>
      </c>
      <c r="C7" s="147" t="s">
        <v>461</v>
      </c>
      <c r="D7" s="230">
        <f>+'Gas Costs'!C11</f>
        <v>8.3550000000000004</v>
      </c>
      <c r="E7" s="230">
        <f>+'Gas Costs'!E11</f>
        <v>6.9710000000000001</v>
      </c>
      <c r="F7" s="225"/>
    </row>
    <row r="8" spans="1:7">
      <c r="A8" s="165"/>
      <c r="B8" s="147" t="s">
        <v>291</v>
      </c>
      <c r="C8" s="147"/>
      <c r="D8" s="239">
        <v>0.03</v>
      </c>
      <c r="E8" s="239">
        <v>0.03</v>
      </c>
      <c r="G8" s="225"/>
    </row>
    <row r="9" spans="1:7" ht="38.25">
      <c r="A9" s="166">
        <v>2</v>
      </c>
      <c r="B9" s="167" t="s">
        <v>172</v>
      </c>
      <c r="C9" s="147" t="s">
        <v>206</v>
      </c>
      <c r="D9" s="230">
        <f>+'Gas Costs'!G41</f>
        <v>0.13497000000000001</v>
      </c>
      <c r="E9" s="230">
        <f>+'Gas Costs'!G54</f>
        <v>0.13053000000000001</v>
      </c>
      <c r="F9" s="225"/>
    </row>
    <row r="10" spans="1:7">
      <c r="A10" s="166"/>
      <c r="B10" s="167" t="s">
        <v>291</v>
      </c>
      <c r="C10" s="147"/>
      <c r="D10" s="239">
        <v>0.03</v>
      </c>
      <c r="E10" s="239">
        <v>0.03</v>
      </c>
      <c r="G10" s="225"/>
    </row>
    <row r="11" spans="1:7">
      <c r="A11" s="166"/>
      <c r="B11" s="167" t="s">
        <v>303</v>
      </c>
      <c r="C11" s="147"/>
      <c r="D11" s="147" t="s">
        <v>458</v>
      </c>
      <c r="E11" s="147" t="s">
        <v>458</v>
      </c>
    </row>
    <row r="12" spans="1:7" ht="25.5">
      <c r="A12" s="165">
        <v>3</v>
      </c>
      <c r="B12" s="168" t="s">
        <v>173</v>
      </c>
      <c r="C12" s="147" t="s">
        <v>462</v>
      </c>
      <c r="D12" s="230">
        <f>+'Gas Costs'!C20</f>
        <v>3.4159999999999999</v>
      </c>
      <c r="E12" s="230">
        <f>+D12</f>
        <v>3.4159999999999999</v>
      </c>
      <c r="F12" s="225"/>
    </row>
    <row r="13" spans="1:7">
      <c r="A13" s="165"/>
      <c r="B13" s="168" t="s">
        <v>291</v>
      </c>
      <c r="C13" s="147"/>
      <c r="D13" s="239">
        <v>0.03</v>
      </c>
      <c r="E13" s="239">
        <v>0.03</v>
      </c>
      <c r="G13" s="225"/>
    </row>
    <row r="14" spans="1:7">
      <c r="A14" s="165">
        <v>4</v>
      </c>
      <c r="B14" s="168" t="s">
        <v>174</v>
      </c>
      <c r="C14" s="147" t="s">
        <v>175</v>
      </c>
      <c r="D14" s="231">
        <f>+'Gas Costs'!C25</f>
        <v>175.3</v>
      </c>
      <c r="E14" s="231">
        <f>+D14</f>
        <v>175.3</v>
      </c>
      <c r="F14" s="225"/>
    </row>
    <row r="15" spans="1:7">
      <c r="A15" s="165"/>
      <c r="B15" s="168" t="s">
        <v>291</v>
      </c>
      <c r="C15" s="147"/>
      <c r="D15" s="239">
        <v>0.01</v>
      </c>
      <c r="E15" s="239">
        <v>0.01</v>
      </c>
      <c r="G15" s="225"/>
    </row>
    <row r="16" spans="1:7" ht="25.5">
      <c r="A16" s="165">
        <v>5</v>
      </c>
      <c r="B16" s="168" t="s">
        <v>176</v>
      </c>
      <c r="C16" s="147" t="s">
        <v>213</v>
      </c>
      <c r="D16" s="240">
        <v>0.01</v>
      </c>
      <c r="E16" s="240">
        <v>0.01</v>
      </c>
      <c r="G16" s="225"/>
    </row>
    <row r="17" spans="1:7" ht="25.5">
      <c r="A17" s="165">
        <v>6</v>
      </c>
      <c r="B17" s="169" t="s">
        <v>177</v>
      </c>
      <c r="C17" s="147" t="s">
        <v>178</v>
      </c>
      <c r="D17" s="232">
        <v>0</v>
      </c>
      <c r="E17" s="232">
        <v>0</v>
      </c>
      <c r="G17" s="225"/>
    </row>
    <row r="18" spans="1:7">
      <c r="A18" s="165"/>
      <c r="B18" s="169" t="s">
        <v>291</v>
      </c>
      <c r="C18" s="147"/>
      <c r="D18" s="239">
        <v>0</v>
      </c>
      <c r="E18" s="239">
        <v>0</v>
      </c>
      <c r="G18" s="225"/>
    </row>
    <row r="19" spans="1:7" ht="38.25">
      <c r="A19" s="166">
        <v>7</v>
      </c>
      <c r="B19" s="170" t="s">
        <v>179</v>
      </c>
      <c r="C19" s="147" t="s">
        <v>210</v>
      </c>
      <c r="D19" s="238">
        <f>+'Gas Costs'!B56</f>
        <v>2.7300000000000001E-2</v>
      </c>
      <c r="E19" s="238">
        <f>+D19</f>
        <v>2.7300000000000001E-2</v>
      </c>
      <c r="F19" s="225"/>
    </row>
    <row r="20" spans="1:7">
      <c r="A20" s="166"/>
      <c r="B20" s="170" t="s">
        <v>291</v>
      </c>
      <c r="C20" s="147"/>
      <c r="D20" s="241">
        <v>0.03</v>
      </c>
      <c r="E20" s="241">
        <v>0.03</v>
      </c>
      <c r="G20" s="225"/>
    </row>
    <row r="21" spans="1:7" ht="25.5">
      <c r="A21" s="165">
        <v>8</v>
      </c>
      <c r="B21" s="169" t="s">
        <v>180</v>
      </c>
      <c r="C21" s="147" t="s">
        <v>437</v>
      </c>
      <c r="D21" s="284">
        <v>7.7189999999999995E-2</v>
      </c>
      <c r="E21" s="233">
        <f>+D21</f>
        <v>7.7189999999999995E-2</v>
      </c>
      <c r="G21" s="225"/>
    </row>
    <row r="22" spans="1:7">
      <c r="A22" s="165">
        <v>9</v>
      </c>
      <c r="B22" s="169" t="s">
        <v>181</v>
      </c>
      <c r="C22" s="147" t="s">
        <v>438</v>
      </c>
      <c r="D22" s="230">
        <v>2.0699999999999998</v>
      </c>
      <c r="E22" s="230">
        <v>2.0699999999999998</v>
      </c>
      <c r="G22" s="225"/>
    </row>
    <row r="23" spans="1:7">
      <c r="A23" s="165"/>
      <c r="B23" s="169" t="s">
        <v>291</v>
      </c>
      <c r="C23" s="147"/>
      <c r="D23" s="239">
        <v>1.6899999999999998E-2</v>
      </c>
      <c r="E23" s="239">
        <f>+D23</f>
        <v>1.6899999999999998E-2</v>
      </c>
      <c r="G23" s="225"/>
    </row>
    <row r="24" spans="1:7" ht="25.5">
      <c r="A24" s="165">
        <v>10</v>
      </c>
      <c r="B24" s="168" t="s">
        <v>226</v>
      </c>
      <c r="C24" s="157" t="s">
        <v>200</v>
      </c>
      <c r="D24" s="237">
        <v>0</v>
      </c>
      <c r="E24" s="237">
        <v>0</v>
      </c>
      <c r="G24" s="225"/>
    </row>
    <row r="25" spans="1:7">
      <c r="A25" s="165"/>
      <c r="B25" s="168" t="s">
        <v>291</v>
      </c>
      <c r="C25" s="157"/>
      <c r="D25" s="242">
        <v>0</v>
      </c>
      <c r="E25" s="242">
        <v>0</v>
      </c>
      <c r="G25" s="225"/>
    </row>
    <row r="26" spans="1:7" ht="25.5">
      <c r="A26" s="165">
        <v>11</v>
      </c>
      <c r="B26" s="168" t="s">
        <v>182</v>
      </c>
      <c r="C26" s="147" t="s">
        <v>439</v>
      </c>
      <c r="D26" s="235">
        <v>9.8699999999999996E-2</v>
      </c>
      <c r="E26" s="235">
        <f>+D26</f>
        <v>9.8699999999999996E-2</v>
      </c>
      <c r="G26" s="225"/>
    </row>
    <row r="27" spans="1:7">
      <c r="A27" s="165">
        <v>12</v>
      </c>
      <c r="B27" s="168" t="s">
        <v>183</v>
      </c>
      <c r="C27" s="147" t="s">
        <v>263</v>
      </c>
      <c r="D27" s="287">
        <v>7.0099999999999996E-2</v>
      </c>
      <c r="E27" s="287">
        <v>7.0099999999999996E-2</v>
      </c>
      <c r="F27" s="225"/>
    </row>
    <row r="28" spans="1:7" ht="25.5">
      <c r="A28" s="165">
        <v>13</v>
      </c>
      <c r="B28" s="169" t="s">
        <v>184</v>
      </c>
      <c r="C28" s="147" t="s">
        <v>463</v>
      </c>
      <c r="D28" s="235">
        <f>'T bill'!B64/100</f>
        <v>2.29E-2</v>
      </c>
      <c r="E28" s="235">
        <f>D28</f>
        <v>2.29E-2</v>
      </c>
      <c r="F28" s="225"/>
    </row>
    <row r="29" spans="1:7">
      <c r="A29" s="165">
        <v>14</v>
      </c>
      <c r="B29" s="168" t="s">
        <v>185</v>
      </c>
      <c r="C29" s="147" t="s">
        <v>186</v>
      </c>
      <c r="D29" s="236">
        <f>+'Total Program Inputs'!C6</f>
        <v>2025</v>
      </c>
      <c r="E29" s="236">
        <f>+D29</f>
        <v>2025</v>
      </c>
      <c r="G29" s="225"/>
    </row>
    <row r="30" spans="1:7">
      <c r="A30" s="165">
        <v>15</v>
      </c>
      <c r="B30" s="168" t="s">
        <v>271</v>
      </c>
      <c r="C30" s="147" t="s">
        <v>272</v>
      </c>
      <c r="D30" s="236">
        <f>'Total Program Inputs'!C6</f>
        <v>2025</v>
      </c>
      <c r="E30" s="236">
        <f>+D30</f>
        <v>2025</v>
      </c>
      <c r="G30" s="225"/>
    </row>
    <row r="31" spans="1:7">
      <c r="A31" s="165"/>
      <c r="B31" s="168"/>
      <c r="C31" s="158"/>
      <c r="D31" s="236">
        <f t="shared" ref="D31" si="0">D30+1</f>
        <v>2026</v>
      </c>
      <c r="E31" s="236">
        <f>+D31</f>
        <v>2026</v>
      </c>
      <c r="G31" s="225"/>
    </row>
    <row r="32" spans="1:7">
      <c r="A32" s="165"/>
      <c r="B32" s="168"/>
      <c r="C32" s="158"/>
      <c r="D32" s="236"/>
      <c r="E32" s="236"/>
      <c r="G32" s="225"/>
    </row>
    <row r="33" spans="1:7">
      <c r="A33" s="165">
        <v>16</v>
      </c>
      <c r="B33" s="168" t="s">
        <v>187</v>
      </c>
      <c r="C33" s="158" t="s">
        <v>188</v>
      </c>
      <c r="D33" s="171"/>
      <c r="E33" s="171"/>
    </row>
    <row r="34" spans="1:7">
      <c r="A34" s="165">
        <v>17</v>
      </c>
      <c r="B34" s="168" t="s">
        <v>189</v>
      </c>
      <c r="C34" s="158" t="s">
        <v>190</v>
      </c>
      <c r="D34" s="171"/>
      <c r="E34" s="171"/>
    </row>
    <row r="35" spans="1:7" ht="25.5">
      <c r="A35" s="165">
        <v>18</v>
      </c>
      <c r="B35" s="168" t="s">
        <v>295</v>
      </c>
      <c r="C35" s="158" t="s">
        <v>208</v>
      </c>
      <c r="D35" s="237">
        <v>0</v>
      </c>
      <c r="E35" s="237">
        <v>0</v>
      </c>
      <c r="G35" s="225"/>
    </row>
    <row r="36" spans="1:7">
      <c r="A36" s="165"/>
      <c r="B36" s="168" t="s">
        <v>296</v>
      </c>
      <c r="C36" s="158"/>
      <c r="D36" s="237">
        <v>0</v>
      </c>
      <c r="E36" s="237">
        <v>0</v>
      </c>
      <c r="G36" s="225"/>
    </row>
    <row r="37" spans="1:7">
      <c r="A37" s="165"/>
      <c r="B37" s="168" t="s">
        <v>297</v>
      </c>
      <c r="C37" s="158"/>
      <c r="D37" s="237">
        <v>0</v>
      </c>
      <c r="E37" s="237">
        <v>0</v>
      </c>
      <c r="G37" s="225"/>
    </row>
    <row r="38" spans="1:7">
      <c r="A38" s="165"/>
      <c r="B38" s="168" t="s">
        <v>293</v>
      </c>
      <c r="C38" s="158"/>
      <c r="D38" s="242">
        <v>0</v>
      </c>
      <c r="E38" s="242">
        <v>0</v>
      </c>
      <c r="G38" s="225"/>
    </row>
    <row r="39" spans="1:7">
      <c r="A39" s="165"/>
      <c r="B39" s="168" t="s">
        <v>292</v>
      </c>
      <c r="C39" s="158"/>
      <c r="D39" s="242">
        <v>0</v>
      </c>
      <c r="E39" s="242">
        <v>0</v>
      </c>
      <c r="G39" s="225"/>
    </row>
    <row r="40" spans="1:7">
      <c r="A40" s="165"/>
      <c r="B40" s="168" t="s">
        <v>294</v>
      </c>
      <c r="C40" s="158"/>
      <c r="D40" s="242">
        <v>0</v>
      </c>
      <c r="E40" s="242">
        <v>0</v>
      </c>
      <c r="G40" s="225"/>
    </row>
    <row r="41" spans="1:7" ht="25.5">
      <c r="A41" s="165">
        <v>19</v>
      </c>
      <c r="B41" s="168" t="s">
        <v>298</v>
      </c>
      <c r="C41" s="147" t="s">
        <v>209</v>
      </c>
      <c r="D41" s="237">
        <v>0</v>
      </c>
      <c r="E41" s="237">
        <v>0</v>
      </c>
      <c r="G41" s="225"/>
    </row>
    <row r="42" spans="1:7">
      <c r="A42" s="165"/>
      <c r="B42" s="168" t="s">
        <v>296</v>
      </c>
      <c r="C42" s="158"/>
      <c r="D42" s="237">
        <v>0</v>
      </c>
      <c r="E42" s="237">
        <v>0</v>
      </c>
      <c r="G42" s="225"/>
    </row>
    <row r="43" spans="1:7">
      <c r="A43" s="165"/>
      <c r="B43" s="168" t="s">
        <v>297</v>
      </c>
      <c r="C43" s="158"/>
      <c r="D43" s="237">
        <v>0</v>
      </c>
      <c r="E43" s="237">
        <v>0</v>
      </c>
      <c r="G43" s="225"/>
    </row>
    <row r="44" spans="1:7">
      <c r="A44" s="165"/>
      <c r="B44" s="168" t="s">
        <v>293</v>
      </c>
      <c r="C44" s="158"/>
      <c r="D44" s="242">
        <v>0</v>
      </c>
      <c r="E44" s="242">
        <v>0</v>
      </c>
      <c r="G44" s="225"/>
    </row>
    <row r="45" spans="1:7">
      <c r="A45" s="165"/>
      <c r="B45" s="168" t="s">
        <v>292</v>
      </c>
      <c r="C45" s="158"/>
      <c r="D45" s="242">
        <v>0</v>
      </c>
      <c r="E45" s="242">
        <v>0</v>
      </c>
      <c r="G45" s="225"/>
    </row>
    <row r="46" spans="1:7">
      <c r="A46" s="165"/>
      <c r="B46" s="168" t="s">
        <v>294</v>
      </c>
      <c r="C46" s="158"/>
      <c r="D46" s="242">
        <v>0</v>
      </c>
      <c r="E46" s="242">
        <v>0</v>
      </c>
      <c r="G46" s="225"/>
    </row>
    <row r="47" spans="1:7" ht="25.5">
      <c r="A47" s="165">
        <v>20</v>
      </c>
      <c r="B47" s="168" t="s">
        <v>191</v>
      </c>
      <c r="C47" s="158" t="s">
        <v>192</v>
      </c>
      <c r="D47" s="171"/>
      <c r="E47" s="171"/>
    </row>
    <row r="48" spans="1:7">
      <c r="A48" s="165">
        <v>21</v>
      </c>
      <c r="B48" s="168" t="s">
        <v>269</v>
      </c>
      <c r="C48" s="158" t="s">
        <v>203</v>
      </c>
      <c r="D48" s="171"/>
      <c r="E48" s="171"/>
    </row>
    <row r="49" spans="1:6" ht="25.5">
      <c r="A49" s="165">
        <v>22</v>
      </c>
      <c r="B49" s="168" t="s">
        <v>299</v>
      </c>
      <c r="C49" s="147" t="s">
        <v>207</v>
      </c>
      <c r="D49" s="171"/>
      <c r="E49" s="171"/>
    </row>
    <row r="50" spans="1:6">
      <c r="A50" s="165"/>
      <c r="B50" s="168" t="s">
        <v>296</v>
      </c>
      <c r="C50" s="147"/>
      <c r="D50" s="236">
        <v>0</v>
      </c>
      <c r="E50" s="236">
        <v>0</v>
      </c>
    </row>
    <row r="51" spans="1:6">
      <c r="A51" s="165"/>
      <c r="B51" s="168" t="s">
        <v>297</v>
      </c>
      <c r="C51" s="147"/>
      <c r="D51" s="236">
        <v>0</v>
      </c>
      <c r="E51" s="236">
        <v>0</v>
      </c>
    </row>
    <row r="52" spans="1:6" ht="25.5">
      <c r="A52" s="165" t="s">
        <v>300</v>
      </c>
      <c r="B52" s="172" t="s">
        <v>301</v>
      </c>
      <c r="C52" s="147"/>
      <c r="D52" s="236">
        <v>0</v>
      </c>
      <c r="E52" s="236">
        <v>0</v>
      </c>
    </row>
    <row r="53" spans="1:6">
      <c r="A53" s="165"/>
      <c r="B53" s="168" t="s">
        <v>296</v>
      </c>
      <c r="C53" s="147"/>
      <c r="D53" s="236">
        <v>0</v>
      </c>
      <c r="E53" s="236">
        <v>0</v>
      </c>
    </row>
    <row r="54" spans="1:6">
      <c r="A54" s="165"/>
      <c r="B54" s="168" t="s">
        <v>297</v>
      </c>
      <c r="C54" s="147"/>
      <c r="D54" s="236">
        <v>0</v>
      </c>
      <c r="E54" s="236">
        <v>0</v>
      </c>
    </row>
    <row r="55" spans="1:6">
      <c r="A55" s="165">
        <v>23</v>
      </c>
      <c r="B55" s="168" t="s">
        <v>193</v>
      </c>
      <c r="C55" s="159" t="s">
        <v>194</v>
      </c>
      <c r="D55" s="171"/>
      <c r="E55" s="171"/>
    </row>
    <row r="56" spans="1:6">
      <c r="A56" s="165">
        <v>24</v>
      </c>
      <c r="B56" s="168" t="s">
        <v>273</v>
      </c>
      <c r="C56" s="147" t="s">
        <v>270</v>
      </c>
      <c r="D56" s="171"/>
      <c r="E56" s="171"/>
    </row>
    <row r="57" spans="1:6">
      <c r="A57" s="165">
        <v>25</v>
      </c>
      <c r="B57" s="169" t="s">
        <v>195</v>
      </c>
      <c r="C57" s="147" t="s">
        <v>196</v>
      </c>
      <c r="D57" s="171"/>
      <c r="E57" s="171"/>
    </row>
    <row r="58" spans="1:6">
      <c r="A58" s="165">
        <v>26</v>
      </c>
      <c r="B58" s="168" t="s">
        <v>197</v>
      </c>
      <c r="C58" s="160" t="s">
        <v>305</v>
      </c>
      <c r="D58" s="234">
        <f>+'Gas Costs'!C10</f>
        <v>2.532</v>
      </c>
      <c r="E58" s="234">
        <f>+'Gas Costs'!E10</f>
        <v>1.1479999999999999</v>
      </c>
      <c r="F58" s="285"/>
    </row>
    <row r="59" spans="1:6">
      <c r="A59" s="165">
        <v>27</v>
      </c>
      <c r="B59" s="173" t="s">
        <v>198</v>
      </c>
      <c r="C59" s="158" t="s">
        <v>264</v>
      </c>
      <c r="D59" s="243">
        <v>0.21</v>
      </c>
      <c r="E59" s="243">
        <v>0.21</v>
      </c>
    </row>
    <row r="61" spans="1:6">
      <c r="B61" s="174"/>
    </row>
    <row r="63" spans="1:6">
      <c r="B63" s="174"/>
    </row>
    <row r="66" spans="2:2">
      <c r="B66" s="174"/>
    </row>
    <row r="68" spans="2:2">
      <c r="B68" s="172"/>
    </row>
    <row r="69" spans="2:2">
      <c r="B69" s="172"/>
    </row>
    <row r="71" spans="2:2">
      <c r="B71" s="174"/>
    </row>
    <row r="73" spans="2:2">
      <c r="B73" s="174"/>
    </row>
    <row r="75" spans="2:2">
      <c r="B75" s="174"/>
    </row>
    <row r="76" spans="2:2">
      <c r="B76" s="174"/>
    </row>
    <row r="77" spans="2:2">
      <c r="B77" s="174"/>
    </row>
    <row r="78" spans="2:2">
      <c r="B78" s="174"/>
    </row>
    <row r="79" spans="2:2">
      <c r="B79" s="174"/>
    </row>
    <row r="80" spans="2:2">
      <c r="B80" s="174"/>
    </row>
    <row r="81" spans="2:2">
      <c r="B81" s="174"/>
    </row>
    <row r="82" spans="2:2">
      <c r="B82" s="174"/>
    </row>
    <row r="83" spans="2:2">
      <c r="B83" s="174"/>
    </row>
    <row r="84" spans="2:2">
      <c r="B84" s="174"/>
    </row>
    <row r="88" spans="2:2">
      <c r="B88" s="174"/>
    </row>
  </sheetData>
  <phoneticPr fontId="6" type="noConversion"/>
  <printOptions horizontalCentered="1"/>
  <pageMargins left="0.25" right="0.25" top="0.66" bottom="0.75" header="0.5" footer="0.5"/>
  <pageSetup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DA21-3699-46F1-8716-D7732FEED069}">
  <sheetPr codeName="Sheet4">
    <pageSetUpPr fitToPage="1"/>
  </sheetPr>
  <dimension ref="A1:L59"/>
  <sheetViews>
    <sheetView showGridLines="0" workbookViewId="0">
      <selection sqref="A1:H1"/>
    </sheetView>
  </sheetViews>
  <sheetFormatPr defaultColWidth="13.140625" defaultRowHeight="12.75" customHeight="1"/>
  <cols>
    <col min="1" max="1" width="26.7109375" style="321" customWidth="1"/>
    <col min="2" max="2" width="12.28515625" style="321" customWidth="1"/>
    <col min="3" max="3" width="12.85546875" style="321" customWidth="1"/>
    <col min="4" max="4" width="2.7109375" style="321" customWidth="1"/>
    <col min="5" max="5" width="11.140625" style="321" customWidth="1"/>
    <col min="6" max="6" width="2.7109375" style="321" customWidth="1"/>
    <col min="7" max="7" width="11.28515625" style="321" customWidth="1"/>
    <col min="8" max="8" width="7.7109375" style="321" customWidth="1"/>
    <col min="9" max="10" width="13.140625" style="321"/>
    <col min="11" max="11" width="20" style="321" bestFit="1" customWidth="1"/>
    <col min="12" max="12" width="17.7109375" style="321" bestFit="1" customWidth="1"/>
    <col min="13" max="16384" width="13.140625" style="321"/>
  </cols>
  <sheetData>
    <row r="1" spans="1:11" ht="12.75" customHeight="1">
      <c r="A1" s="345" t="s">
        <v>431</v>
      </c>
      <c r="B1" s="345"/>
      <c r="C1" s="345"/>
      <c r="D1" s="345"/>
      <c r="E1" s="345"/>
      <c r="F1" s="345"/>
      <c r="G1" s="345"/>
      <c r="H1" s="345"/>
    </row>
    <row r="2" spans="1:11" ht="12.75" customHeight="1">
      <c r="A2" s="345" t="s">
        <v>432</v>
      </c>
      <c r="B2" s="345"/>
      <c r="C2" s="345"/>
      <c r="D2" s="345"/>
      <c r="E2" s="345"/>
      <c r="F2" s="345"/>
      <c r="G2" s="345"/>
      <c r="H2" s="345"/>
    </row>
    <row r="3" spans="1:11" ht="12.75" customHeight="1">
      <c r="A3" s="345" t="s">
        <v>453</v>
      </c>
      <c r="B3" s="345"/>
      <c r="C3" s="345"/>
      <c r="D3" s="345"/>
      <c r="E3" s="345"/>
      <c r="F3" s="345"/>
      <c r="G3" s="345"/>
      <c r="H3" s="345"/>
    </row>
    <row r="4" spans="1:11" ht="12.75" customHeight="1">
      <c r="A4" s="270"/>
      <c r="B4" s="270"/>
      <c r="C4" s="270"/>
      <c r="D4" s="270"/>
      <c r="E4" s="270"/>
    </row>
    <row r="6" spans="1:11" ht="12.75" customHeight="1">
      <c r="C6" s="344" t="s">
        <v>345</v>
      </c>
      <c r="D6" s="344"/>
      <c r="E6" s="344"/>
    </row>
    <row r="7" spans="1:11" ht="12.75" customHeight="1">
      <c r="C7" s="322" t="s">
        <v>117</v>
      </c>
      <c r="D7" s="323"/>
      <c r="E7" s="322" t="s">
        <v>346</v>
      </c>
    </row>
    <row r="8" spans="1:11" ht="12.75" customHeight="1">
      <c r="A8" s="321" t="s">
        <v>0</v>
      </c>
    </row>
    <row r="9" spans="1:11" ht="12.75" customHeight="1">
      <c r="A9" s="321" t="s">
        <v>347</v>
      </c>
      <c r="C9" s="324">
        <v>5.8230000000000004</v>
      </c>
      <c r="E9" s="324">
        <f>+C9</f>
        <v>5.8230000000000004</v>
      </c>
    </row>
    <row r="10" spans="1:11" ht="12.75" customHeight="1">
      <c r="A10" s="321" t="s">
        <v>93</v>
      </c>
      <c r="C10" s="325">
        <v>2.532</v>
      </c>
      <c r="D10" s="326"/>
      <c r="E10" s="325">
        <v>1.1479999999999999</v>
      </c>
      <c r="F10" s="327" t="s">
        <v>348</v>
      </c>
      <c r="J10" s="151"/>
      <c r="K10" s="151"/>
    </row>
    <row r="11" spans="1:11" ht="12.75" customHeight="1">
      <c r="A11" s="328" t="s">
        <v>349</v>
      </c>
      <c r="C11" s="329">
        <f>SUM(C9:C10)</f>
        <v>8.3550000000000004</v>
      </c>
      <c r="E11" s="329">
        <f>SUM(E9:E10)</f>
        <v>6.9710000000000001</v>
      </c>
    </row>
    <row r="14" spans="1:11" ht="12.75" customHeight="1">
      <c r="A14" s="321" t="s">
        <v>350</v>
      </c>
      <c r="C14" s="330">
        <v>24413174</v>
      </c>
    </row>
    <row r="15" spans="1:11" ht="12.75" customHeight="1">
      <c r="A15" s="321" t="s">
        <v>351</v>
      </c>
      <c r="C15" s="331">
        <v>774549</v>
      </c>
    </row>
    <row r="16" spans="1:11" ht="12.75" customHeight="1">
      <c r="A16" s="321" t="s">
        <v>352</v>
      </c>
      <c r="C16" s="332">
        <f>SUM(C14:C15)</f>
        <v>25187723</v>
      </c>
    </row>
    <row r="17" spans="1:11" ht="4.1500000000000004" customHeight="1"/>
    <row r="18" spans="1:11" ht="12.75" customHeight="1">
      <c r="A18" s="321" t="s">
        <v>354</v>
      </c>
      <c r="C18" s="331">
        <v>7447582</v>
      </c>
      <c r="I18" s="333" t="s">
        <v>451</v>
      </c>
      <c r="J18" s="333"/>
      <c r="K18" s="333"/>
    </row>
    <row r="19" spans="1:11" ht="4.1500000000000004" customHeight="1"/>
    <row r="20" spans="1:11" ht="12.75" customHeight="1">
      <c r="C20" s="321">
        <f>ROUND(+C16/C18/I20,3)</f>
        <v>3.4159999999999999</v>
      </c>
      <c r="D20" s="321" t="s">
        <v>353</v>
      </c>
      <c r="I20" s="334">
        <v>0.99</v>
      </c>
    </row>
    <row r="22" spans="1:11" ht="12.75" customHeight="1">
      <c r="A22" s="321" t="s">
        <v>355</v>
      </c>
    </row>
    <row r="23" spans="1:11" ht="12.75" customHeight="1">
      <c r="A23" s="321" t="s">
        <v>457</v>
      </c>
      <c r="C23" s="335">
        <v>17280504</v>
      </c>
    </row>
    <row r="24" spans="1:11" ht="12.75" customHeight="1">
      <c r="A24" s="321" t="s">
        <v>356</v>
      </c>
      <c r="C24" s="336">
        <v>98579</v>
      </c>
    </row>
    <row r="25" spans="1:11" ht="12.75" customHeight="1">
      <c r="A25" s="328" t="s">
        <v>357</v>
      </c>
      <c r="C25" s="337">
        <f>+ROUND(C23/C24,2)</f>
        <v>175.3</v>
      </c>
    </row>
    <row r="28" spans="1:11" ht="12.75" customHeight="1">
      <c r="A28" s="334" t="s">
        <v>456</v>
      </c>
      <c r="K28" s="334"/>
    </row>
    <row r="29" spans="1:11" ht="12.75" customHeight="1">
      <c r="A29" s="327" t="s">
        <v>358</v>
      </c>
    </row>
    <row r="30" spans="1:11" ht="12.75" customHeight="1">
      <c r="A30" s="327" t="s">
        <v>359</v>
      </c>
    </row>
    <row r="33" spans="1:12" ht="12.75" customHeight="1">
      <c r="A33" s="271" t="s">
        <v>360</v>
      </c>
    </row>
    <row r="34" spans="1:12" ht="12.75" customHeight="1">
      <c r="A34" s="272" t="s">
        <v>117</v>
      </c>
      <c r="B34" s="273"/>
      <c r="C34" s="274"/>
      <c r="D34" s="273"/>
      <c r="E34" s="273"/>
      <c r="F34" s="273"/>
      <c r="G34" s="273"/>
      <c r="H34" s="273"/>
      <c r="I34" s="273"/>
      <c r="K34" s="151"/>
    </row>
    <row r="35" spans="1:12" ht="12.75" customHeight="1">
      <c r="A35" s="273" t="s">
        <v>361</v>
      </c>
      <c r="B35" s="274">
        <v>43466</v>
      </c>
      <c r="C35" s="273">
        <v>12</v>
      </c>
      <c r="D35" s="273"/>
      <c r="E35" s="275">
        <v>12</v>
      </c>
      <c r="F35" s="273"/>
      <c r="G35" s="275">
        <v>0</v>
      </c>
      <c r="H35" s="321" t="s">
        <v>362</v>
      </c>
      <c r="L35" s="338"/>
    </row>
    <row r="36" spans="1:12" ht="12.75" customHeight="1">
      <c r="A36" s="273" t="s">
        <v>363</v>
      </c>
      <c r="B36" s="273"/>
      <c r="C36" s="273"/>
      <c r="D36" s="273"/>
      <c r="E36" s="273"/>
      <c r="F36" s="273"/>
      <c r="G36" s="275"/>
    </row>
    <row r="37" spans="1:12" ht="12.75" customHeight="1">
      <c r="A37" s="276" t="s">
        <v>459</v>
      </c>
      <c r="B37" s="273"/>
      <c r="C37" s="277">
        <v>12000</v>
      </c>
      <c r="D37" s="273"/>
      <c r="E37" s="281">
        <v>8.8270000000000001E-2</v>
      </c>
      <c r="F37" s="273"/>
      <c r="G37" s="275">
        <f>C37*E37</f>
        <v>1059.24</v>
      </c>
    </row>
    <row r="38" spans="1:12" ht="12.75" customHeight="1">
      <c r="A38" s="276" t="s">
        <v>364</v>
      </c>
      <c r="B38" s="273"/>
      <c r="C38" s="277">
        <v>12000</v>
      </c>
      <c r="D38" s="273"/>
      <c r="E38" s="339">
        <v>4.6699999999999998E-2</v>
      </c>
      <c r="F38" s="273"/>
      <c r="G38" s="278">
        <f>C38*E38</f>
        <v>560.4</v>
      </c>
    </row>
    <row r="39" spans="1:12" ht="12.75" customHeight="1" thickBot="1">
      <c r="A39" s="279" t="s">
        <v>365</v>
      </c>
      <c r="B39" s="273"/>
      <c r="C39" s="274"/>
      <c r="D39" s="273"/>
      <c r="E39" s="273"/>
      <c r="F39" s="273"/>
      <c r="G39" s="280">
        <f>SUM(G35:G38)</f>
        <v>1619.6399999999999</v>
      </c>
    </row>
    <row r="40" spans="1:12" ht="12.75" customHeight="1" thickTop="1">
      <c r="A40" s="279"/>
      <c r="B40" s="273"/>
      <c r="C40" s="274"/>
      <c r="D40" s="273"/>
      <c r="E40" s="273"/>
      <c r="F40" s="273"/>
      <c r="G40" s="275"/>
    </row>
    <row r="41" spans="1:12" ht="12.75" customHeight="1">
      <c r="A41" s="279" t="s">
        <v>366</v>
      </c>
      <c r="B41" s="273"/>
      <c r="C41" s="274"/>
      <c r="D41" s="273"/>
      <c r="E41" s="273"/>
      <c r="F41" s="273"/>
      <c r="G41" s="281">
        <f>ROUND(G39/C37,5)</f>
        <v>0.13497000000000001</v>
      </c>
    </row>
    <row r="43" spans="1:12" ht="12.75" customHeight="1">
      <c r="A43" s="272" t="s">
        <v>367</v>
      </c>
      <c r="C43" s="274"/>
    </row>
    <row r="44" spans="1:12" ht="12.75" customHeight="1">
      <c r="A44" s="273" t="s">
        <v>361</v>
      </c>
      <c r="C44" s="273">
        <v>12</v>
      </c>
      <c r="E44" s="275">
        <v>15</v>
      </c>
      <c r="G44" s="275">
        <v>0</v>
      </c>
      <c r="H44" s="321" t="s">
        <v>362</v>
      </c>
    </row>
    <row r="45" spans="1:12" ht="12.75" customHeight="1">
      <c r="A45" s="273" t="s">
        <v>363</v>
      </c>
      <c r="G45" s="275"/>
    </row>
    <row r="46" spans="1:12" ht="12.75" customHeight="1">
      <c r="A46" s="276" t="s">
        <v>368</v>
      </c>
      <c r="C46" s="282">
        <v>3000</v>
      </c>
      <c r="E46" s="340">
        <v>7.6999999999999999E-2</v>
      </c>
      <c r="G46" s="275">
        <f>C46*E46</f>
        <v>231</v>
      </c>
    </row>
    <row r="47" spans="1:12" ht="12.75" customHeight="1">
      <c r="A47" s="276" t="s">
        <v>369</v>
      </c>
      <c r="C47" s="282">
        <v>69000</v>
      </c>
      <c r="E47" s="281">
        <v>6.0260000000000001E-2</v>
      </c>
      <c r="G47" s="278">
        <f>C47*E47</f>
        <v>4157.9400000000005</v>
      </c>
    </row>
    <row r="48" spans="1:12" ht="12.75" customHeight="1">
      <c r="A48" s="276" t="s">
        <v>364</v>
      </c>
      <c r="C48" s="282">
        <f>SUM(C46:C47)</f>
        <v>72000</v>
      </c>
      <c r="E48" s="341">
        <v>4.8000000000000001E-2</v>
      </c>
      <c r="G48" s="278">
        <f>C48*E48</f>
        <v>3456</v>
      </c>
    </row>
    <row r="49" spans="1:7" ht="12.75" customHeight="1">
      <c r="A49" s="273" t="s">
        <v>370</v>
      </c>
      <c r="G49" s="275"/>
    </row>
    <row r="50" spans="1:7" ht="12.75" customHeight="1">
      <c r="A50" s="276" t="s">
        <v>371</v>
      </c>
      <c r="C50" s="273">
        <v>50</v>
      </c>
      <c r="E50" s="275">
        <v>8</v>
      </c>
      <c r="G50" s="275">
        <f>C50*E50</f>
        <v>400</v>
      </c>
    </row>
    <row r="51" spans="1:7" ht="12.75" customHeight="1">
      <c r="A51" s="276" t="s">
        <v>372</v>
      </c>
      <c r="C51" s="273">
        <v>150</v>
      </c>
      <c r="E51" s="275">
        <v>7.69</v>
      </c>
      <c r="G51" s="275">
        <f>C51*E51</f>
        <v>1153.5</v>
      </c>
    </row>
    <row r="52" spans="1:7" ht="12.75" customHeight="1" thickBot="1">
      <c r="A52" s="279" t="s">
        <v>365</v>
      </c>
      <c r="G52" s="280">
        <f>SUM(G44:G51)</f>
        <v>9398.44</v>
      </c>
    </row>
    <row r="53" spans="1:7" ht="12.75" customHeight="1" thickTop="1">
      <c r="A53" s="279"/>
      <c r="G53" s="275"/>
    </row>
    <row r="54" spans="1:7" ht="12.75" customHeight="1">
      <c r="A54" s="279" t="s">
        <v>366</v>
      </c>
      <c r="G54" s="281">
        <f>ROUND(G52/C48,5)</f>
        <v>0.13053000000000001</v>
      </c>
    </row>
    <row r="56" spans="1:7" ht="12.75" customHeight="1">
      <c r="A56" s="342" t="s">
        <v>435</v>
      </c>
      <c r="B56" s="339">
        <v>2.7300000000000001E-2</v>
      </c>
      <c r="C56" s="321" t="s">
        <v>450</v>
      </c>
    </row>
    <row r="58" spans="1:7" ht="12.75" customHeight="1">
      <c r="A58" s="321" t="s">
        <v>373</v>
      </c>
    </row>
    <row r="59" spans="1:7" ht="12.75" customHeight="1">
      <c r="A59" s="321" t="s">
        <v>374</v>
      </c>
    </row>
  </sheetData>
  <mergeCells count="4">
    <mergeCell ref="C6:E6"/>
    <mergeCell ref="A1:H1"/>
    <mergeCell ref="A2:H2"/>
    <mergeCell ref="A3:H3"/>
  </mergeCells>
  <pageMargins left="1.3" right="0.17" top="0.56000000000000005" bottom="0.26" header="0.3" footer="0.3"/>
  <pageSetup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D2A5-9061-4E67-A1B1-525883D8380D}">
  <sheetPr codeName="Sheet17"/>
  <dimension ref="A2:I65"/>
  <sheetViews>
    <sheetView workbookViewId="0">
      <selection activeCell="A4" sqref="A4"/>
    </sheetView>
  </sheetViews>
  <sheetFormatPr defaultRowHeight="12.75"/>
  <cols>
    <col min="1" max="1" width="20.7109375" customWidth="1"/>
    <col min="2" max="2" width="16.85546875" customWidth="1"/>
  </cols>
  <sheetData>
    <row r="2" spans="1:9">
      <c r="A2" t="s">
        <v>377</v>
      </c>
      <c r="B2" s="263" t="s">
        <v>378</v>
      </c>
    </row>
    <row r="4" spans="1:9">
      <c r="D4" s="151"/>
    </row>
    <row r="5" spans="1:9">
      <c r="I5" s="151"/>
    </row>
    <row r="6" spans="1:9" s="264" customFormat="1" ht="18.75">
      <c r="A6" s="288" t="s">
        <v>379</v>
      </c>
      <c r="B6" s="264" t="s">
        <v>454</v>
      </c>
    </row>
    <row r="7" spans="1:9">
      <c r="A7" t="s">
        <v>380</v>
      </c>
      <c r="B7" t="s">
        <v>381</v>
      </c>
    </row>
    <row r="8" spans="1:9">
      <c r="A8" t="s">
        <v>382</v>
      </c>
      <c r="B8" t="s">
        <v>383</v>
      </c>
    </row>
    <row r="9" spans="1:9">
      <c r="A9" t="s">
        <v>384</v>
      </c>
      <c r="B9">
        <v>1</v>
      </c>
    </row>
    <row r="10" spans="1:9">
      <c r="A10" t="s">
        <v>385</v>
      </c>
      <c r="B10" t="s">
        <v>115</v>
      </c>
    </row>
    <row r="11" spans="1:9">
      <c r="A11" t="s">
        <v>386</v>
      </c>
      <c r="B11" t="s">
        <v>387</v>
      </c>
    </row>
    <row r="12" spans="1:9" ht="13.5" thickBot="1">
      <c r="A12" s="289" t="s">
        <v>388</v>
      </c>
      <c r="B12" s="290" t="s">
        <v>389</v>
      </c>
    </row>
    <row r="13" spans="1:9" hidden="1">
      <c r="A13" s="289" t="s">
        <v>390</v>
      </c>
      <c r="B13">
        <v>4.9800000000000004</v>
      </c>
    </row>
    <row r="14" spans="1:9" hidden="1">
      <c r="A14" s="289" t="s">
        <v>391</v>
      </c>
      <c r="B14">
        <v>5.26</v>
      </c>
    </row>
    <row r="15" spans="1:9" hidden="1">
      <c r="A15" s="289" t="s">
        <v>392</v>
      </c>
      <c r="B15">
        <v>7.18</v>
      </c>
    </row>
    <row r="16" spans="1:9" hidden="1">
      <c r="A16" s="289" t="s">
        <v>393</v>
      </c>
      <c r="B16">
        <v>10.050000000000001</v>
      </c>
    </row>
    <row r="17" spans="1:2" hidden="1">
      <c r="A17" s="289" t="s">
        <v>394</v>
      </c>
      <c r="B17">
        <v>11.39</v>
      </c>
    </row>
    <row r="18" spans="1:2" hidden="1">
      <c r="A18" s="289" t="s">
        <v>395</v>
      </c>
      <c r="B18">
        <v>14.04</v>
      </c>
    </row>
    <row r="19" spans="1:2" hidden="1">
      <c r="A19" s="289" t="s">
        <v>396</v>
      </c>
      <c r="B19">
        <v>10.6</v>
      </c>
    </row>
    <row r="20" spans="1:2" hidden="1">
      <c r="A20" s="289" t="s">
        <v>397</v>
      </c>
      <c r="B20">
        <v>8.6199999999999992</v>
      </c>
    </row>
    <row r="21" spans="1:2" hidden="1">
      <c r="A21" s="289" t="s">
        <v>398</v>
      </c>
      <c r="B21">
        <v>9.5399999999999991</v>
      </c>
    </row>
    <row r="22" spans="1:2" hidden="1">
      <c r="A22" s="289" t="s">
        <v>399</v>
      </c>
      <c r="B22">
        <v>7.47</v>
      </c>
    </row>
    <row r="23" spans="1:2" hidden="1">
      <c r="A23" s="289" t="s">
        <v>400</v>
      </c>
      <c r="B23">
        <v>5.97</v>
      </c>
    </row>
    <row r="24" spans="1:2" hidden="1">
      <c r="A24" s="289" t="s">
        <v>401</v>
      </c>
      <c r="B24">
        <v>5.78</v>
      </c>
    </row>
    <row r="25" spans="1:2" hidden="1">
      <c r="A25" s="289" t="s">
        <v>402</v>
      </c>
      <c r="B25">
        <v>6.67</v>
      </c>
    </row>
    <row r="26" spans="1:2" hidden="1">
      <c r="A26" s="289" t="s">
        <v>403</v>
      </c>
      <c r="B26">
        <v>8.11</v>
      </c>
    </row>
    <row r="27" spans="1:2" hidden="1">
      <c r="A27" s="289" t="s">
        <v>404</v>
      </c>
      <c r="B27">
        <v>7.5</v>
      </c>
    </row>
    <row r="28" spans="1:2" hidden="1">
      <c r="A28" s="289" t="s">
        <v>405</v>
      </c>
      <c r="B28">
        <v>5.38</v>
      </c>
    </row>
    <row r="29" spans="1:2" hidden="1">
      <c r="A29" s="289" t="s">
        <v>406</v>
      </c>
      <c r="B29">
        <v>3.43</v>
      </c>
    </row>
    <row r="30" spans="1:2" hidden="1">
      <c r="A30" s="289" t="s">
        <v>407</v>
      </c>
      <c r="B30">
        <v>3</v>
      </c>
    </row>
    <row r="31" spans="1:2" hidden="1">
      <c r="A31" s="289" t="s">
        <v>408</v>
      </c>
      <c r="B31">
        <v>4.25</v>
      </c>
    </row>
    <row r="32" spans="1:2" hidden="1">
      <c r="A32" s="289" t="s">
        <v>409</v>
      </c>
      <c r="B32">
        <v>5.49</v>
      </c>
    </row>
    <row r="33" spans="1:2">
      <c r="A33" s="289" t="s">
        <v>410</v>
      </c>
      <c r="B33">
        <v>5.01</v>
      </c>
    </row>
    <row r="34" spans="1:2">
      <c r="A34" s="289" t="s">
        <v>411</v>
      </c>
      <c r="B34">
        <v>5.0599999999999996</v>
      </c>
    </row>
    <row r="35" spans="1:2">
      <c r="A35" s="289" t="s">
        <v>412</v>
      </c>
      <c r="B35">
        <v>4.78</v>
      </c>
    </row>
    <row r="36" spans="1:2">
      <c r="A36" s="289" t="s">
        <v>413</v>
      </c>
      <c r="B36">
        <v>4.6399999999999997</v>
      </c>
    </row>
    <row r="37" spans="1:2">
      <c r="A37" s="289" t="s">
        <v>414</v>
      </c>
      <c r="B37">
        <v>5.82</v>
      </c>
    </row>
    <row r="38" spans="1:2">
      <c r="A38" s="289" t="s">
        <v>415</v>
      </c>
      <c r="B38">
        <v>3.4</v>
      </c>
    </row>
    <row r="39" spans="1:2">
      <c r="A39" s="289" t="s">
        <v>416</v>
      </c>
      <c r="B39">
        <v>1.61</v>
      </c>
    </row>
    <row r="40" spans="1:2">
      <c r="A40" s="289" t="s">
        <v>417</v>
      </c>
      <c r="B40">
        <v>1.01</v>
      </c>
    </row>
    <row r="41" spans="1:2">
      <c r="A41" s="289" t="s">
        <v>418</v>
      </c>
      <c r="B41">
        <v>1.37</v>
      </c>
    </row>
    <row r="42" spans="1:2">
      <c r="A42" s="289" t="s">
        <v>419</v>
      </c>
      <c r="B42">
        <v>3.15</v>
      </c>
    </row>
    <row r="43" spans="1:2">
      <c r="A43" s="289" t="s">
        <v>420</v>
      </c>
      <c r="B43">
        <v>4.7300000000000004</v>
      </c>
    </row>
    <row r="44" spans="1:2">
      <c r="A44" s="289" t="s">
        <v>421</v>
      </c>
      <c r="B44">
        <v>4.3600000000000003</v>
      </c>
    </row>
    <row r="45" spans="1:2">
      <c r="A45" s="289" t="s">
        <v>422</v>
      </c>
      <c r="B45">
        <v>1.37</v>
      </c>
    </row>
    <row r="46" spans="1:2">
      <c r="A46" s="289" t="s">
        <v>423</v>
      </c>
      <c r="B46">
        <v>0.15</v>
      </c>
    </row>
    <row r="47" spans="1:2">
      <c r="A47" s="289" t="s">
        <v>424</v>
      </c>
      <c r="B47">
        <v>0.14000000000000001</v>
      </c>
    </row>
    <row r="48" spans="1:2">
      <c r="A48" s="289" t="s">
        <v>425</v>
      </c>
      <c r="B48">
        <v>0.05</v>
      </c>
    </row>
    <row r="49" spans="1:2">
      <c r="A49" s="289" t="s">
        <v>426</v>
      </c>
      <c r="B49">
        <v>0.09</v>
      </c>
    </row>
    <row r="50" spans="1:2">
      <c r="A50" s="289" t="s">
        <v>427</v>
      </c>
      <c r="B50">
        <v>0.06</v>
      </c>
    </row>
    <row r="51" spans="1:2">
      <c r="A51" s="289" t="s">
        <v>428</v>
      </c>
      <c r="B51">
        <v>0.03</v>
      </c>
    </row>
    <row r="52" spans="1:2">
      <c r="A52" s="289" t="s">
        <v>429</v>
      </c>
      <c r="B52">
        <v>0.05</v>
      </c>
    </row>
    <row r="53" spans="1:2">
      <c r="A53" s="289" t="s">
        <v>441</v>
      </c>
      <c r="B53">
        <v>0.32</v>
      </c>
    </row>
    <row r="54" spans="1:2">
      <c r="A54" s="289" t="s">
        <v>442</v>
      </c>
      <c r="B54">
        <v>0.93</v>
      </c>
    </row>
    <row r="55" spans="1:2">
      <c r="A55" s="289" t="s">
        <v>443</v>
      </c>
      <c r="B55">
        <v>1.94</v>
      </c>
    </row>
    <row r="56" spans="1:2">
      <c r="A56" s="289" t="s">
        <v>444</v>
      </c>
      <c r="B56">
        <v>2.06</v>
      </c>
    </row>
    <row r="57" spans="1:2">
      <c r="A57" s="289" t="s">
        <v>445</v>
      </c>
      <c r="B57">
        <v>0.35</v>
      </c>
    </row>
    <row r="58" spans="1:2">
      <c r="A58" s="289" t="s">
        <v>446</v>
      </c>
      <c r="B58">
        <v>0.05</v>
      </c>
    </row>
    <row r="59" spans="1:2">
      <c r="A59" s="289" t="s">
        <v>447</v>
      </c>
      <c r="B59">
        <v>2.02</v>
      </c>
    </row>
    <row r="60" spans="1:2">
      <c r="A60" s="289" t="s">
        <v>448</v>
      </c>
      <c r="B60">
        <v>5.07</v>
      </c>
    </row>
    <row r="61" spans="1:2">
      <c r="A61" s="289" t="s">
        <v>449</v>
      </c>
      <c r="B61">
        <v>4.97</v>
      </c>
    </row>
    <row r="62" spans="1:2">
      <c r="A62" s="289" t="s">
        <v>455</v>
      </c>
      <c r="B62">
        <v>4.07</v>
      </c>
    </row>
    <row r="64" spans="1:2" ht="13.5" thickBot="1">
      <c r="A64" s="265" t="s">
        <v>430</v>
      </c>
      <c r="B64" s="266">
        <f>ROUND(AVERAGE(B33:B62),2)</f>
        <v>2.29</v>
      </c>
    </row>
    <row r="65" ht="13.5" thickTop="1"/>
  </sheetData>
  <hyperlinks>
    <hyperlink ref="B2" r:id="rId1" xr:uid="{FD47A8E4-895A-406C-B14F-71FED471E6F4}"/>
    <hyperlink ref="A6" r:id="rId2" display="https://www.federalreserve.gov//datadownload/Output.aspx?filetype=spreadsheetml&amp;from=&amp;label=include&amp;lastobs=50&amp;layout=seriescolumn&amp;rel=H15&amp;series=420c607a75050c227861958716eb948f&amp;to=" xr:uid="{AB41A4B7-2CD7-4190-A2C3-192BA523E5E8}"/>
  </hyperlinks>
  <pageMargins left="1.27" right="0.1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T30"/>
  <sheetViews>
    <sheetView showGridLines="0" zoomScaleNormal="100" workbookViewId="0"/>
  </sheetViews>
  <sheetFormatPr defaultRowHeight="12.75"/>
  <cols>
    <col min="1" max="1" width="9.140625" style="211"/>
    <col min="2" max="2" width="31.28515625" style="211" customWidth="1"/>
    <col min="3" max="3" width="0.7109375" style="211" customWidth="1"/>
    <col min="4" max="4" width="10.140625" style="149" customWidth="1"/>
    <col min="5" max="5" width="0.7109375" style="149" customWidth="1"/>
    <col min="6" max="6" width="9.140625" style="149" bestFit="1" customWidth="1"/>
    <col min="7" max="7" width="1" style="149" customWidth="1"/>
    <col min="8" max="8" width="9.5703125" style="149" customWidth="1"/>
    <col min="9" max="9" width="1.7109375" style="211" customWidth="1"/>
    <col min="10" max="10" width="9.7109375" style="211" customWidth="1"/>
    <col min="11" max="11" width="1.7109375" style="211" customWidth="1"/>
    <col min="12" max="12" width="10.140625" style="211" customWidth="1"/>
    <col min="13" max="239" width="9.140625" style="211"/>
    <col min="240" max="240" width="32.140625" style="211" customWidth="1"/>
    <col min="241" max="241" width="2.28515625" style="211" customWidth="1"/>
    <col min="242" max="242" width="11.7109375" style="211" bestFit="1" customWidth="1"/>
    <col min="243" max="243" width="2.28515625" style="211" customWidth="1"/>
    <col min="244" max="244" width="11.28515625" style="211" bestFit="1" customWidth="1"/>
    <col min="245" max="245" width="2.28515625" style="211" customWidth="1"/>
    <col min="246" max="246" width="11.140625" style="211" bestFit="1" customWidth="1"/>
    <col min="247" max="247" width="2.28515625" style="211" customWidth="1"/>
    <col min="248" max="248" width="10.7109375" style="211" bestFit="1" customWidth="1"/>
    <col min="249" max="249" width="2.28515625" style="211" customWidth="1"/>
    <col min="250" max="250" width="9.140625" style="211"/>
    <col min="251" max="251" width="2.28515625" style="211" customWidth="1"/>
    <col min="252" max="252" width="9.140625" style="211"/>
    <col min="253" max="253" width="2.7109375" style="211" customWidth="1"/>
    <col min="254" max="495" width="9.140625" style="211"/>
    <col min="496" max="496" width="32.140625" style="211" customWidth="1"/>
    <col min="497" max="497" width="2.28515625" style="211" customWidth="1"/>
    <col min="498" max="498" width="11.7109375" style="211" bestFit="1" customWidth="1"/>
    <col min="499" max="499" width="2.28515625" style="211" customWidth="1"/>
    <col min="500" max="500" width="11.28515625" style="211" bestFit="1" customWidth="1"/>
    <col min="501" max="501" width="2.28515625" style="211" customWidth="1"/>
    <col min="502" max="502" width="11.140625" style="211" bestFit="1" customWidth="1"/>
    <col min="503" max="503" width="2.28515625" style="211" customWidth="1"/>
    <col min="504" max="504" width="10.7109375" style="211" bestFit="1" customWidth="1"/>
    <col min="505" max="505" width="2.28515625" style="211" customWidth="1"/>
    <col min="506" max="506" width="9.140625" style="211"/>
    <col min="507" max="507" width="2.28515625" style="211" customWidth="1"/>
    <col min="508" max="508" width="9.140625" style="211"/>
    <col min="509" max="509" width="2.7109375" style="211" customWidth="1"/>
    <col min="510" max="751" width="9.140625" style="211"/>
    <col min="752" max="752" width="32.140625" style="211" customWidth="1"/>
    <col min="753" max="753" width="2.28515625" style="211" customWidth="1"/>
    <col min="754" max="754" width="11.7109375" style="211" bestFit="1" customWidth="1"/>
    <col min="755" max="755" width="2.28515625" style="211" customWidth="1"/>
    <col min="756" max="756" width="11.28515625" style="211" bestFit="1" customWidth="1"/>
    <col min="757" max="757" width="2.28515625" style="211" customWidth="1"/>
    <col min="758" max="758" width="11.140625" style="211" bestFit="1" customWidth="1"/>
    <col min="759" max="759" width="2.28515625" style="211" customWidth="1"/>
    <col min="760" max="760" width="10.7109375" style="211" bestFit="1" customWidth="1"/>
    <col min="761" max="761" width="2.28515625" style="211" customWidth="1"/>
    <col min="762" max="762" width="9.140625" style="211"/>
    <col min="763" max="763" width="2.28515625" style="211" customWidth="1"/>
    <col min="764" max="764" width="9.140625" style="211"/>
    <col min="765" max="765" width="2.7109375" style="211" customWidth="1"/>
    <col min="766" max="1007" width="9.140625" style="211"/>
    <col min="1008" max="1008" width="32.140625" style="211" customWidth="1"/>
    <col min="1009" max="1009" width="2.28515625" style="211" customWidth="1"/>
    <col min="1010" max="1010" width="11.7109375" style="211" bestFit="1" customWidth="1"/>
    <col min="1011" max="1011" width="2.28515625" style="211" customWidth="1"/>
    <col min="1012" max="1012" width="11.28515625" style="211" bestFit="1" customWidth="1"/>
    <col min="1013" max="1013" width="2.28515625" style="211" customWidth="1"/>
    <col min="1014" max="1014" width="11.140625" style="211" bestFit="1" customWidth="1"/>
    <col min="1015" max="1015" width="2.28515625" style="211" customWidth="1"/>
    <col min="1016" max="1016" width="10.7109375" style="211" bestFit="1" customWidth="1"/>
    <col min="1017" max="1017" width="2.28515625" style="211" customWidth="1"/>
    <col min="1018" max="1018" width="9.140625" style="211"/>
    <col min="1019" max="1019" width="2.28515625" style="211" customWidth="1"/>
    <col min="1020" max="1020" width="9.140625" style="211"/>
    <col min="1021" max="1021" width="2.7109375" style="211" customWidth="1"/>
    <col min="1022" max="1263" width="9.140625" style="211"/>
    <col min="1264" max="1264" width="32.140625" style="211" customWidth="1"/>
    <col min="1265" max="1265" width="2.28515625" style="211" customWidth="1"/>
    <col min="1266" max="1266" width="11.7109375" style="211" bestFit="1" customWidth="1"/>
    <col min="1267" max="1267" width="2.28515625" style="211" customWidth="1"/>
    <col min="1268" max="1268" width="11.28515625" style="211" bestFit="1" customWidth="1"/>
    <col min="1269" max="1269" width="2.28515625" style="211" customWidth="1"/>
    <col min="1270" max="1270" width="11.140625" style="211" bestFit="1" customWidth="1"/>
    <col min="1271" max="1271" width="2.28515625" style="211" customWidth="1"/>
    <col min="1272" max="1272" width="10.7109375" style="211" bestFit="1" customWidth="1"/>
    <col min="1273" max="1273" width="2.28515625" style="211" customWidth="1"/>
    <col min="1274" max="1274" width="9.140625" style="211"/>
    <col min="1275" max="1275" width="2.28515625" style="211" customWidth="1"/>
    <col min="1276" max="1276" width="9.140625" style="211"/>
    <col min="1277" max="1277" width="2.7109375" style="211" customWidth="1"/>
    <col min="1278" max="1519" width="9.140625" style="211"/>
    <col min="1520" max="1520" width="32.140625" style="211" customWidth="1"/>
    <col min="1521" max="1521" width="2.28515625" style="211" customWidth="1"/>
    <col min="1522" max="1522" width="11.7109375" style="211" bestFit="1" customWidth="1"/>
    <col min="1523" max="1523" width="2.28515625" style="211" customWidth="1"/>
    <col min="1524" max="1524" width="11.28515625" style="211" bestFit="1" customWidth="1"/>
    <col min="1525" max="1525" width="2.28515625" style="211" customWidth="1"/>
    <col min="1526" max="1526" width="11.140625" style="211" bestFit="1" customWidth="1"/>
    <col min="1527" max="1527" width="2.28515625" style="211" customWidth="1"/>
    <col min="1528" max="1528" width="10.7109375" style="211" bestFit="1" customWidth="1"/>
    <col min="1529" max="1529" width="2.28515625" style="211" customWidth="1"/>
    <col min="1530" max="1530" width="9.140625" style="211"/>
    <col min="1531" max="1531" width="2.28515625" style="211" customWidth="1"/>
    <col min="1532" max="1532" width="9.140625" style="211"/>
    <col min="1533" max="1533" width="2.7109375" style="211" customWidth="1"/>
    <col min="1534" max="1775" width="9.140625" style="211"/>
    <col min="1776" max="1776" width="32.140625" style="211" customWidth="1"/>
    <col min="1777" max="1777" width="2.28515625" style="211" customWidth="1"/>
    <col min="1778" max="1778" width="11.7109375" style="211" bestFit="1" customWidth="1"/>
    <col min="1779" max="1779" width="2.28515625" style="211" customWidth="1"/>
    <col min="1780" max="1780" width="11.28515625" style="211" bestFit="1" customWidth="1"/>
    <col min="1781" max="1781" width="2.28515625" style="211" customWidth="1"/>
    <col min="1782" max="1782" width="11.140625" style="211" bestFit="1" customWidth="1"/>
    <col min="1783" max="1783" width="2.28515625" style="211" customWidth="1"/>
    <col min="1784" max="1784" width="10.7109375" style="211" bestFit="1" customWidth="1"/>
    <col min="1785" max="1785" width="2.28515625" style="211" customWidth="1"/>
    <col min="1786" max="1786" width="9.140625" style="211"/>
    <col min="1787" max="1787" width="2.28515625" style="211" customWidth="1"/>
    <col min="1788" max="1788" width="9.140625" style="211"/>
    <col min="1789" max="1789" width="2.7109375" style="211" customWidth="1"/>
    <col min="1790" max="2031" width="9.140625" style="211"/>
    <col min="2032" max="2032" width="32.140625" style="211" customWidth="1"/>
    <col min="2033" max="2033" width="2.28515625" style="211" customWidth="1"/>
    <col min="2034" max="2034" width="11.7109375" style="211" bestFit="1" customWidth="1"/>
    <col min="2035" max="2035" width="2.28515625" style="211" customWidth="1"/>
    <col min="2036" max="2036" width="11.28515625" style="211" bestFit="1" customWidth="1"/>
    <col min="2037" max="2037" width="2.28515625" style="211" customWidth="1"/>
    <col min="2038" max="2038" width="11.140625" style="211" bestFit="1" customWidth="1"/>
    <col min="2039" max="2039" width="2.28515625" style="211" customWidth="1"/>
    <col min="2040" max="2040" width="10.7109375" style="211" bestFit="1" customWidth="1"/>
    <col min="2041" max="2041" width="2.28515625" style="211" customWidth="1"/>
    <col min="2042" max="2042" width="9.140625" style="211"/>
    <col min="2043" max="2043" width="2.28515625" style="211" customWidth="1"/>
    <col min="2044" max="2044" width="9.140625" style="211"/>
    <col min="2045" max="2045" width="2.7109375" style="211" customWidth="1"/>
    <col min="2046" max="2287" width="9.140625" style="211"/>
    <col min="2288" max="2288" width="32.140625" style="211" customWidth="1"/>
    <col min="2289" max="2289" width="2.28515625" style="211" customWidth="1"/>
    <col min="2290" max="2290" width="11.7109375" style="211" bestFit="1" customWidth="1"/>
    <col min="2291" max="2291" width="2.28515625" style="211" customWidth="1"/>
    <col min="2292" max="2292" width="11.28515625" style="211" bestFit="1" customWidth="1"/>
    <col min="2293" max="2293" width="2.28515625" style="211" customWidth="1"/>
    <col min="2294" max="2294" width="11.140625" style="211" bestFit="1" customWidth="1"/>
    <col min="2295" max="2295" width="2.28515625" style="211" customWidth="1"/>
    <col min="2296" max="2296" width="10.7109375" style="211" bestFit="1" customWidth="1"/>
    <col min="2297" max="2297" width="2.28515625" style="211" customWidth="1"/>
    <col min="2298" max="2298" width="9.140625" style="211"/>
    <col min="2299" max="2299" width="2.28515625" style="211" customWidth="1"/>
    <col min="2300" max="2300" width="9.140625" style="211"/>
    <col min="2301" max="2301" width="2.7109375" style="211" customWidth="1"/>
    <col min="2302" max="2543" width="9.140625" style="211"/>
    <col min="2544" max="2544" width="32.140625" style="211" customWidth="1"/>
    <col min="2545" max="2545" width="2.28515625" style="211" customWidth="1"/>
    <col min="2546" max="2546" width="11.7109375" style="211" bestFit="1" customWidth="1"/>
    <col min="2547" max="2547" width="2.28515625" style="211" customWidth="1"/>
    <col min="2548" max="2548" width="11.28515625" style="211" bestFit="1" customWidth="1"/>
    <col min="2549" max="2549" width="2.28515625" style="211" customWidth="1"/>
    <col min="2550" max="2550" width="11.140625" style="211" bestFit="1" customWidth="1"/>
    <col min="2551" max="2551" width="2.28515625" style="211" customWidth="1"/>
    <col min="2552" max="2552" width="10.7109375" style="211" bestFit="1" customWidth="1"/>
    <col min="2553" max="2553" width="2.28515625" style="211" customWidth="1"/>
    <col min="2554" max="2554" width="9.140625" style="211"/>
    <col min="2555" max="2555" width="2.28515625" style="211" customWidth="1"/>
    <col min="2556" max="2556" width="9.140625" style="211"/>
    <col min="2557" max="2557" width="2.7109375" style="211" customWidth="1"/>
    <col min="2558" max="2799" width="9.140625" style="211"/>
    <col min="2800" max="2800" width="32.140625" style="211" customWidth="1"/>
    <col min="2801" max="2801" width="2.28515625" style="211" customWidth="1"/>
    <col min="2802" max="2802" width="11.7109375" style="211" bestFit="1" customWidth="1"/>
    <col min="2803" max="2803" width="2.28515625" style="211" customWidth="1"/>
    <col min="2804" max="2804" width="11.28515625" style="211" bestFit="1" customWidth="1"/>
    <col min="2805" max="2805" width="2.28515625" style="211" customWidth="1"/>
    <col min="2806" max="2806" width="11.140625" style="211" bestFit="1" customWidth="1"/>
    <col min="2807" max="2807" width="2.28515625" style="211" customWidth="1"/>
    <col min="2808" max="2808" width="10.7109375" style="211" bestFit="1" customWidth="1"/>
    <col min="2809" max="2809" width="2.28515625" style="211" customWidth="1"/>
    <col min="2810" max="2810" width="9.140625" style="211"/>
    <col min="2811" max="2811" width="2.28515625" style="211" customWidth="1"/>
    <col min="2812" max="2812" width="9.140625" style="211"/>
    <col min="2813" max="2813" width="2.7109375" style="211" customWidth="1"/>
    <col min="2814" max="3055" width="9.140625" style="211"/>
    <col min="3056" max="3056" width="32.140625" style="211" customWidth="1"/>
    <col min="3057" max="3057" width="2.28515625" style="211" customWidth="1"/>
    <col min="3058" max="3058" width="11.7109375" style="211" bestFit="1" customWidth="1"/>
    <col min="3059" max="3059" width="2.28515625" style="211" customWidth="1"/>
    <col min="3060" max="3060" width="11.28515625" style="211" bestFit="1" customWidth="1"/>
    <col min="3061" max="3061" width="2.28515625" style="211" customWidth="1"/>
    <col min="3062" max="3062" width="11.140625" style="211" bestFit="1" customWidth="1"/>
    <col min="3063" max="3063" width="2.28515625" style="211" customWidth="1"/>
    <col min="3064" max="3064" width="10.7109375" style="211" bestFit="1" customWidth="1"/>
    <col min="3065" max="3065" width="2.28515625" style="211" customWidth="1"/>
    <col min="3066" max="3066" width="9.140625" style="211"/>
    <col min="3067" max="3067" width="2.28515625" style="211" customWidth="1"/>
    <col min="3068" max="3068" width="9.140625" style="211"/>
    <col min="3069" max="3069" width="2.7109375" style="211" customWidth="1"/>
    <col min="3070" max="3311" width="9.140625" style="211"/>
    <col min="3312" max="3312" width="32.140625" style="211" customWidth="1"/>
    <col min="3313" max="3313" width="2.28515625" style="211" customWidth="1"/>
    <col min="3314" max="3314" width="11.7109375" style="211" bestFit="1" customWidth="1"/>
    <col min="3315" max="3315" width="2.28515625" style="211" customWidth="1"/>
    <col min="3316" max="3316" width="11.28515625" style="211" bestFit="1" customWidth="1"/>
    <col min="3317" max="3317" width="2.28515625" style="211" customWidth="1"/>
    <col min="3318" max="3318" width="11.140625" style="211" bestFit="1" customWidth="1"/>
    <col min="3319" max="3319" width="2.28515625" style="211" customWidth="1"/>
    <col min="3320" max="3320" width="10.7109375" style="211" bestFit="1" customWidth="1"/>
    <col min="3321" max="3321" width="2.28515625" style="211" customWidth="1"/>
    <col min="3322" max="3322" width="9.140625" style="211"/>
    <col min="3323" max="3323" width="2.28515625" style="211" customWidth="1"/>
    <col min="3324" max="3324" width="9.140625" style="211"/>
    <col min="3325" max="3325" width="2.7109375" style="211" customWidth="1"/>
    <col min="3326" max="3567" width="9.140625" style="211"/>
    <col min="3568" max="3568" width="32.140625" style="211" customWidth="1"/>
    <col min="3569" max="3569" width="2.28515625" style="211" customWidth="1"/>
    <col min="3570" max="3570" width="11.7109375" style="211" bestFit="1" customWidth="1"/>
    <col min="3571" max="3571" width="2.28515625" style="211" customWidth="1"/>
    <col min="3572" max="3572" width="11.28515625" style="211" bestFit="1" customWidth="1"/>
    <col min="3573" max="3573" width="2.28515625" style="211" customWidth="1"/>
    <col min="3574" max="3574" width="11.140625" style="211" bestFit="1" customWidth="1"/>
    <col min="3575" max="3575" width="2.28515625" style="211" customWidth="1"/>
    <col min="3576" max="3576" width="10.7109375" style="211" bestFit="1" customWidth="1"/>
    <col min="3577" max="3577" width="2.28515625" style="211" customWidth="1"/>
    <col min="3578" max="3578" width="9.140625" style="211"/>
    <col min="3579" max="3579" width="2.28515625" style="211" customWidth="1"/>
    <col min="3580" max="3580" width="9.140625" style="211"/>
    <col min="3581" max="3581" width="2.7109375" style="211" customWidth="1"/>
    <col min="3582" max="3823" width="9.140625" style="211"/>
    <col min="3824" max="3824" width="32.140625" style="211" customWidth="1"/>
    <col min="3825" max="3825" width="2.28515625" style="211" customWidth="1"/>
    <col min="3826" max="3826" width="11.7109375" style="211" bestFit="1" customWidth="1"/>
    <col min="3827" max="3827" width="2.28515625" style="211" customWidth="1"/>
    <col min="3828" max="3828" width="11.28515625" style="211" bestFit="1" customWidth="1"/>
    <col min="3829" max="3829" width="2.28515625" style="211" customWidth="1"/>
    <col min="3830" max="3830" width="11.140625" style="211" bestFit="1" customWidth="1"/>
    <col min="3831" max="3831" width="2.28515625" style="211" customWidth="1"/>
    <col min="3832" max="3832" width="10.7109375" style="211" bestFit="1" customWidth="1"/>
    <col min="3833" max="3833" width="2.28515625" style="211" customWidth="1"/>
    <col min="3834" max="3834" width="9.140625" style="211"/>
    <col min="3835" max="3835" width="2.28515625" style="211" customWidth="1"/>
    <col min="3836" max="3836" width="9.140625" style="211"/>
    <col min="3837" max="3837" width="2.7109375" style="211" customWidth="1"/>
    <col min="3838" max="4079" width="9.140625" style="211"/>
    <col min="4080" max="4080" width="32.140625" style="211" customWidth="1"/>
    <col min="4081" max="4081" width="2.28515625" style="211" customWidth="1"/>
    <col min="4082" max="4082" width="11.7109375" style="211" bestFit="1" customWidth="1"/>
    <col min="4083" max="4083" width="2.28515625" style="211" customWidth="1"/>
    <col min="4084" max="4084" width="11.28515625" style="211" bestFit="1" customWidth="1"/>
    <col min="4085" max="4085" width="2.28515625" style="211" customWidth="1"/>
    <col min="4086" max="4086" width="11.140625" style="211" bestFit="1" customWidth="1"/>
    <col min="4087" max="4087" width="2.28515625" style="211" customWidth="1"/>
    <col min="4088" max="4088" width="10.7109375" style="211" bestFit="1" customWidth="1"/>
    <col min="4089" max="4089" width="2.28515625" style="211" customWidth="1"/>
    <col min="4090" max="4090" width="9.140625" style="211"/>
    <col min="4091" max="4091" width="2.28515625" style="211" customWidth="1"/>
    <col min="4092" max="4092" width="9.140625" style="211"/>
    <col min="4093" max="4093" width="2.7109375" style="211" customWidth="1"/>
    <col min="4094" max="4335" width="9.140625" style="211"/>
    <col min="4336" max="4336" width="32.140625" style="211" customWidth="1"/>
    <col min="4337" max="4337" width="2.28515625" style="211" customWidth="1"/>
    <col min="4338" max="4338" width="11.7109375" style="211" bestFit="1" customWidth="1"/>
    <col min="4339" max="4339" width="2.28515625" style="211" customWidth="1"/>
    <col min="4340" max="4340" width="11.28515625" style="211" bestFit="1" customWidth="1"/>
    <col min="4341" max="4341" width="2.28515625" style="211" customWidth="1"/>
    <col min="4342" max="4342" width="11.140625" style="211" bestFit="1" customWidth="1"/>
    <col min="4343" max="4343" width="2.28515625" style="211" customWidth="1"/>
    <col min="4344" max="4344" width="10.7109375" style="211" bestFit="1" customWidth="1"/>
    <col min="4345" max="4345" width="2.28515625" style="211" customWidth="1"/>
    <col min="4346" max="4346" width="9.140625" style="211"/>
    <col min="4347" max="4347" width="2.28515625" style="211" customWidth="1"/>
    <col min="4348" max="4348" width="9.140625" style="211"/>
    <col min="4349" max="4349" width="2.7109375" style="211" customWidth="1"/>
    <col min="4350" max="4591" width="9.140625" style="211"/>
    <col min="4592" max="4592" width="32.140625" style="211" customWidth="1"/>
    <col min="4593" max="4593" width="2.28515625" style="211" customWidth="1"/>
    <col min="4594" max="4594" width="11.7109375" style="211" bestFit="1" customWidth="1"/>
    <col min="4595" max="4595" width="2.28515625" style="211" customWidth="1"/>
    <col min="4596" max="4596" width="11.28515625" style="211" bestFit="1" customWidth="1"/>
    <col min="4597" max="4597" width="2.28515625" style="211" customWidth="1"/>
    <col min="4598" max="4598" width="11.140625" style="211" bestFit="1" customWidth="1"/>
    <col min="4599" max="4599" width="2.28515625" style="211" customWidth="1"/>
    <col min="4600" max="4600" width="10.7109375" style="211" bestFit="1" customWidth="1"/>
    <col min="4601" max="4601" width="2.28515625" style="211" customWidth="1"/>
    <col min="4602" max="4602" width="9.140625" style="211"/>
    <col min="4603" max="4603" width="2.28515625" style="211" customWidth="1"/>
    <col min="4604" max="4604" width="9.140625" style="211"/>
    <col min="4605" max="4605" width="2.7109375" style="211" customWidth="1"/>
    <col min="4606" max="4847" width="9.140625" style="211"/>
    <col min="4848" max="4848" width="32.140625" style="211" customWidth="1"/>
    <col min="4849" max="4849" width="2.28515625" style="211" customWidth="1"/>
    <col min="4850" max="4850" width="11.7109375" style="211" bestFit="1" customWidth="1"/>
    <col min="4851" max="4851" width="2.28515625" style="211" customWidth="1"/>
    <col min="4852" max="4852" width="11.28515625" style="211" bestFit="1" customWidth="1"/>
    <col min="4853" max="4853" width="2.28515625" style="211" customWidth="1"/>
    <col min="4854" max="4854" width="11.140625" style="211" bestFit="1" customWidth="1"/>
    <col min="4855" max="4855" width="2.28515625" style="211" customWidth="1"/>
    <col min="4856" max="4856" width="10.7109375" style="211" bestFit="1" customWidth="1"/>
    <col min="4857" max="4857" width="2.28515625" style="211" customWidth="1"/>
    <col min="4858" max="4858" width="9.140625" style="211"/>
    <col min="4859" max="4859" width="2.28515625" style="211" customWidth="1"/>
    <col min="4860" max="4860" width="9.140625" style="211"/>
    <col min="4861" max="4861" width="2.7109375" style="211" customWidth="1"/>
    <col min="4862" max="5103" width="9.140625" style="211"/>
    <col min="5104" max="5104" width="32.140625" style="211" customWidth="1"/>
    <col min="5105" max="5105" width="2.28515625" style="211" customWidth="1"/>
    <col min="5106" max="5106" width="11.7109375" style="211" bestFit="1" customWidth="1"/>
    <col min="5107" max="5107" width="2.28515625" style="211" customWidth="1"/>
    <col min="5108" max="5108" width="11.28515625" style="211" bestFit="1" customWidth="1"/>
    <col min="5109" max="5109" width="2.28515625" style="211" customWidth="1"/>
    <col min="5110" max="5110" width="11.140625" style="211" bestFit="1" customWidth="1"/>
    <col min="5111" max="5111" width="2.28515625" style="211" customWidth="1"/>
    <col min="5112" max="5112" width="10.7109375" style="211" bestFit="1" customWidth="1"/>
    <col min="5113" max="5113" width="2.28515625" style="211" customWidth="1"/>
    <col min="5114" max="5114" width="9.140625" style="211"/>
    <col min="5115" max="5115" width="2.28515625" style="211" customWidth="1"/>
    <col min="5116" max="5116" width="9.140625" style="211"/>
    <col min="5117" max="5117" width="2.7109375" style="211" customWidth="1"/>
    <col min="5118" max="5359" width="9.140625" style="211"/>
    <col min="5360" max="5360" width="32.140625" style="211" customWidth="1"/>
    <col min="5361" max="5361" width="2.28515625" style="211" customWidth="1"/>
    <col min="5362" max="5362" width="11.7109375" style="211" bestFit="1" customWidth="1"/>
    <col min="5363" max="5363" width="2.28515625" style="211" customWidth="1"/>
    <col min="5364" max="5364" width="11.28515625" style="211" bestFit="1" customWidth="1"/>
    <col min="5365" max="5365" width="2.28515625" style="211" customWidth="1"/>
    <col min="5366" max="5366" width="11.140625" style="211" bestFit="1" customWidth="1"/>
    <col min="5367" max="5367" width="2.28515625" style="211" customWidth="1"/>
    <col min="5368" max="5368" width="10.7109375" style="211" bestFit="1" customWidth="1"/>
    <col min="5369" max="5369" width="2.28515625" style="211" customWidth="1"/>
    <col min="5370" max="5370" width="9.140625" style="211"/>
    <col min="5371" max="5371" width="2.28515625" style="211" customWidth="1"/>
    <col min="5372" max="5372" width="9.140625" style="211"/>
    <col min="5373" max="5373" width="2.7109375" style="211" customWidth="1"/>
    <col min="5374" max="5615" width="9.140625" style="211"/>
    <col min="5616" max="5616" width="32.140625" style="211" customWidth="1"/>
    <col min="5617" max="5617" width="2.28515625" style="211" customWidth="1"/>
    <col min="5618" max="5618" width="11.7109375" style="211" bestFit="1" customWidth="1"/>
    <col min="5619" max="5619" width="2.28515625" style="211" customWidth="1"/>
    <col min="5620" max="5620" width="11.28515625" style="211" bestFit="1" customWidth="1"/>
    <col min="5621" max="5621" width="2.28515625" style="211" customWidth="1"/>
    <col min="5622" max="5622" width="11.140625" style="211" bestFit="1" customWidth="1"/>
    <col min="5623" max="5623" width="2.28515625" style="211" customWidth="1"/>
    <col min="5624" max="5624" width="10.7109375" style="211" bestFit="1" customWidth="1"/>
    <col min="5625" max="5625" width="2.28515625" style="211" customWidth="1"/>
    <col min="5626" max="5626" width="9.140625" style="211"/>
    <col min="5627" max="5627" width="2.28515625" style="211" customWidth="1"/>
    <col min="5628" max="5628" width="9.140625" style="211"/>
    <col min="5629" max="5629" width="2.7109375" style="211" customWidth="1"/>
    <col min="5630" max="5871" width="9.140625" style="211"/>
    <col min="5872" max="5872" width="32.140625" style="211" customWidth="1"/>
    <col min="5873" max="5873" width="2.28515625" style="211" customWidth="1"/>
    <col min="5874" max="5874" width="11.7109375" style="211" bestFit="1" customWidth="1"/>
    <col min="5875" max="5875" width="2.28515625" style="211" customWidth="1"/>
    <col min="5876" max="5876" width="11.28515625" style="211" bestFit="1" customWidth="1"/>
    <col min="5877" max="5877" width="2.28515625" style="211" customWidth="1"/>
    <col min="5878" max="5878" width="11.140625" style="211" bestFit="1" customWidth="1"/>
    <col min="5879" max="5879" width="2.28515625" style="211" customWidth="1"/>
    <col min="5880" max="5880" width="10.7109375" style="211" bestFit="1" customWidth="1"/>
    <col min="5881" max="5881" width="2.28515625" style="211" customWidth="1"/>
    <col min="5882" max="5882" width="9.140625" style="211"/>
    <col min="5883" max="5883" width="2.28515625" style="211" customWidth="1"/>
    <col min="5884" max="5884" width="9.140625" style="211"/>
    <col min="5885" max="5885" width="2.7109375" style="211" customWidth="1"/>
    <col min="5886" max="6127" width="9.140625" style="211"/>
    <col min="6128" max="6128" width="32.140625" style="211" customWidth="1"/>
    <col min="6129" max="6129" width="2.28515625" style="211" customWidth="1"/>
    <col min="6130" max="6130" width="11.7109375" style="211" bestFit="1" customWidth="1"/>
    <col min="6131" max="6131" width="2.28515625" style="211" customWidth="1"/>
    <col min="6132" max="6132" width="11.28515625" style="211" bestFit="1" customWidth="1"/>
    <col min="6133" max="6133" width="2.28515625" style="211" customWidth="1"/>
    <col min="6134" max="6134" width="11.140625" style="211" bestFit="1" customWidth="1"/>
    <col min="6135" max="6135" width="2.28515625" style="211" customWidth="1"/>
    <col min="6136" max="6136" width="10.7109375" style="211" bestFit="1" customWidth="1"/>
    <col min="6137" max="6137" width="2.28515625" style="211" customWidth="1"/>
    <col min="6138" max="6138" width="9.140625" style="211"/>
    <col min="6139" max="6139" width="2.28515625" style="211" customWidth="1"/>
    <col min="6140" max="6140" width="9.140625" style="211"/>
    <col min="6141" max="6141" width="2.7109375" style="211" customWidth="1"/>
    <col min="6142" max="6383" width="9.140625" style="211"/>
    <col min="6384" max="6384" width="32.140625" style="211" customWidth="1"/>
    <col min="6385" max="6385" width="2.28515625" style="211" customWidth="1"/>
    <col min="6386" max="6386" width="11.7109375" style="211" bestFit="1" customWidth="1"/>
    <col min="6387" max="6387" width="2.28515625" style="211" customWidth="1"/>
    <col min="6388" max="6388" width="11.28515625" style="211" bestFit="1" customWidth="1"/>
    <col min="6389" max="6389" width="2.28515625" style="211" customWidth="1"/>
    <col min="6390" max="6390" width="11.140625" style="211" bestFit="1" customWidth="1"/>
    <col min="6391" max="6391" width="2.28515625" style="211" customWidth="1"/>
    <col min="6392" max="6392" width="10.7109375" style="211" bestFit="1" customWidth="1"/>
    <col min="6393" max="6393" width="2.28515625" style="211" customWidth="1"/>
    <col min="6394" max="6394" width="9.140625" style="211"/>
    <col min="6395" max="6395" width="2.28515625" style="211" customWidth="1"/>
    <col min="6396" max="6396" width="9.140625" style="211"/>
    <col min="6397" max="6397" width="2.7109375" style="211" customWidth="1"/>
    <col min="6398" max="6639" width="9.140625" style="211"/>
    <col min="6640" max="6640" width="32.140625" style="211" customWidth="1"/>
    <col min="6641" max="6641" width="2.28515625" style="211" customWidth="1"/>
    <col min="6642" max="6642" width="11.7109375" style="211" bestFit="1" customWidth="1"/>
    <col min="6643" max="6643" width="2.28515625" style="211" customWidth="1"/>
    <col min="6644" max="6644" width="11.28515625" style="211" bestFit="1" customWidth="1"/>
    <col min="6645" max="6645" width="2.28515625" style="211" customWidth="1"/>
    <col min="6646" max="6646" width="11.140625" style="211" bestFit="1" customWidth="1"/>
    <col min="6647" max="6647" width="2.28515625" style="211" customWidth="1"/>
    <col min="6648" max="6648" width="10.7109375" style="211" bestFit="1" customWidth="1"/>
    <col min="6649" max="6649" width="2.28515625" style="211" customWidth="1"/>
    <col min="6650" max="6650" width="9.140625" style="211"/>
    <col min="6651" max="6651" width="2.28515625" style="211" customWidth="1"/>
    <col min="6652" max="6652" width="9.140625" style="211"/>
    <col min="6653" max="6653" width="2.7109375" style="211" customWidth="1"/>
    <col min="6654" max="6895" width="9.140625" style="211"/>
    <col min="6896" max="6896" width="32.140625" style="211" customWidth="1"/>
    <col min="6897" max="6897" width="2.28515625" style="211" customWidth="1"/>
    <col min="6898" max="6898" width="11.7109375" style="211" bestFit="1" customWidth="1"/>
    <col min="6899" max="6899" width="2.28515625" style="211" customWidth="1"/>
    <col min="6900" max="6900" width="11.28515625" style="211" bestFit="1" customWidth="1"/>
    <col min="6901" max="6901" width="2.28515625" style="211" customWidth="1"/>
    <col min="6902" max="6902" width="11.140625" style="211" bestFit="1" customWidth="1"/>
    <col min="6903" max="6903" width="2.28515625" style="211" customWidth="1"/>
    <col min="6904" max="6904" width="10.7109375" style="211" bestFit="1" customWidth="1"/>
    <col min="6905" max="6905" width="2.28515625" style="211" customWidth="1"/>
    <col min="6906" max="6906" width="9.140625" style="211"/>
    <col min="6907" max="6907" width="2.28515625" style="211" customWidth="1"/>
    <col min="6908" max="6908" width="9.140625" style="211"/>
    <col min="6909" max="6909" width="2.7109375" style="211" customWidth="1"/>
    <col min="6910" max="7151" width="9.140625" style="211"/>
    <col min="7152" max="7152" width="32.140625" style="211" customWidth="1"/>
    <col min="7153" max="7153" width="2.28515625" style="211" customWidth="1"/>
    <col min="7154" max="7154" width="11.7109375" style="211" bestFit="1" customWidth="1"/>
    <col min="7155" max="7155" width="2.28515625" style="211" customWidth="1"/>
    <col min="7156" max="7156" width="11.28515625" style="211" bestFit="1" customWidth="1"/>
    <col min="7157" max="7157" width="2.28515625" style="211" customWidth="1"/>
    <col min="7158" max="7158" width="11.140625" style="211" bestFit="1" customWidth="1"/>
    <col min="7159" max="7159" width="2.28515625" style="211" customWidth="1"/>
    <col min="7160" max="7160" width="10.7109375" style="211" bestFit="1" customWidth="1"/>
    <col min="7161" max="7161" width="2.28515625" style="211" customWidth="1"/>
    <col min="7162" max="7162" width="9.140625" style="211"/>
    <col min="7163" max="7163" width="2.28515625" style="211" customWidth="1"/>
    <col min="7164" max="7164" width="9.140625" style="211"/>
    <col min="7165" max="7165" width="2.7109375" style="211" customWidth="1"/>
    <col min="7166" max="7407" width="9.140625" style="211"/>
    <col min="7408" max="7408" width="32.140625" style="211" customWidth="1"/>
    <col min="7409" max="7409" width="2.28515625" style="211" customWidth="1"/>
    <col min="7410" max="7410" width="11.7109375" style="211" bestFit="1" customWidth="1"/>
    <col min="7411" max="7411" width="2.28515625" style="211" customWidth="1"/>
    <col min="7412" max="7412" width="11.28515625" style="211" bestFit="1" customWidth="1"/>
    <col min="7413" max="7413" width="2.28515625" style="211" customWidth="1"/>
    <col min="7414" max="7414" width="11.140625" style="211" bestFit="1" customWidth="1"/>
    <col min="7415" max="7415" width="2.28515625" style="211" customWidth="1"/>
    <col min="7416" max="7416" width="10.7109375" style="211" bestFit="1" customWidth="1"/>
    <col min="7417" max="7417" width="2.28515625" style="211" customWidth="1"/>
    <col min="7418" max="7418" width="9.140625" style="211"/>
    <col min="7419" max="7419" width="2.28515625" style="211" customWidth="1"/>
    <col min="7420" max="7420" width="9.140625" style="211"/>
    <col min="7421" max="7421" width="2.7109375" style="211" customWidth="1"/>
    <col min="7422" max="7663" width="9.140625" style="211"/>
    <col min="7664" max="7664" width="32.140625" style="211" customWidth="1"/>
    <col min="7665" max="7665" width="2.28515625" style="211" customWidth="1"/>
    <col min="7666" max="7666" width="11.7109375" style="211" bestFit="1" customWidth="1"/>
    <col min="7667" max="7667" width="2.28515625" style="211" customWidth="1"/>
    <col min="7668" max="7668" width="11.28515625" style="211" bestFit="1" customWidth="1"/>
    <col min="7669" max="7669" width="2.28515625" style="211" customWidth="1"/>
    <col min="7670" max="7670" width="11.140625" style="211" bestFit="1" customWidth="1"/>
    <col min="7671" max="7671" width="2.28515625" style="211" customWidth="1"/>
    <col min="7672" max="7672" width="10.7109375" style="211" bestFit="1" customWidth="1"/>
    <col min="7673" max="7673" width="2.28515625" style="211" customWidth="1"/>
    <col min="7674" max="7674" width="9.140625" style="211"/>
    <col min="7675" max="7675" width="2.28515625" style="211" customWidth="1"/>
    <col min="7676" max="7676" width="9.140625" style="211"/>
    <col min="7677" max="7677" width="2.7109375" style="211" customWidth="1"/>
    <col min="7678" max="7919" width="9.140625" style="211"/>
    <col min="7920" max="7920" width="32.140625" style="211" customWidth="1"/>
    <col min="7921" max="7921" width="2.28515625" style="211" customWidth="1"/>
    <col min="7922" max="7922" width="11.7109375" style="211" bestFit="1" customWidth="1"/>
    <col min="7923" max="7923" width="2.28515625" style="211" customWidth="1"/>
    <col min="7924" max="7924" width="11.28515625" style="211" bestFit="1" customWidth="1"/>
    <col min="7925" max="7925" width="2.28515625" style="211" customWidth="1"/>
    <col min="7926" max="7926" width="11.140625" style="211" bestFit="1" customWidth="1"/>
    <col min="7927" max="7927" width="2.28515625" style="211" customWidth="1"/>
    <col min="7928" max="7928" width="10.7109375" style="211" bestFit="1" customWidth="1"/>
    <col min="7929" max="7929" width="2.28515625" style="211" customWidth="1"/>
    <col min="7930" max="7930" width="9.140625" style="211"/>
    <col min="7931" max="7931" width="2.28515625" style="211" customWidth="1"/>
    <col min="7932" max="7932" width="9.140625" style="211"/>
    <col min="7933" max="7933" width="2.7109375" style="211" customWidth="1"/>
    <col min="7934" max="8175" width="9.140625" style="211"/>
    <col min="8176" max="8176" width="32.140625" style="211" customWidth="1"/>
    <col min="8177" max="8177" width="2.28515625" style="211" customWidth="1"/>
    <col min="8178" max="8178" width="11.7109375" style="211" bestFit="1" customWidth="1"/>
    <col min="8179" max="8179" width="2.28515625" style="211" customWidth="1"/>
    <col min="8180" max="8180" width="11.28515625" style="211" bestFit="1" customWidth="1"/>
    <col min="8181" max="8181" width="2.28515625" style="211" customWidth="1"/>
    <col min="8182" max="8182" width="11.140625" style="211" bestFit="1" customWidth="1"/>
    <col min="8183" max="8183" width="2.28515625" style="211" customWidth="1"/>
    <col min="8184" max="8184" width="10.7109375" style="211" bestFit="1" customWidth="1"/>
    <col min="8185" max="8185" width="2.28515625" style="211" customWidth="1"/>
    <col min="8186" max="8186" width="9.140625" style="211"/>
    <col min="8187" max="8187" width="2.28515625" style="211" customWidth="1"/>
    <col min="8188" max="8188" width="9.140625" style="211"/>
    <col min="8189" max="8189" width="2.7109375" style="211" customWidth="1"/>
    <col min="8190" max="8431" width="9.140625" style="211"/>
    <col min="8432" max="8432" width="32.140625" style="211" customWidth="1"/>
    <col min="8433" max="8433" width="2.28515625" style="211" customWidth="1"/>
    <col min="8434" max="8434" width="11.7109375" style="211" bestFit="1" customWidth="1"/>
    <col min="8435" max="8435" width="2.28515625" style="211" customWidth="1"/>
    <col min="8436" max="8436" width="11.28515625" style="211" bestFit="1" customWidth="1"/>
    <col min="8437" max="8437" width="2.28515625" style="211" customWidth="1"/>
    <col min="8438" max="8438" width="11.140625" style="211" bestFit="1" customWidth="1"/>
    <col min="8439" max="8439" width="2.28515625" style="211" customWidth="1"/>
    <col min="8440" max="8440" width="10.7109375" style="211" bestFit="1" customWidth="1"/>
    <col min="8441" max="8441" width="2.28515625" style="211" customWidth="1"/>
    <col min="8442" max="8442" width="9.140625" style="211"/>
    <col min="8443" max="8443" width="2.28515625" style="211" customWidth="1"/>
    <col min="8444" max="8444" width="9.140625" style="211"/>
    <col min="8445" max="8445" width="2.7109375" style="211" customWidth="1"/>
    <col min="8446" max="8687" width="9.140625" style="211"/>
    <col min="8688" max="8688" width="32.140625" style="211" customWidth="1"/>
    <col min="8689" max="8689" width="2.28515625" style="211" customWidth="1"/>
    <col min="8690" max="8690" width="11.7109375" style="211" bestFit="1" customWidth="1"/>
    <col min="8691" max="8691" width="2.28515625" style="211" customWidth="1"/>
    <col min="8692" max="8692" width="11.28515625" style="211" bestFit="1" customWidth="1"/>
    <col min="8693" max="8693" width="2.28515625" style="211" customWidth="1"/>
    <col min="8694" max="8694" width="11.140625" style="211" bestFit="1" customWidth="1"/>
    <col min="8695" max="8695" width="2.28515625" style="211" customWidth="1"/>
    <col min="8696" max="8696" width="10.7109375" style="211" bestFit="1" customWidth="1"/>
    <col min="8697" max="8697" width="2.28515625" style="211" customWidth="1"/>
    <col min="8698" max="8698" width="9.140625" style="211"/>
    <col min="8699" max="8699" width="2.28515625" style="211" customWidth="1"/>
    <col min="8700" max="8700" width="9.140625" style="211"/>
    <col min="8701" max="8701" width="2.7109375" style="211" customWidth="1"/>
    <col min="8702" max="8943" width="9.140625" style="211"/>
    <col min="8944" max="8944" width="32.140625" style="211" customWidth="1"/>
    <col min="8945" max="8945" width="2.28515625" style="211" customWidth="1"/>
    <col min="8946" max="8946" width="11.7109375" style="211" bestFit="1" customWidth="1"/>
    <col min="8947" max="8947" width="2.28515625" style="211" customWidth="1"/>
    <col min="8948" max="8948" width="11.28515625" style="211" bestFit="1" customWidth="1"/>
    <col min="8949" max="8949" width="2.28515625" style="211" customWidth="1"/>
    <col min="8950" max="8950" width="11.140625" style="211" bestFit="1" customWidth="1"/>
    <col min="8951" max="8951" width="2.28515625" style="211" customWidth="1"/>
    <col min="8952" max="8952" width="10.7109375" style="211" bestFit="1" customWidth="1"/>
    <col min="8953" max="8953" width="2.28515625" style="211" customWidth="1"/>
    <col min="8954" max="8954" width="9.140625" style="211"/>
    <col min="8955" max="8955" width="2.28515625" style="211" customWidth="1"/>
    <col min="8956" max="8956" width="9.140625" style="211"/>
    <col min="8957" max="8957" width="2.7109375" style="211" customWidth="1"/>
    <col min="8958" max="9199" width="9.140625" style="211"/>
    <col min="9200" max="9200" width="32.140625" style="211" customWidth="1"/>
    <col min="9201" max="9201" width="2.28515625" style="211" customWidth="1"/>
    <col min="9202" max="9202" width="11.7109375" style="211" bestFit="1" customWidth="1"/>
    <col min="9203" max="9203" width="2.28515625" style="211" customWidth="1"/>
    <col min="9204" max="9204" width="11.28515625" style="211" bestFit="1" customWidth="1"/>
    <col min="9205" max="9205" width="2.28515625" style="211" customWidth="1"/>
    <col min="9206" max="9206" width="11.140625" style="211" bestFit="1" customWidth="1"/>
    <col min="9207" max="9207" width="2.28515625" style="211" customWidth="1"/>
    <col min="9208" max="9208" width="10.7109375" style="211" bestFit="1" customWidth="1"/>
    <col min="9209" max="9209" width="2.28515625" style="211" customWidth="1"/>
    <col min="9210" max="9210" width="9.140625" style="211"/>
    <col min="9211" max="9211" width="2.28515625" style="211" customWidth="1"/>
    <col min="9212" max="9212" width="9.140625" style="211"/>
    <col min="9213" max="9213" width="2.7109375" style="211" customWidth="1"/>
    <col min="9214" max="9455" width="9.140625" style="211"/>
    <col min="9456" max="9456" width="32.140625" style="211" customWidth="1"/>
    <col min="9457" max="9457" width="2.28515625" style="211" customWidth="1"/>
    <col min="9458" max="9458" width="11.7109375" style="211" bestFit="1" customWidth="1"/>
    <col min="9459" max="9459" width="2.28515625" style="211" customWidth="1"/>
    <col min="9460" max="9460" width="11.28515625" style="211" bestFit="1" customWidth="1"/>
    <col min="9461" max="9461" width="2.28515625" style="211" customWidth="1"/>
    <col min="9462" max="9462" width="11.140625" style="211" bestFit="1" customWidth="1"/>
    <col min="9463" max="9463" width="2.28515625" style="211" customWidth="1"/>
    <col min="9464" max="9464" width="10.7109375" style="211" bestFit="1" customWidth="1"/>
    <col min="9465" max="9465" width="2.28515625" style="211" customWidth="1"/>
    <col min="9466" max="9466" width="9.140625" style="211"/>
    <col min="9467" max="9467" width="2.28515625" style="211" customWidth="1"/>
    <col min="9468" max="9468" width="9.140625" style="211"/>
    <col min="9469" max="9469" width="2.7109375" style="211" customWidth="1"/>
    <col min="9470" max="9711" width="9.140625" style="211"/>
    <col min="9712" max="9712" width="32.140625" style="211" customWidth="1"/>
    <col min="9713" max="9713" width="2.28515625" style="211" customWidth="1"/>
    <col min="9714" max="9714" width="11.7109375" style="211" bestFit="1" customWidth="1"/>
    <col min="9715" max="9715" width="2.28515625" style="211" customWidth="1"/>
    <col min="9716" max="9716" width="11.28515625" style="211" bestFit="1" customWidth="1"/>
    <col min="9717" max="9717" width="2.28515625" style="211" customWidth="1"/>
    <col min="9718" max="9718" width="11.140625" style="211" bestFit="1" customWidth="1"/>
    <col min="9719" max="9719" width="2.28515625" style="211" customWidth="1"/>
    <col min="9720" max="9720" width="10.7109375" style="211" bestFit="1" customWidth="1"/>
    <col min="9721" max="9721" width="2.28515625" style="211" customWidth="1"/>
    <col min="9722" max="9722" width="9.140625" style="211"/>
    <col min="9723" max="9723" width="2.28515625" style="211" customWidth="1"/>
    <col min="9724" max="9724" width="9.140625" style="211"/>
    <col min="9725" max="9725" width="2.7109375" style="211" customWidth="1"/>
    <col min="9726" max="9967" width="9.140625" style="211"/>
    <col min="9968" max="9968" width="32.140625" style="211" customWidth="1"/>
    <col min="9969" max="9969" width="2.28515625" style="211" customWidth="1"/>
    <col min="9970" max="9970" width="11.7109375" style="211" bestFit="1" customWidth="1"/>
    <col min="9971" max="9971" width="2.28515625" style="211" customWidth="1"/>
    <col min="9972" max="9972" width="11.28515625" style="211" bestFit="1" customWidth="1"/>
    <col min="9973" max="9973" width="2.28515625" style="211" customWidth="1"/>
    <col min="9974" max="9974" width="11.140625" style="211" bestFit="1" customWidth="1"/>
    <col min="9975" max="9975" width="2.28515625" style="211" customWidth="1"/>
    <col min="9976" max="9976" width="10.7109375" style="211" bestFit="1" customWidth="1"/>
    <col min="9977" max="9977" width="2.28515625" style="211" customWidth="1"/>
    <col min="9978" max="9978" width="9.140625" style="211"/>
    <col min="9979" max="9979" width="2.28515625" style="211" customWidth="1"/>
    <col min="9980" max="9980" width="9.140625" style="211"/>
    <col min="9981" max="9981" width="2.7109375" style="211" customWidth="1"/>
    <col min="9982" max="10223" width="9.140625" style="211"/>
    <col min="10224" max="10224" width="32.140625" style="211" customWidth="1"/>
    <col min="10225" max="10225" width="2.28515625" style="211" customWidth="1"/>
    <col min="10226" max="10226" width="11.7109375" style="211" bestFit="1" customWidth="1"/>
    <col min="10227" max="10227" width="2.28515625" style="211" customWidth="1"/>
    <col min="10228" max="10228" width="11.28515625" style="211" bestFit="1" customWidth="1"/>
    <col min="10229" max="10229" width="2.28515625" style="211" customWidth="1"/>
    <col min="10230" max="10230" width="11.140625" style="211" bestFit="1" customWidth="1"/>
    <col min="10231" max="10231" width="2.28515625" style="211" customWidth="1"/>
    <col min="10232" max="10232" width="10.7109375" style="211" bestFit="1" customWidth="1"/>
    <col min="10233" max="10233" width="2.28515625" style="211" customWidth="1"/>
    <col min="10234" max="10234" width="9.140625" style="211"/>
    <col min="10235" max="10235" width="2.28515625" style="211" customWidth="1"/>
    <col min="10236" max="10236" width="9.140625" style="211"/>
    <col min="10237" max="10237" width="2.7109375" style="211" customWidth="1"/>
    <col min="10238" max="10479" width="9.140625" style="211"/>
    <col min="10480" max="10480" width="32.140625" style="211" customWidth="1"/>
    <col min="10481" max="10481" width="2.28515625" style="211" customWidth="1"/>
    <col min="10482" max="10482" width="11.7109375" style="211" bestFit="1" customWidth="1"/>
    <col min="10483" max="10483" width="2.28515625" style="211" customWidth="1"/>
    <col min="10484" max="10484" width="11.28515625" style="211" bestFit="1" customWidth="1"/>
    <col min="10485" max="10485" width="2.28515625" style="211" customWidth="1"/>
    <col min="10486" max="10486" width="11.140625" style="211" bestFit="1" customWidth="1"/>
    <col min="10487" max="10487" width="2.28515625" style="211" customWidth="1"/>
    <col min="10488" max="10488" width="10.7109375" style="211" bestFit="1" customWidth="1"/>
    <col min="10489" max="10489" width="2.28515625" style="211" customWidth="1"/>
    <col min="10490" max="10490" width="9.140625" style="211"/>
    <col min="10491" max="10491" width="2.28515625" style="211" customWidth="1"/>
    <col min="10492" max="10492" width="9.140625" style="211"/>
    <col min="10493" max="10493" width="2.7109375" style="211" customWidth="1"/>
    <col min="10494" max="10735" width="9.140625" style="211"/>
    <col min="10736" max="10736" width="32.140625" style="211" customWidth="1"/>
    <col min="10737" max="10737" width="2.28515625" style="211" customWidth="1"/>
    <col min="10738" max="10738" width="11.7109375" style="211" bestFit="1" customWidth="1"/>
    <col min="10739" max="10739" width="2.28515625" style="211" customWidth="1"/>
    <col min="10740" max="10740" width="11.28515625" style="211" bestFit="1" customWidth="1"/>
    <col min="10741" max="10741" width="2.28515625" style="211" customWidth="1"/>
    <col min="10742" max="10742" width="11.140625" style="211" bestFit="1" customWidth="1"/>
    <col min="10743" max="10743" width="2.28515625" style="211" customWidth="1"/>
    <col min="10744" max="10744" width="10.7109375" style="211" bestFit="1" customWidth="1"/>
    <col min="10745" max="10745" width="2.28515625" style="211" customWidth="1"/>
    <col min="10746" max="10746" width="9.140625" style="211"/>
    <col min="10747" max="10747" width="2.28515625" style="211" customWidth="1"/>
    <col min="10748" max="10748" width="9.140625" style="211"/>
    <col min="10749" max="10749" width="2.7109375" style="211" customWidth="1"/>
    <col min="10750" max="10991" width="9.140625" style="211"/>
    <col min="10992" max="10992" width="32.140625" style="211" customWidth="1"/>
    <col min="10993" max="10993" width="2.28515625" style="211" customWidth="1"/>
    <col min="10994" max="10994" width="11.7109375" style="211" bestFit="1" customWidth="1"/>
    <col min="10995" max="10995" width="2.28515625" style="211" customWidth="1"/>
    <col min="10996" max="10996" width="11.28515625" style="211" bestFit="1" customWidth="1"/>
    <col min="10997" max="10997" width="2.28515625" style="211" customWidth="1"/>
    <col min="10998" max="10998" width="11.140625" style="211" bestFit="1" customWidth="1"/>
    <col min="10999" max="10999" width="2.28515625" style="211" customWidth="1"/>
    <col min="11000" max="11000" width="10.7109375" style="211" bestFit="1" customWidth="1"/>
    <col min="11001" max="11001" width="2.28515625" style="211" customWidth="1"/>
    <col min="11002" max="11002" width="9.140625" style="211"/>
    <col min="11003" max="11003" width="2.28515625" style="211" customWidth="1"/>
    <col min="11004" max="11004" width="9.140625" style="211"/>
    <col min="11005" max="11005" width="2.7109375" style="211" customWidth="1"/>
    <col min="11006" max="11247" width="9.140625" style="211"/>
    <col min="11248" max="11248" width="32.140625" style="211" customWidth="1"/>
    <col min="11249" max="11249" width="2.28515625" style="211" customWidth="1"/>
    <col min="11250" max="11250" width="11.7109375" style="211" bestFit="1" customWidth="1"/>
    <col min="11251" max="11251" width="2.28515625" style="211" customWidth="1"/>
    <col min="11252" max="11252" width="11.28515625" style="211" bestFit="1" customWidth="1"/>
    <col min="11253" max="11253" width="2.28515625" style="211" customWidth="1"/>
    <col min="11254" max="11254" width="11.140625" style="211" bestFit="1" customWidth="1"/>
    <col min="11255" max="11255" width="2.28515625" style="211" customWidth="1"/>
    <col min="11256" max="11256" width="10.7109375" style="211" bestFit="1" customWidth="1"/>
    <col min="11257" max="11257" width="2.28515625" style="211" customWidth="1"/>
    <col min="11258" max="11258" width="9.140625" style="211"/>
    <col min="11259" max="11259" width="2.28515625" style="211" customWidth="1"/>
    <col min="11260" max="11260" width="9.140625" style="211"/>
    <col min="11261" max="11261" width="2.7109375" style="211" customWidth="1"/>
    <col min="11262" max="11503" width="9.140625" style="211"/>
    <col min="11504" max="11504" width="32.140625" style="211" customWidth="1"/>
    <col min="11505" max="11505" width="2.28515625" style="211" customWidth="1"/>
    <col min="11506" max="11506" width="11.7109375" style="211" bestFit="1" customWidth="1"/>
    <col min="11507" max="11507" width="2.28515625" style="211" customWidth="1"/>
    <col min="11508" max="11508" width="11.28515625" style="211" bestFit="1" customWidth="1"/>
    <col min="11509" max="11509" width="2.28515625" style="211" customWidth="1"/>
    <col min="11510" max="11510" width="11.140625" style="211" bestFit="1" customWidth="1"/>
    <col min="11511" max="11511" width="2.28515625" style="211" customWidth="1"/>
    <col min="11512" max="11512" width="10.7109375" style="211" bestFit="1" customWidth="1"/>
    <col min="11513" max="11513" width="2.28515625" style="211" customWidth="1"/>
    <col min="11514" max="11514" width="9.140625" style="211"/>
    <col min="11515" max="11515" width="2.28515625" style="211" customWidth="1"/>
    <col min="11516" max="11516" width="9.140625" style="211"/>
    <col min="11517" max="11517" width="2.7109375" style="211" customWidth="1"/>
    <col min="11518" max="11759" width="9.140625" style="211"/>
    <col min="11760" max="11760" width="32.140625" style="211" customWidth="1"/>
    <col min="11761" max="11761" width="2.28515625" style="211" customWidth="1"/>
    <col min="11762" max="11762" width="11.7109375" style="211" bestFit="1" customWidth="1"/>
    <col min="11763" max="11763" width="2.28515625" style="211" customWidth="1"/>
    <col min="11764" max="11764" width="11.28515625" style="211" bestFit="1" customWidth="1"/>
    <col min="11765" max="11765" width="2.28515625" style="211" customWidth="1"/>
    <col min="11766" max="11766" width="11.140625" style="211" bestFit="1" customWidth="1"/>
    <col min="11767" max="11767" width="2.28515625" style="211" customWidth="1"/>
    <col min="11768" max="11768" width="10.7109375" style="211" bestFit="1" customWidth="1"/>
    <col min="11769" max="11769" width="2.28515625" style="211" customWidth="1"/>
    <col min="11770" max="11770" width="9.140625" style="211"/>
    <col min="11771" max="11771" width="2.28515625" style="211" customWidth="1"/>
    <col min="11772" max="11772" width="9.140625" style="211"/>
    <col min="11773" max="11773" width="2.7109375" style="211" customWidth="1"/>
    <col min="11774" max="12015" width="9.140625" style="211"/>
    <col min="12016" max="12016" width="32.140625" style="211" customWidth="1"/>
    <col min="12017" max="12017" width="2.28515625" style="211" customWidth="1"/>
    <col min="12018" max="12018" width="11.7109375" style="211" bestFit="1" customWidth="1"/>
    <col min="12019" max="12019" width="2.28515625" style="211" customWidth="1"/>
    <col min="12020" max="12020" width="11.28515625" style="211" bestFit="1" customWidth="1"/>
    <col min="12021" max="12021" width="2.28515625" style="211" customWidth="1"/>
    <col min="12022" max="12022" width="11.140625" style="211" bestFit="1" customWidth="1"/>
    <col min="12023" max="12023" width="2.28515625" style="211" customWidth="1"/>
    <col min="12024" max="12024" width="10.7109375" style="211" bestFit="1" customWidth="1"/>
    <col min="12025" max="12025" width="2.28515625" style="211" customWidth="1"/>
    <col min="12026" max="12026" width="9.140625" style="211"/>
    <col min="12027" max="12027" width="2.28515625" style="211" customWidth="1"/>
    <col min="12028" max="12028" width="9.140625" style="211"/>
    <col min="12029" max="12029" width="2.7109375" style="211" customWidth="1"/>
    <col min="12030" max="12271" width="9.140625" style="211"/>
    <col min="12272" max="12272" width="32.140625" style="211" customWidth="1"/>
    <col min="12273" max="12273" width="2.28515625" style="211" customWidth="1"/>
    <col min="12274" max="12274" width="11.7109375" style="211" bestFit="1" customWidth="1"/>
    <col min="12275" max="12275" width="2.28515625" style="211" customWidth="1"/>
    <col min="12276" max="12276" width="11.28515625" style="211" bestFit="1" customWidth="1"/>
    <col min="12277" max="12277" width="2.28515625" style="211" customWidth="1"/>
    <col min="12278" max="12278" width="11.140625" style="211" bestFit="1" customWidth="1"/>
    <col min="12279" max="12279" width="2.28515625" style="211" customWidth="1"/>
    <col min="12280" max="12280" width="10.7109375" style="211" bestFit="1" customWidth="1"/>
    <col min="12281" max="12281" width="2.28515625" style="211" customWidth="1"/>
    <col min="12282" max="12282" width="9.140625" style="211"/>
    <col min="12283" max="12283" width="2.28515625" style="211" customWidth="1"/>
    <col min="12284" max="12284" width="9.140625" style="211"/>
    <col min="12285" max="12285" width="2.7109375" style="211" customWidth="1"/>
    <col min="12286" max="12527" width="9.140625" style="211"/>
    <col min="12528" max="12528" width="32.140625" style="211" customWidth="1"/>
    <col min="12529" max="12529" width="2.28515625" style="211" customWidth="1"/>
    <col min="12530" max="12530" width="11.7109375" style="211" bestFit="1" customWidth="1"/>
    <col min="12531" max="12531" width="2.28515625" style="211" customWidth="1"/>
    <col min="12532" max="12532" width="11.28515625" style="211" bestFit="1" customWidth="1"/>
    <col min="12533" max="12533" width="2.28515625" style="211" customWidth="1"/>
    <col min="12534" max="12534" width="11.140625" style="211" bestFit="1" customWidth="1"/>
    <col min="12535" max="12535" width="2.28515625" style="211" customWidth="1"/>
    <col min="12536" max="12536" width="10.7109375" style="211" bestFit="1" customWidth="1"/>
    <col min="12537" max="12537" width="2.28515625" style="211" customWidth="1"/>
    <col min="12538" max="12538" width="9.140625" style="211"/>
    <col min="12539" max="12539" width="2.28515625" style="211" customWidth="1"/>
    <col min="12540" max="12540" width="9.140625" style="211"/>
    <col min="12541" max="12541" width="2.7109375" style="211" customWidth="1"/>
    <col min="12542" max="12783" width="9.140625" style="211"/>
    <col min="12784" max="12784" width="32.140625" style="211" customWidth="1"/>
    <col min="12785" max="12785" width="2.28515625" style="211" customWidth="1"/>
    <col min="12786" max="12786" width="11.7109375" style="211" bestFit="1" customWidth="1"/>
    <col min="12787" max="12787" width="2.28515625" style="211" customWidth="1"/>
    <col min="12788" max="12788" width="11.28515625" style="211" bestFit="1" customWidth="1"/>
    <col min="12789" max="12789" width="2.28515625" style="211" customWidth="1"/>
    <col min="12790" max="12790" width="11.140625" style="211" bestFit="1" customWidth="1"/>
    <col min="12791" max="12791" width="2.28515625" style="211" customWidth="1"/>
    <col min="12792" max="12792" width="10.7109375" style="211" bestFit="1" customWidth="1"/>
    <col min="12793" max="12793" width="2.28515625" style="211" customWidth="1"/>
    <col min="12794" max="12794" width="9.140625" style="211"/>
    <col min="12795" max="12795" width="2.28515625" style="211" customWidth="1"/>
    <col min="12796" max="12796" width="9.140625" style="211"/>
    <col min="12797" max="12797" width="2.7109375" style="211" customWidth="1"/>
    <col min="12798" max="13039" width="9.140625" style="211"/>
    <col min="13040" max="13040" width="32.140625" style="211" customWidth="1"/>
    <col min="13041" max="13041" width="2.28515625" style="211" customWidth="1"/>
    <col min="13042" max="13042" width="11.7109375" style="211" bestFit="1" customWidth="1"/>
    <col min="13043" max="13043" width="2.28515625" style="211" customWidth="1"/>
    <col min="13044" max="13044" width="11.28515625" style="211" bestFit="1" customWidth="1"/>
    <col min="13045" max="13045" width="2.28515625" style="211" customWidth="1"/>
    <col min="13046" max="13046" width="11.140625" style="211" bestFit="1" customWidth="1"/>
    <col min="13047" max="13047" width="2.28515625" style="211" customWidth="1"/>
    <col min="13048" max="13048" width="10.7109375" style="211" bestFit="1" customWidth="1"/>
    <col min="13049" max="13049" width="2.28515625" style="211" customWidth="1"/>
    <col min="13050" max="13050" width="9.140625" style="211"/>
    <col min="13051" max="13051" width="2.28515625" style="211" customWidth="1"/>
    <col min="13052" max="13052" width="9.140625" style="211"/>
    <col min="13053" max="13053" width="2.7109375" style="211" customWidth="1"/>
    <col min="13054" max="13295" width="9.140625" style="211"/>
    <col min="13296" max="13296" width="32.140625" style="211" customWidth="1"/>
    <col min="13297" max="13297" width="2.28515625" style="211" customWidth="1"/>
    <col min="13298" max="13298" width="11.7109375" style="211" bestFit="1" customWidth="1"/>
    <col min="13299" max="13299" width="2.28515625" style="211" customWidth="1"/>
    <col min="13300" max="13300" width="11.28515625" style="211" bestFit="1" customWidth="1"/>
    <col min="13301" max="13301" width="2.28515625" style="211" customWidth="1"/>
    <col min="13302" max="13302" width="11.140625" style="211" bestFit="1" customWidth="1"/>
    <col min="13303" max="13303" width="2.28515625" style="211" customWidth="1"/>
    <col min="13304" max="13304" width="10.7109375" style="211" bestFit="1" customWidth="1"/>
    <col min="13305" max="13305" width="2.28515625" style="211" customWidth="1"/>
    <col min="13306" max="13306" width="9.140625" style="211"/>
    <col min="13307" max="13307" width="2.28515625" style="211" customWidth="1"/>
    <col min="13308" max="13308" width="9.140625" style="211"/>
    <col min="13309" max="13309" width="2.7109375" style="211" customWidth="1"/>
    <col min="13310" max="13551" width="9.140625" style="211"/>
    <col min="13552" max="13552" width="32.140625" style="211" customWidth="1"/>
    <col min="13553" max="13553" width="2.28515625" style="211" customWidth="1"/>
    <col min="13554" max="13554" width="11.7109375" style="211" bestFit="1" customWidth="1"/>
    <col min="13555" max="13555" width="2.28515625" style="211" customWidth="1"/>
    <col min="13556" max="13556" width="11.28515625" style="211" bestFit="1" customWidth="1"/>
    <col min="13557" max="13557" width="2.28515625" style="211" customWidth="1"/>
    <col min="13558" max="13558" width="11.140625" style="211" bestFit="1" customWidth="1"/>
    <col min="13559" max="13559" width="2.28515625" style="211" customWidth="1"/>
    <col min="13560" max="13560" width="10.7109375" style="211" bestFit="1" customWidth="1"/>
    <col min="13561" max="13561" width="2.28515625" style="211" customWidth="1"/>
    <col min="13562" max="13562" width="9.140625" style="211"/>
    <col min="13563" max="13563" width="2.28515625" style="211" customWidth="1"/>
    <col min="13564" max="13564" width="9.140625" style="211"/>
    <col min="13565" max="13565" width="2.7109375" style="211" customWidth="1"/>
    <col min="13566" max="13807" width="9.140625" style="211"/>
    <col min="13808" max="13808" width="32.140625" style="211" customWidth="1"/>
    <col min="13809" max="13809" width="2.28515625" style="211" customWidth="1"/>
    <col min="13810" max="13810" width="11.7109375" style="211" bestFit="1" customWidth="1"/>
    <col min="13811" max="13811" width="2.28515625" style="211" customWidth="1"/>
    <col min="13812" max="13812" width="11.28515625" style="211" bestFit="1" customWidth="1"/>
    <col min="13813" max="13813" width="2.28515625" style="211" customWidth="1"/>
    <col min="13814" max="13814" width="11.140625" style="211" bestFit="1" customWidth="1"/>
    <col min="13815" max="13815" width="2.28515625" style="211" customWidth="1"/>
    <col min="13816" max="13816" width="10.7109375" style="211" bestFit="1" customWidth="1"/>
    <col min="13817" max="13817" width="2.28515625" style="211" customWidth="1"/>
    <col min="13818" max="13818" width="9.140625" style="211"/>
    <col min="13819" max="13819" width="2.28515625" style="211" customWidth="1"/>
    <col min="13820" max="13820" width="9.140625" style="211"/>
    <col min="13821" max="13821" width="2.7109375" style="211" customWidth="1"/>
    <col min="13822" max="14063" width="9.140625" style="211"/>
    <col min="14064" max="14064" width="32.140625" style="211" customWidth="1"/>
    <col min="14065" max="14065" width="2.28515625" style="211" customWidth="1"/>
    <col min="14066" max="14066" width="11.7109375" style="211" bestFit="1" customWidth="1"/>
    <col min="14067" max="14067" width="2.28515625" style="211" customWidth="1"/>
    <col min="14068" max="14068" width="11.28515625" style="211" bestFit="1" customWidth="1"/>
    <col min="14069" max="14069" width="2.28515625" style="211" customWidth="1"/>
    <col min="14070" max="14070" width="11.140625" style="211" bestFit="1" customWidth="1"/>
    <col min="14071" max="14071" width="2.28515625" style="211" customWidth="1"/>
    <col min="14072" max="14072" width="10.7109375" style="211" bestFit="1" customWidth="1"/>
    <col min="14073" max="14073" width="2.28515625" style="211" customWidth="1"/>
    <col min="14074" max="14074" width="9.140625" style="211"/>
    <col min="14075" max="14075" width="2.28515625" style="211" customWidth="1"/>
    <col min="14076" max="14076" width="9.140625" style="211"/>
    <col min="14077" max="14077" width="2.7109375" style="211" customWidth="1"/>
    <col min="14078" max="14319" width="9.140625" style="211"/>
    <col min="14320" max="14320" width="32.140625" style="211" customWidth="1"/>
    <col min="14321" max="14321" width="2.28515625" style="211" customWidth="1"/>
    <col min="14322" max="14322" width="11.7109375" style="211" bestFit="1" customWidth="1"/>
    <col min="14323" max="14323" width="2.28515625" style="211" customWidth="1"/>
    <col min="14324" max="14324" width="11.28515625" style="211" bestFit="1" customWidth="1"/>
    <col min="14325" max="14325" width="2.28515625" style="211" customWidth="1"/>
    <col min="14326" max="14326" width="11.140625" style="211" bestFit="1" customWidth="1"/>
    <col min="14327" max="14327" width="2.28515625" style="211" customWidth="1"/>
    <col min="14328" max="14328" width="10.7109375" style="211" bestFit="1" customWidth="1"/>
    <col min="14329" max="14329" width="2.28515625" style="211" customWidth="1"/>
    <col min="14330" max="14330" width="9.140625" style="211"/>
    <col min="14331" max="14331" width="2.28515625" style="211" customWidth="1"/>
    <col min="14332" max="14332" width="9.140625" style="211"/>
    <col min="14333" max="14333" width="2.7109375" style="211" customWidth="1"/>
    <col min="14334" max="14575" width="9.140625" style="211"/>
    <col min="14576" max="14576" width="32.140625" style="211" customWidth="1"/>
    <col min="14577" max="14577" width="2.28515625" style="211" customWidth="1"/>
    <col min="14578" max="14578" width="11.7109375" style="211" bestFit="1" customWidth="1"/>
    <col min="14579" max="14579" width="2.28515625" style="211" customWidth="1"/>
    <col min="14580" max="14580" width="11.28515625" style="211" bestFit="1" customWidth="1"/>
    <col min="14581" max="14581" width="2.28515625" style="211" customWidth="1"/>
    <col min="14582" max="14582" width="11.140625" style="211" bestFit="1" customWidth="1"/>
    <col min="14583" max="14583" width="2.28515625" style="211" customWidth="1"/>
    <col min="14584" max="14584" width="10.7109375" style="211" bestFit="1" customWidth="1"/>
    <col min="14585" max="14585" width="2.28515625" style="211" customWidth="1"/>
    <col min="14586" max="14586" width="9.140625" style="211"/>
    <col min="14587" max="14587" width="2.28515625" style="211" customWidth="1"/>
    <col min="14588" max="14588" width="9.140625" style="211"/>
    <col min="14589" max="14589" width="2.7109375" style="211" customWidth="1"/>
    <col min="14590" max="14831" width="9.140625" style="211"/>
    <col min="14832" max="14832" width="32.140625" style="211" customWidth="1"/>
    <col min="14833" max="14833" width="2.28515625" style="211" customWidth="1"/>
    <col min="14834" max="14834" width="11.7109375" style="211" bestFit="1" customWidth="1"/>
    <col min="14835" max="14835" width="2.28515625" style="211" customWidth="1"/>
    <col min="14836" max="14836" width="11.28515625" style="211" bestFit="1" customWidth="1"/>
    <col min="14837" max="14837" width="2.28515625" style="211" customWidth="1"/>
    <col min="14838" max="14838" width="11.140625" style="211" bestFit="1" customWidth="1"/>
    <col min="14839" max="14839" width="2.28515625" style="211" customWidth="1"/>
    <col min="14840" max="14840" width="10.7109375" style="211" bestFit="1" customWidth="1"/>
    <col min="14841" max="14841" width="2.28515625" style="211" customWidth="1"/>
    <col min="14842" max="14842" width="9.140625" style="211"/>
    <col min="14843" max="14843" width="2.28515625" style="211" customWidth="1"/>
    <col min="14844" max="14844" width="9.140625" style="211"/>
    <col min="14845" max="14845" width="2.7109375" style="211" customWidth="1"/>
    <col min="14846" max="15087" width="9.140625" style="211"/>
    <col min="15088" max="15088" width="32.140625" style="211" customWidth="1"/>
    <col min="15089" max="15089" width="2.28515625" style="211" customWidth="1"/>
    <col min="15090" max="15090" width="11.7109375" style="211" bestFit="1" customWidth="1"/>
    <col min="15091" max="15091" width="2.28515625" style="211" customWidth="1"/>
    <col min="15092" max="15092" width="11.28515625" style="211" bestFit="1" customWidth="1"/>
    <col min="15093" max="15093" width="2.28515625" style="211" customWidth="1"/>
    <col min="15094" max="15094" width="11.140625" style="211" bestFit="1" customWidth="1"/>
    <col min="15095" max="15095" width="2.28515625" style="211" customWidth="1"/>
    <col min="15096" max="15096" width="10.7109375" style="211" bestFit="1" customWidth="1"/>
    <col min="15097" max="15097" width="2.28515625" style="211" customWidth="1"/>
    <col min="15098" max="15098" width="9.140625" style="211"/>
    <col min="15099" max="15099" width="2.28515625" style="211" customWidth="1"/>
    <col min="15100" max="15100" width="9.140625" style="211"/>
    <col min="15101" max="15101" width="2.7109375" style="211" customWidth="1"/>
    <col min="15102" max="15343" width="9.140625" style="211"/>
    <col min="15344" max="15344" width="32.140625" style="211" customWidth="1"/>
    <col min="15345" max="15345" width="2.28515625" style="211" customWidth="1"/>
    <col min="15346" max="15346" width="11.7109375" style="211" bestFit="1" customWidth="1"/>
    <col min="15347" max="15347" width="2.28515625" style="211" customWidth="1"/>
    <col min="15348" max="15348" width="11.28515625" style="211" bestFit="1" customWidth="1"/>
    <col min="15349" max="15349" width="2.28515625" style="211" customWidth="1"/>
    <col min="15350" max="15350" width="11.140625" style="211" bestFit="1" customWidth="1"/>
    <col min="15351" max="15351" width="2.28515625" style="211" customWidth="1"/>
    <col min="15352" max="15352" width="10.7109375" style="211" bestFit="1" customWidth="1"/>
    <col min="15353" max="15353" width="2.28515625" style="211" customWidth="1"/>
    <col min="15354" max="15354" width="9.140625" style="211"/>
    <col min="15355" max="15355" width="2.28515625" style="211" customWidth="1"/>
    <col min="15356" max="15356" width="9.140625" style="211"/>
    <col min="15357" max="15357" width="2.7109375" style="211" customWidth="1"/>
    <col min="15358" max="15599" width="9.140625" style="211"/>
    <col min="15600" max="15600" width="32.140625" style="211" customWidth="1"/>
    <col min="15601" max="15601" width="2.28515625" style="211" customWidth="1"/>
    <col min="15602" max="15602" width="11.7109375" style="211" bestFit="1" customWidth="1"/>
    <col min="15603" max="15603" width="2.28515625" style="211" customWidth="1"/>
    <col min="15604" max="15604" width="11.28515625" style="211" bestFit="1" customWidth="1"/>
    <col min="15605" max="15605" width="2.28515625" style="211" customWidth="1"/>
    <col min="15606" max="15606" width="11.140625" style="211" bestFit="1" customWidth="1"/>
    <col min="15607" max="15607" width="2.28515625" style="211" customWidth="1"/>
    <col min="15608" max="15608" width="10.7109375" style="211" bestFit="1" customWidth="1"/>
    <col min="15609" max="15609" width="2.28515625" style="211" customWidth="1"/>
    <col min="15610" max="15610" width="9.140625" style="211"/>
    <col min="15611" max="15611" width="2.28515625" style="211" customWidth="1"/>
    <col min="15612" max="15612" width="9.140625" style="211"/>
    <col min="15613" max="15613" width="2.7109375" style="211" customWidth="1"/>
    <col min="15614" max="15855" width="9.140625" style="211"/>
    <col min="15856" max="15856" width="32.140625" style="211" customWidth="1"/>
    <col min="15857" max="15857" width="2.28515625" style="211" customWidth="1"/>
    <col min="15858" max="15858" width="11.7109375" style="211" bestFit="1" customWidth="1"/>
    <col min="15859" max="15859" width="2.28515625" style="211" customWidth="1"/>
    <col min="15860" max="15860" width="11.28515625" style="211" bestFit="1" customWidth="1"/>
    <col min="15861" max="15861" width="2.28515625" style="211" customWidth="1"/>
    <col min="15862" max="15862" width="11.140625" style="211" bestFit="1" customWidth="1"/>
    <col min="15863" max="15863" width="2.28515625" style="211" customWidth="1"/>
    <col min="15864" max="15864" width="10.7109375" style="211" bestFit="1" customWidth="1"/>
    <col min="15865" max="15865" width="2.28515625" style="211" customWidth="1"/>
    <col min="15866" max="15866" width="9.140625" style="211"/>
    <col min="15867" max="15867" width="2.28515625" style="211" customWidth="1"/>
    <col min="15868" max="15868" width="9.140625" style="211"/>
    <col min="15869" max="15869" width="2.7109375" style="211" customWidth="1"/>
    <col min="15870" max="16111" width="9.140625" style="211"/>
    <col min="16112" max="16112" width="32.140625" style="211" customWidth="1"/>
    <col min="16113" max="16113" width="2.28515625" style="211" customWidth="1"/>
    <col min="16114" max="16114" width="11.7109375" style="211" bestFit="1" customWidth="1"/>
    <col min="16115" max="16115" width="2.28515625" style="211" customWidth="1"/>
    <col min="16116" max="16116" width="11.28515625" style="211" bestFit="1" customWidth="1"/>
    <col min="16117" max="16117" width="2.28515625" style="211" customWidth="1"/>
    <col min="16118" max="16118" width="11.140625" style="211" bestFit="1" customWidth="1"/>
    <col min="16119" max="16119" width="2.28515625" style="211" customWidth="1"/>
    <col min="16120" max="16120" width="10.7109375" style="211" bestFit="1" customWidth="1"/>
    <col min="16121" max="16121" width="2.28515625" style="211" customWidth="1"/>
    <col min="16122" max="16122" width="9.140625" style="211"/>
    <col min="16123" max="16123" width="2.28515625" style="211" customWidth="1"/>
    <col min="16124" max="16124" width="9.140625" style="211"/>
    <col min="16125" max="16125" width="2.7109375" style="211" customWidth="1"/>
    <col min="16126" max="16384" width="9.140625" style="211"/>
  </cols>
  <sheetData>
    <row r="1" spans="2:20">
      <c r="B1" s="209" t="s">
        <v>94</v>
      </c>
      <c r="C1" s="210"/>
      <c r="D1" s="148"/>
      <c r="E1" s="148"/>
      <c r="F1" s="148"/>
      <c r="G1" s="148"/>
      <c r="H1" s="148"/>
      <c r="I1" s="210"/>
      <c r="J1" s="210"/>
      <c r="K1" s="210"/>
      <c r="L1" s="210"/>
      <c r="R1" s="151"/>
    </row>
    <row r="2" spans="2:20">
      <c r="B2" s="209" t="s">
        <v>306</v>
      </c>
      <c r="C2" s="210"/>
      <c r="D2" s="148"/>
      <c r="E2" s="148"/>
      <c r="F2" s="148"/>
      <c r="G2" s="148"/>
      <c r="H2" s="148"/>
      <c r="I2" s="210"/>
      <c r="J2" s="210"/>
      <c r="K2" s="210"/>
      <c r="L2" s="210"/>
    </row>
    <row r="3" spans="2:20">
      <c r="B3" s="209" t="s">
        <v>290</v>
      </c>
      <c r="C3" s="210"/>
      <c r="D3" s="148"/>
      <c r="E3" s="148"/>
      <c r="F3" s="148"/>
      <c r="G3" s="148"/>
      <c r="H3" s="148"/>
      <c r="I3" s="210"/>
      <c r="J3" s="210"/>
      <c r="K3" s="210"/>
      <c r="L3" s="210"/>
    </row>
    <row r="4" spans="2:20">
      <c r="B4" s="209" t="s">
        <v>436</v>
      </c>
      <c r="C4" s="210"/>
      <c r="D4" s="148"/>
      <c r="E4" s="148"/>
      <c r="F4" s="148"/>
      <c r="G4" s="148"/>
      <c r="H4" s="148"/>
      <c r="I4" s="210"/>
      <c r="J4" s="210"/>
      <c r="K4" s="210"/>
      <c r="L4" s="210"/>
    </row>
    <row r="5" spans="2:20">
      <c r="D5" s="211"/>
      <c r="E5" s="211"/>
      <c r="F5" s="211"/>
      <c r="G5" s="211"/>
      <c r="H5" s="211"/>
    </row>
    <row r="6" spans="2:20">
      <c r="D6" s="269">
        <f>+'Total Program Inputs'!C6</f>
        <v>2025</v>
      </c>
      <c r="E6" s="269"/>
      <c r="F6" s="269"/>
      <c r="G6" s="269"/>
      <c r="H6" s="269"/>
      <c r="J6" s="217"/>
      <c r="L6" s="217" t="s">
        <v>317</v>
      </c>
    </row>
    <row r="7" spans="2:20" s="212" customFormat="1">
      <c r="B7" s="244" t="s">
        <v>277</v>
      </c>
      <c r="D7" s="208" t="s">
        <v>214</v>
      </c>
      <c r="E7" s="218"/>
      <c r="F7" s="208" t="s">
        <v>215</v>
      </c>
      <c r="G7" s="218"/>
      <c r="H7" s="208" t="s">
        <v>314</v>
      </c>
      <c r="J7" s="219" t="s">
        <v>107</v>
      </c>
      <c r="L7" s="219" t="s">
        <v>314</v>
      </c>
    </row>
    <row r="8" spans="2:20">
      <c r="B8" s="213" t="s">
        <v>319</v>
      </c>
      <c r="D8" s="211"/>
      <c r="E8" s="211"/>
      <c r="F8" s="211"/>
      <c r="G8" s="211"/>
      <c r="H8" s="211"/>
    </row>
    <row r="9" spans="2:20">
      <c r="B9" s="215" t="s">
        <v>279</v>
      </c>
      <c r="D9" s="220">
        <f>+'Database Inputs'!C10</f>
        <v>44</v>
      </c>
      <c r="F9" s="222">
        <f>+'Res .95+% Res Furnace - NEW'!F13</f>
        <v>8829</v>
      </c>
      <c r="H9" s="220">
        <f>+'Total Program Inputs'!G11</f>
        <v>283</v>
      </c>
      <c r="J9" s="260">
        <f>ROUND(+F9/H9,2)</f>
        <v>31.2</v>
      </c>
      <c r="L9" s="220">
        <f>+'Res .95+% Res Furnace - NEW'!M38</f>
        <v>5660</v>
      </c>
      <c r="P9" s="222"/>
      <c r="Q9" s="149"/>
      <c r="R9" s="220"/>
      <c r="T9" s="260"/>
    </row>
    <row r="10" spans="2:20">
      <c r="B10" s="215" t="s">
        <v>318</v>
      </c>
      <c r="D10" s="220">
        <f>+'Database Inputs'!C11</f>
        <v>143</v>
      </c>
      <c r="F10" s="220">
        <f>+'Res .95+% Res Furnace - Replace'!F13</f>
        <v>57390</v>
      </c>
      <c r="H10" s="220">
        <f>+'Total Program Inputs'!G12</f>
        <v>2946</v>
      </c>
      <c r="J10" s="261">
        <f>ROUND(+F10/H10,2)</f>
        <v>19.48</v>
      </c>
      <c r="L10" s="220">
        <f>+'Res .95+% Res Furnace - Replace'!M38</f>
        <v>58920</v>
      </c>
      <c r="P10" s="220"/>
      <c r="Q10" s="220"/>
      <c r="R10" s="220"/>
      <c r="S10" s="220"/>
      <c r="T10" s="261"/>
    </row>
    <row r="11" spans="2:20">
      <c r="B11" s="215" t="str">
        <f>'Database Inputs'!A12</f>
        <v>Programmable Thermostats - Tier 1</v>
      </c>
      <c r="D11" s="220">
        <f>+'Database Inputs'!C12</f>
        <v>35</v>
      </c>
      <c r="F11" s="220">
        <f>+'Programmable Tstats - Tier 1'!F13</f>
        <v>702</v>
      </c>
      <c r="H11" s="220">
        <f>+'Total Program Inputs'!G13</f>
        <v>80</v>
      </c>
      <c r="J11" s="261">
        <f>ROUND(+F11/H11,2)</f>
        <v>8.7799999999999994</v>
      </c>
      <c r="L11" s="220">
        <f>+'Programmable Tstats - Tier 1'!M38</f>
        <v>800</v>
      </c>
      <c r="P11" s="220"/>
      <c r="Q11" s="220"/>
      <c r="R11" s="220"/>
      <c r="S11" s="220"/>
      <c r="T11" s="261"/>
    </row>
    <row r="12" spans="2:20">
      <c r="B12" s="215" t="str">
        <f>'Database Inputs'!A13</f>
        <v>Programmable Thermostats - Tier 2</v>
      </c>
      <c r="D12" s="221">
        <f>+'Database Inputs'!C13</f>
        <v>123</v>
      </c>
      <c r="F12" s="221">
        <f>+'Programmable Tstats - Tier 2'!F13</f>
        <v>9835</v>
      </c>
      <c r="H12" s="221">
        <f>+'Total Program Inputs'!G14</f>
        <v>780</v>
      </c>
      <c r="J12" s="283">
        <f>ROUND(+F12/H12,2)</f>
        <v>12.61</v>
      </c>
      <c r="L12" s="221">
        <f>+'Programmable Tstats - Tier 2'!M38</f>
        <v>7800</v>
      </c>
      <c r="P12" s="220"/>
      <c r="Q12" s="220"/>
      <c r="R12" s="220"/>
      <c r="S12" s="220"/>
      <c r="T12" s="261"/>
    </row>
    <row r="13" spans="2:20">
      <c r="B13" s="213" t="s">
        <v>315</v>
      </c>
      <c r="D13" s="245">
        <f>SUM(D9:D12)</f>
        <v>345</v>
      </c>
      <c r="F13" s="222">
        <f>SUM(F9:F12)</f>
        <v>76756</v>
      </c>
      <c r="H13" s="220">
        <f>SUM(H9:H12)</f>
        <v>4089</v>
      </c>
      <c r="J13" s="260">
        <f>ROUND(+F13/H13,2)</f>
        <v>18.77</v>
      </c>
      <c r="L13" s="220">
        <f>SUM(L9:L12)</f>
        <v>73180</v>
      </c>
      <c r="Q13" s="220"/>
      <c r="R13" s="220"/>
      <c r="S13" s="220"/>
    </row>
    <row r="14" spans="2:20">
      <c r="B14" s="214"/>
      <c r="D14" s="220"/>
      <c r="F14" s="220"/>
      <c r="H14" s="220"/>
      <c r="J14" s="220"/>
      <c r="L14" s="220"/>
      <c r="Q14" s="220"/>
      <c r="R14" s="220"/>
      <c r="S14" s="220"/>
    </row>
    <row r="15" spans="2:20">
      <c r="B15" s="213" t="s">
        <v>320</v>
      </c>
      <c r="D15" s="220"/>
      <c r="F15" s="220"/>
      <c r="H15" s="220"/>
      <c r="J15" s="220"/>
      <c r="L15" s="220"/>
      <c r="Q15" s="220"/>
      <c r="R15" s="220"/>
      <c r="S15" s="220"/>
    </row>
    <row r="16" spans="2:20">
      <c r="B16" s="215" t="s">
        <v>279</v>
      </c>
      <c r="D16" s="220">
        <f>+'Database Inputs'!C16</f>
        <v>2</v>
      </c>
      <c r="F16" s="220">
        <f>+'Comm 95+% Furnace - NEW'!F13</f>
        <v>402</v>
      </c>
      <c r="H16" s="220">
        <f>+'Total Program Inputs'!G18</f>
        <v>10</v>
      </c>
      <c r="J16" s="260">
        <f>ROUND(+F16/H16,2)</f>
        <v>40.200000000000003</v>
      </c>
      <c r="L16" s="220">
        <f>+'Comm 95+% Furnace - NEW'!M38</f>
        <v>200</v>
      </c>
      <c r="Q16" s="220"/>
      <c r="R16" s="220"/>
      <c r="S16" s="220"/>
    </row>
    <row r="17" spans="2:19">
      <c r="B17" s="215" t="s">
        <v>318</v>
      </c>
      <c r="D17" s="220">
        <f>+'Database Inputs'!C17</f>
        <v>9</v>
      </c>
      <c r="F17" s="220">
        <f>+'Comm 95+% Furnace - Replace'!F13</f>
        <v>3612</v>
      </c>
      <c r="H17" s="220">
        <f>+'Total Program Inputs'!G19</f>
        <v>223</v>
      </c>
      <c r="J17" s="261">
        <f>ROUND(+F17/H17,2)</f>
        <v>16.2</v>
      </c>
      <c r="L17" s="220">
        <f>+'Comm 95+% Furnace - Replace'!M38</f>
        <v>4460</v>
      </c>
      <c r="Q17" s="220"/>
      <c r="R17" s="220"/>
      <c r="S17" s="220"/>
    </row>
    <row r="18" spans="2:19">
      <c r="B18" s="215" t="s">
        <v>254</v>
      </c>
      <c r="D18" s="221">
        <f>+'Database Inputs'!C18</f>
        <v>0</v>
      </c>
      <c r="F18" s="221">
        <f>+'Comm Custom'!F13</f>
        <v>0</v>
      </c>
      <c r="H18" s="221">
        <f>+'Total Program Inputs'!G20</f>
        <v>0</v>
      </c>
      <c r="J18" s="283">
        <f>IF(ISERROR(F18/H18),0,F18/H18)</f>
        <v>0</v>
      </c>
      <c r="L18" s="221">
        <f>+'Comm Custom'!M38</f>
        <v>0</v>
      </c>
      <c r="Q18" s="220"/>
      <c r="R18" s="220"/>
      <c r="S18" s="220"/>
    </row>
    <row r="19" spans="2:19">
      <c r="B19" s="216" t="s">
        <v>316</v>
      </c>
      <c r="D19" s="220">
        <f>SUM(D16:D18)</f>
        <v>11</v>
      </c>
      <c r="F19" s="222">
        <f>SUM(F16:F18)</f>
        <v>4014</v>
      </c>
      <c r="H19" s="220">
        <f>SUM(H16:H18)</f>
        <v>233</v>
      </c>
      <c r="J19" s="260">
        <f>ROUND(+F19/H19,2)</f>
        <v>17.23</v>
      </c>
      <c r="L19" s="220">
        <f>SUM(L16:L18)</f>
        <v>4660</v>
      </c>
      <c r="Q19" s="220"/>
      <c r="R19" s="220"/>
      <c r="S19" s="220"/>
    </row>
    <row r="20" spans="2:19">
      <c r="B20" s="214"/>
      <c r="D20" s="220"/>
      <c r="F20" s="220"/>
      <c r="H20" s="220"/>
      <c r="J20" s="220"/>
      <c r="L20" s="220"/>
      <c r="Q20" s="220"/>
      <c r="R20" s="220"/>
      <c r="S20" s="220"/>
    </row>
    <row r="21" spans="2:19" ht="13.5" thickBot="1">
      <c r="B21" s="216" t="s">
        <v>278</v>
      </c>
      <c r="D21" s="223">
        <f>+D13+D19</f>
        <v>356</v>
      </c>
      <c r="F21" s="224">
        <f>+F13+F19</f>
        <v>80770</v>
      </c>
      <c r="H21" s="223">
        <f>+H13+H19</f>
        <v>4322</v>
      </c>
      <c r="J21" s="262">
        <f>ROUND(+F21/H21,2)</f>
        <v>18.690000000000001</v>
      </c>
      <c r="L21" s="223">
        <f>+L13+L19</f>
        <v>77840</v>
      </c>
      <c r="Q21" s="220"/>
      <c r="R21" s="220"/>
      <c r="S21" s="220"/>
    </row>
    <row r="22" spans="2:19" ht="3.75" customHeight="1" thickTop="1">
      <c r="Q22" s="220"/>
      <c r="R22" s="220"/>
      <c r="S22" s="220"/>
    </row>
    <row r="23" spans="2:19">
      <c r="Q23" s="220"/>
      <c r="R23" s="220"/>
      <c r="S23" s="220"/>
    </row>
    <row r="24" spans="2:19">
      <c r="Q24" s="220"/>
      <c r="R24" s="220"/>
      <c r="S24" s="220"/>
    </row>
    <row r="25" spans="2:19">
      <c r="Q25" s="220"/>
      <c r="R25" s="220"/>
      <c r="S25" s="220"/>
    </row>
    <row r="26" spans="2:19">
      <c r="Q26" s="220"/>
      <c r="R26" s="220"/>
      <c r="S26" s="220"/>
    </row>
    <row r="27" spans="2:19">
      <c r="Q27" s="220"/>
      <c r="R27" s="220"/>
      <c r="S27" s="220"/>
    </row>
    <row r="28" spans="2:19">
      <c r="Q28" s="220"/>
      <c r="R28" s="220"/>
      <c r="S28" s="220"/>
    </row>
    <row r="29" spans="2:19">
      <c r="Q29" s="220"/>
      <c r="R29" s="220"/>
      <c r="S29" s="220"/>
    </row>
    <row r="30" spans="2:19">
      <c r="Q30" s="220"/>
      <c r="R30" s="220"/>
      <c r="S30" s="220"/>
    </row>
  </sheetData>
  <pageMargins left="0.36" right="0.27" top="0.75" bottom="0.75" header="0.3" footer="0.3"/>
  <pageSetup orientation="landscape" r:id="rId1"/>
  <ignoredErrors>
    <ignoredError sqref="J1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H52"/>
  <sheetViews>
    <sheetView showGridLines="0" zoomScaleNormal="100" workbookViewId="0">
      <selection activeCell="K1" sqref="K1"/>
    </sheetView>
  </sheetViews>
  <sheetFormatPr defaultColWidth="9.140625" defaultRowHeight="12.75"/>
  <cols>
    <col min="1" max="1" width="9.140625" style="151"/>
    <col min="2" max="2" width="30.5703125" style="151" customWidth="1"/>
    <col min="3" max="3" width="12.42578125" style="151" bestFit="1" customWidth="1"/>
    <col min="4" max="6" width="10.85546875" style="151" customWidth="1"/>
    <col min="7" max="7" width="10.85546875" style="151" bestFit="1" customWidth="1"/>
    <col min="8" max="8" width="14.7109375" style="151" bestFit="1" customWidth="1"/>
    <col min="9" max="12" width="15.7109375" style="151" customWidth="1"/>
    <col min="13" max="16384" width="9.140625" style="151"/>
  </cols>
  <sheetData>
    <row r="1" spans="2:8">
      <c r="B1" s="150" t="s">
        <v>94</v>
      </c>
      <c r="C1" s="150"/>
    </row>
    <row r="2" spans="2:8">
      <c r="B2" s="150" t="s">
        <v>307</v>
      </c>
      <c r="C2" s="150"/>
    </row>
    <row r="3" spans="2:8">
      <c r="B3" s="150"/>
      <c r="C3" s="150"/>
    </row>
    <row r="4" spans="2:8">
      <c r="B4" s="150"/>
      <c r="C4" s="150"/>
      <c r="D4" s="150"/>
      <c r="E4" s="150"/>
      <c r="F4" s="150"/>
      <c r="G4" s="150"/>
      <c r="H4" s="150"/>
    </row>
    <row r="5" spans="2:8">
      <c r="B5" s="150"/>
      <c r="H5" s="150"/>
    </row>
    <row r="6" spans="2:8">
      <c r="B6" s="150"/>
      <c r="C6" s="152" t="s">
        <v>199</v>
      </c>
      <c r="D6" s="150"/>
      <c r="E6" s="150"/>
      <c r="F6" s="150"/>
      <c r="G6" s="150"/>
      <c r="H6" s="150" t="s">
        <v>216</v>
      </c>
    </row>
    <row r="7" spans="2:8">
      <c r="B7" s="152" t="s">
        <v>35</v>
      </c>
      <c r="C7" s="152" t="s">
        <v>239</v>
      </c>
      <c r="D7" s="152" t="s">
        <v>110</v>
      </c>
      <c r="E7" s="152" t="s">
        <v>22</v>
      </c>
      <c r="F7" s="152" t="s">
        <v>111</v>
      </c>
      <c r="G7" s="152" t="s">
        <v>112</v>
      </c>
      <c r="H7" s="152" t="s">
        <v>215</v>
      </c>
    </row>
    <row r="8" spans="2:8">
      <c r="B8" s="153" t="s">
        <v>211</v>
      </c>
      <c r="C8" s="153"/>
      <c r="D8" s="155">
        <f>'Total Program'!G42</f>
        <v>1.47</v>
      </c>
      <c r="E8" s="155">
        <f>'Total Program'!G43</f>
        <v>3.46</v>
      </c>
      <c r="F8" s="155">
        <f>'Total Program'!G44</f>
        <v>3.9</v>
      </c>
      <c r="G8" s="156">
        <f>'Total Program'!G45</f>
        <v>4.3914111923884303</v>
      </c>
      <c r="H8" s="156">
        <f>'Total Program'!G46</f>
        <v>2.02</v>
      </c>
    </row>
    <row r="9" spans="2:8">
      <c r="B9" s="182"/>
      <c r="C9" s="183"/>
      <c r="D9" s="184"/>
      <c r="E9" s="184"/>
      <c r="F9" s="184"/>
      <c r="G9" s="185"/>
      <c r="H9" s="186"/>
    </row>
    <row r="10" spans="2:8" hidden="1">
      <c r="B10" s="153" t="s">
        <v>114</v>
      </c>
      <c r="C10" s="153"/>
      <c r="D10" s="154"/>
      <c r="E10" s="154"/>
      <c r="F10" s="154"/>
      <c r="G10" s="154"/>
      <c r="H10" s="154"/>
    </row>
    <row r="11" spans="2:8" hidden="1">
      <c r="B11" s="182"/>
      <c r="C11" s="183"/>
      <c r="D11" s="183"/>
      <c r="E11" s="183"/>
      <c r="F11" s="183"/>
      <c r="G11" s="183"/>
      <c r="H11" s="229"/>
    </row>
    <row r="12" spans="2:8" hidden="1">
      <c r="B12" s="153" t="s">
        <v>265</v>
      </c>
      <c r="C12" s="153" t="s">
        <v>117</v>
      </c>
      <c r="D12" s="155" t="e">
        <f>#REF!</f>
        <v>#REF!</v>
      </c>
      <c r="E12" s="155" t="e">
        <f>#REF!</f>
        <v>#REF!</v>
      </c>
      <c r="F12" s="155" t="e">
        <f>#REF!</f>
        <v>#REF!</v>
      </c>
      <c r="G12" s="156" t="e">
        <f>#REF!</f>
        <v>#REF!</v>
      </c>
      <c r="H12" s="156" t="e">
        <f>#REF!</f>
        <v>#REF!</v>
      </c>
    </row>
    <row r="13" spans="2:8">
      <c r="B13" s="153" t="s">
        <v>281</v>
      </c>
      <c r="C13" s="153" t="s">
        <v>117</v>
      </c>
      <c r="D13" s="155">
        <f>'Res .95+% Res Furnace - NEW'!G42</f>
        <v>1.17</v>
      </c>
      <c r="E13" s="155">
        <f>'Res .95+% Res Furnace - NEW'!G43</f>
        <v>2.2400000000000002</v>
      </c>
      <c r="F13" s="155">
        <f>'Res .95+% Res Furnace - NEW'!G44</f>
        <v>4.2699999999999996</v>
      </c>
      <c r="G13" s="155">
        <f>'Res .95+% Res Furnace - NEW'!G45</f>
        <v>4.6900000000000004</v>
      </c>
      <c r="H13" s="155">
        <f>'Res .95+% Res Furnace - NEW'!G46</f>
        <v>2.08</v>
      </c>
    </row>
    <row r="14" spans="2:8">
      <c r="B14" s="153" t="s">
        <v>282</v>
      </c>
      <c r="C14" s="153" t="s">
        <v>117</v>
      </c>
      <c r="D14" s="155">
        <f>'Res .95+% Res Furnace - Replace'!G42</f>
        <v>1.46</v>
      </c>
      <c r="E14" s="155">
        <f>'Res .95+% Res Furnace - Replace'!G43</f>
        <v>3.6</v>
      </c>
      <c r="F14" s="155">
        <f>'Res .95+% Res Furnace - Replace'!G44</f>
        <v>4.07</v>
      </c>
      <c r="G14" s="155">
        <f>'Res .95+% Res Furnace - Replace'!G45</f>
        <v>4.6500000000000004</v>
      </c>
      <c r="H14" s="155">
        <f>'Res .95+% Res Furnace - Replace'!G46</f>
        <v>2.09</v>
      </c>
    </row>
    <row r="15" spans="2:8" hidden="1">
      <c r="B15" s="153" t="s">
        <v>255</v>
      </c>
      <c r="C15" s="153" t="s">
        <v>117</v>
      </c>
      <c r="D15" s="155" t="e">
        <f>#REF!</f>
        <v>#REF!</v>
      </c>
      <c r="E15" s="155" t="e">
        <f>#REF!</f>
        <v>#REF!</v>
      </c>
      <c r="F15" s="155" t="e">
        <f>#REF!</f>
        <v>#REF!</v>
      </c>
      <c r="G15" s="155" t="e">
        <f>#REF!</f>
        <v>#REF!</v>
      </c>
      <c r="H15" s="226" t="e">
        <f>#REF!</f>
        <v>#REF!</v>
      </c>
    </row>
    <row r="16" spans="2:8" hidden="1">
      <c r="B16" s="153" t="s">
        <v>256</v>
      </c>
      <c r="C16" s="153" t="s">
        <v>117</v>
      </c>
      <c r="D16" s="155"/>
      <c r="E16" s="155"/>
      <c r="F16" s="155"/>
      <c r="G16" s="156"/>
      <c r="H16" s="227"/>
    </row>
    <row r="17" spans="2:8" hidden="1">
      <c r="B17" s="153" t="s">
        <v>257</v>
      </c>
      <c r="C17" s="153" t="s">
        <v>117</v>
      </c>
      <c r="D17" s="155" t="e">
        <f>#REF!</f>
        <v>#REF!</v>
      </c>
      <c r="E17" s="155" t="e">
        <f>#REF!</f>
        <v>#REF!</v>
      </c>
      <c r="F17" s="155" t="e">
        <f>#REF!</f>
        <v>#REF!</v>
      </c>
      <c r="G17" s="156" t="e">
        <f>#REF!</f>
        <v>#REF!</v>
      </c>
      <c r="H17" s="227" t="e">
        <f>#REF!</f>
        <v>#REF!</v>
      </c>
    </row>
    <row r="18" spans="2:8" hidden="1">
      <c r="B18" s="153" t="s">
        <v>258</v>
      </c>
      <c r="C18" s="153" t="s">
        <v>117</v>
      </c>
      <c r="D18" s="155" t="e">
        <f>#REF!</f>
        <v>#REF!</v>
      </c>
      <c r="E18" s="155" t="e">
        <f>#REF!</f>
        <v>#REF!</v>
      </c>
      <c r="F18" s="155" t="e">
        <f>#REF!</f>
        <v>#REF!</v>
      </c>
      <c r="G18" s="156" t="e">
        <f>#REF!</f>
        <v>#REF!</v>
      </c>
      <c r="H18" s="227" t="e">
        <f>#REF!</f>
        <v>#REF!</v>
      </c>
    </row>
    <row r="19" spans="2:8" hidden="1">
      <c r="B19" s="153" t="s">
        <v>259</v>
      </c>
      <c r="C19" s="153" t="s">
        <v>117</v>
      </c>
      <c r="D19" s="226" t="e">
        <f>#REF!</f>
        <v>#REF!</v>
      </c>
      <c r="E19" s="226" t="e">
        <f>#REF!</f>
        <v>#REF!</v>
      </c>
      <c r="F19" s="226" t="e">
        <f>#REF!</f>
        <v>#REF!</v>
      </c>
      <c r="G19" s="227" t="e">
        <f>#REF!</f>
        <v>#REF!</v>
      </c>
      <c r="H19" s="227" t="e">
        <f>#REF!</f>
        <v>#REF!</v>
      </c>
    </row>
    <row r="20" spans="2:8" hidden="1">
      <c r="B20" s="153" t="s">
        <v>113</v>
      </c>
      <c r="C20" s="153" t="s">
        <v>117</v>
      </c>
      <c r="D20" s="155"/>
      <c r="E20" s="155"/>
      <c r="F20" s="155"/>
      <c r="G20" s="156"/>
      <c r="H20" s="227"/>
    </row>
    <row r="21" spans="2:8" hidden="1">
      <c r="B21" s="153" t="s">
        <v>250</v>
      </c>
      <c r="C21" s="153" t="s">
        <v>117</v>
      </c>
      <c r="D21" s="155" t="e">
        <f>#REF!</f>
        <v>#REF!</v>
      </c>
      <c r="E21" s="155" t="e">
        <f>#REF!</f>
        <v>#REF!</v>
      </c>
      <c r="F21" s="155" t="e">
        <f>#REF!</f>
        <v>#REF!</v>
      </c>
      <c r="G21" s="156" t="e">
        <f>#REF!</f>
        <v>#REF!</v>
      </c>
      <c r="H21" s="227" t="e">
        <f>#REF!</f>
        <v>#REF!</v>
      </c>
    </row>
    <row r="22" spans="2:8" hidden="1">
      <c r="B22" s="187" t="s">
        <v>251</v>
      </c>
      <c r="C22" s="187" t="s">
        <v>117</v>
      </c>
      <c r="D22" s="188"/>
      <c r="E22" s="188"/>
      <c r="F22" s="188"/>
      <c r="G22" s="189"/>
      <c r="H22" s="228"/>
    </row>
    <row r="23" spans="2:8" hidden="1">
      <c r="B23" s="153" t="e">
        <f>'Database Inputs'!#REF!</f>
        <v>#REF!</v>
      </c>
      <c r="C23" s="153" t="s">
        <v>117</v>
      </c>
      <c r="D23" s="155" t="e">
        <f>#REF!</f>
        <v>#REF!</v>
      </c>
      <c r="E23" s="155" t="e">
        <f>+#REF!</f>
        <v>#REF!</v>
      </c>
      <c r="F23" s="155" t="e">
        <f>#REF!</f>
        <v>#REF!</v>
      </c>
      <c r="G23" s="155" t="e">
        <f>#REF!</f>
        <v>#REF!</v>
      </c>
      <c r="H23" s="226" t="e">
        <f>#REF!</f>
        <v>#REF!</v>
      </c>
    </row>
    <row r="24" spans="2:8">
      <c r="B24" s="153" t="str">
        <f>'Database Inputs'!A12</f>
        <v>Programmable Thermostats - Tier 1</v>
      </c>
      <c r="C24" s="153" t="s">
        <v>117</v>
      </c>
      <c r="D24" s="155">
        <f>'Programmable Tstats - Tier 1'!G42</f>
        <v>1.66</v>
      </c>
      <c r="E24" s="155">
        <f>+'Programmable Tstats - Tier 1'!AG42</f>
        <v>4.8600000000000003</v>
      </c>
      <c r="F24" s="155">
        <f>'Programmable Tstats - Tier 1'!G44</f>
        <v>4.6900000000000004</v>
      </c>
      <c r="G24" s="155">
        <f>'Programmable Tstats - Tier 1'!G45</f>
        <v>5.34</v>
      </c>
      <c r="H24" s="155">
        <f>'Programmable Tstats - Tier 1'!G46</f>
        <v>2.78</v>
      </c>
    </row>
    <row r="25" spans="2:8">
      <c r="B25" s="153" t="str">
        <f>'Database Inputs'!A13</f>
        <v>Programmable Thermostats - Tier 2</v>
      </c>
      <c r="C25" s="153" t="s">
        <v>117</v>
      </c>
      <c r="D25" s="155">
        <f>'Programmable Tstats - Tier 2'!G42</f>
        <v>1.44</v>
      </c>
      <c r="E25" s="155">
        <f>'Programmable Tstats - Tier 2'!G43</f>
        <v>3.38</v>
      </c>
      <c r="F25" s="155">
        <f>'Programmable Tstats - Tier 2'!G44</f>
        <v>2.68</v>
      </c>
      <c r="G25" s="155">
        <f>'Programmable Tstats - Tier 2'!G45</f>
        <v>3.26</v>
      </c>
      <c r="H25" s="155">
        <f>'Programmable Tstats - Tier 2'!G46</f>
        <v>1.6</v>
      </c>
    </row>
    <row r="26" spans="2:8" hidden="1">
      <c r="B26" s="153" t="str">
        <f>'Database Inputs'!A14</f>
        <v>Residential Energy Assessments</v>
      </c>
      <c r="C26" s="153" t="s">
        <v>117</v>
      </c>
      <c r="D26" s="155" t="e">
        <f>#REF!</f>
        <v>#REF!</v>
      </c>
      <c r="E26" s="155" t="e">
        <f>#REF!</f>
        <v>#REF!</v>
      </c>
      <c r="F26" s="155" t="e">
        <f>#REF!</f>
        <v>#REF!</v>
      </c>
      <c r="G26" s="155" t="e">
        <f>#REF!</f>
        <v>#REF!</v>
      </c>
      <c r="H26" s="155" t="e">
        <f>#REF!</f>
        <v>#REF!</v>
      </c>
    </row>
    <row r="27" spans="2:8" hidden="1">
      <c r="B27" s="153" t="e">
        <f>'Database Inputs'!#REF!</f>
        <v>#REF!</v>
      </c>
      <c r="C27" s="153" t="s">
        <v>117</v>
      </c>
      <c r="D27" s="155" t="e">
        <f>#REF!</f>
        <v>#REF!</v>
      </c>
      <c r="E27" s="155" t="e">
        <f>#REF!</f>
        <v>#REF!</v>
      </c>
      <c r="F27" s="155" t="e">
        <f>#REF!</f>
        <v>#REF!</v>
      </c>
      <c r="G27" s="155" t="e">
        <f>#REF!</f>
        <v>#REF!</v>
      </c>
      <c r="H27" s="226" t="e">
        <f>#REF!</f>
        <v>#REF!</v>
      </c>
    </row>
    <row r="28" spans="2:8">
      <c r="B28" s="182"/>
      <c r="C28" s="183"/>
      <c r="D28" s="184"/>
      <c r="E28" s="184"/>
      <c r="F28" s="184"/>
      <c r="G28" s="185"/>
      <c r="H28" s="186"/>
    </row>
    <row r="29" spans="2:8" hidden="1">
      <c r="B29" s="153" t="s">
        <v>265</v>
      </c>
      <c r="C29" s="153" t="s">
        <v>262</v>
      </c>
      <c r="D29" s="155" t="e">
        <f>#REF!</f>
        <v>#REF!</v>
      </c>
      <c r="E29" s="155" t="e">
        <f>#REF!</f>
        <v>#REF!</v>
      </c>
      <c r="F29" s="155" t="e">
        <f>#REF!</f>
        <v>#REF!</v>
      </c>
      <c r="G29" s="156" t="e">
        <f>#REF!</f>
        <v>#REF!</v>
      </c>
      <c r="H29" s="227" t="e">
        <f>#REF!</f>
        <v>#REF!</v>
      </c>
    </row>
    <row r="30" spans="2:8">
      <c r="B30" s="153" t="s">
        <v>281</v>
      </c>
      <c r="C30" s="153" t="s">
        <v>262</v>
      </c>
      <c r="D30" s="155">
        <f>'Comm 95+% Furnace - NEW'!G42</f>
        <v>1.32</v>
      </c>
      <c r="E30" s="155">
        <f>'Comm 95+% Furnace - NEW'!G43</f>
        <v>1.74</v>
      </c>
      <c r="F30" s="155">
        <f>'Comm 95+% Furnace - NEW'!G44</f>
        <v>3.32</v>
      </c>
      <c r="G30" s="156">
        <f>'Comm 95+% Furnace - NEW'!G45</f>
        <v>3.36</v>
      </c>
      <c r="H30" s="156">
        <f>'Comm 95+% Furnace - NEW'!G46</f>
        <v>1.62</v>
      </c>
    </row>
    <row r="31" spans="2:8">
      <c r="B31" s="153" t="s">
        <v>282</v>
      </c>
      <c r="C31" s="187" t="s">
        <v>262</v>
      </c>
      <c r="D31" s="188">
        <f>'Comm 95+% Furnace - Replace'!G42</f>
        <v>2.4</v>
      </c>
      <c r="E31" s="188">
        <f>'Comm 95+% Furnace - Replace'!G43</f>
        <v>4.3099999999999996</v>
      </c>
      <c r="F31" s="188">
        <f>'Comm 95+% Furnace - Replace'!G44</f>
        <v>4.2300000000000004</v>
      </c>
      <c r="G31" s="189">
        <f>'Comm 95+% Furnace - Replace'!G45</f>
        <v>3.13</v>
      </c>
      <c r="H31" s="189">
        <f>'Comm 95+% Furnace - Replace'!G46</f>
        <v>2.0699999999999998</v>
      </c>
    </row>
    <row r="32" spans="2:8" hidden="1">
      <c r="B32" s="182" t="s">
        <v>260</v>
      </c>
      <c r="C32" s="182"/>
      <c r="D32" s="184"/>
      <c r="E32" s="184"/>
      <c r="F32" s="184"/>
      <c r="G32" s="185"/>
      <c r="H32" s="186"/>
    </row>
    <row r="33" spans="2:8" hidden="1">
      <c r="B33" s="190" t="e">
        <f>'Database Inputs'!#REF!</f>
        <v>#REF!</v>
      </c>
      <c r="C33" s="191" t="s">
        <v>262</v>
      </c>
      <c r="D33" s="192" t="e">
        <f>#REF!</f>
        <v>#REF!</v>
      </c>
      <c r="E33" s="192" t="e">
        <f>#REF!</f>
        <v>#REF!</v>
      </c>
      <c r="F33" s="192" t="e">
        <f>#REF!</f>
        <v>#REF!</v>
      </c>
      <c r="G33" s="193" t="e">
        <f>#REF!</f>
        <v>#REF!</v>
      </c>
      <c r="H33" s="193" t="e">
        <f>#REF!</f>
        <v>#REF!</v>
      </c>
    </row>
    <row r="34" spans="2:8" hidden="1">
      <c r="B34" s="190" t="e">
        <f>'Database Inputs'!#REF!</f>
        <v>#REF!</v>
      </c>
      <c r="C34" s="153" t="s">
        <v>262</v>
      </c>
      <c r="D34" s="155" t="e">
        <f>#REF!</f>
        <v>#REF!</v>
      </c>
      <c r="E34" s="155" t="e">
        <f>#REF!</f>
        <v>#REF!</v>
      </c>
      <c r="F34" s="155" t="e">
        <f>#REF!</f>
        <v>#REF!</v>
      </c>
      <c r="G34" s="156" t="e">
        <f>#REF!</f>
        <v>#REF!</v>
      </c>
      <c r="H34" s="156" t="e">
        <f>#REF!</f>
        <v>#REF!</v>
      </c>
    </row>
    <row r="35" spans="2:8" hidden="1">
      <c r="B35" s="190" t="e">
        <f>'Database Inputs'!#REF!</f>
        <v>#REF!</v>
      </c>
      <c r="C35" s="153" t="s">
        <v>262</v>
      </c>
      <c r="D35" s="155" t="e">
        <f>#REF!</f>
        <v>#REF!</v>
      </c>
      <c r="E35" s="155" t="e">
        <f>+#REF!</f>
        <v>#REF!</v>
      </c>
      <c r="F35" s="155" t="e">
        <f>#REF!</f>
        <v>#REF!</v>
      </c>
      <c r="G35" s="156" t="e">
        <f>#REF!</f>
        <v>#REF!</v>
      </c>
      <c r="H35" s="156" t="e">
        <f>#REF!</f>
        <v>#REF!</v>
      </c>
    </row>
    <row r="36" spans="2:8" hidden="1">
      <c r="B36" s="153" t="s">
        <v>261</v>
      </c>
      <c r="C36" s="182"/>
      <c r="D36" s="184"/>
      <c r="E36" s="184"/>
      <c r="F36" s="184"/>
      <c r="G36" s="185"/>
      <c r="H36" s="186"/>
    </row>
    <row r="37" spans="2:8" hidden="1">
      <c r="B37" s="190" t="e">
        <f>'Database Inputs'!#REF!</f>
        <v>#REF!</v>
      </c>
      <c r="C37" s="153" t="s">
        <v>262</v>
      </c>
      <c r="D37" s="155" t="e">
        <f>#REF!</f>
        <v>#REF!</v>
      </c>
      <c r="E37" s="155" t="e">
        <f>#REF!</f>
        <v>#REF!</v>
      </c>
      <c r="F37" s="155" t="e">
        <f>#REF!</f>
        <v>#REF!</v>
      </c>
      <c r="G37" s="156" t="e">
        <f>#REF!</f>
        <v>#REF!</v>
      </c>
      <c r="H37" s="156" t="e">
        <f>#REF!</f>
        <v>#REF!</v>
      </c>
    </row>
    <row r="38" spans="2:8" hidden="1">
      <c r="B38" s="190" t="e">
        <f>'Database Inputs'!#REF!</f>
        <v>#REF!</v>
      </c>
      <c r="C38" s="153" t="s">
        <v>262</v>
      </c>
      <c r="D38" s="155" t="e">
        <f>#REF!</f>
        <v>#REF!</v>
      </c>
      <c r="E38" s="155" t="e">
        <f>#REF!</f>
        <v>#REF!</v>
      </c>
      <c r="F38" s="155" t="e">
        <f>#REF!</f>
        <v>#REF!</v>
      </c>
      <c r="G38" s="156" t="e">
        <f>#REF!</f>
        <v>#REF!</v>
      </c>
      <c r="H38" s="156" t="e">
        <f>#REF!</f>
        <v>#REF!</v>
      </c>
    </row>
    <row r="39" spans="2:8" hidden="1">
      <c r="B39" s="190" t="e">
        <f>'Database Inputs'!#REF!</f>
        <v>#REF!</v>
      </c>
      <c r="C39" s="153" t="s">
        <v>262</v>
      </c>
      <c r="D39" s="155" t="e">
        <f>#REF!</f>
        <v>#REF!</v>
      </c>
      <c r="E39" s="155" t="e">
        <f>#REF!</f>
        <v>#REF!</v>
      </c>
      <c r="F39" s="155" t="e">
        <f>#REF!</f>
        <v>#REF!</v>
      </c>
      <c r="G39" s="156" t="e">
        <f>#REF!</f>
        <v>#REF!</v>
      </c>
      <c r="H39" s="156" t="e">
        <f>#REF!</f>
        <v>#REF!</v>
      </c>
    </row>
    <row r="40" spans="2:8" hidden="1">
      <c r="B40" s="153" t="s">
        <v>252</v>
      </c>
    </row>
    <row r="41" spans="2:8" hidden="1">
      <c r="B41" s="190" t="e">
        <f>'Database Inputs'!#REF!</f>
        <v>#REF!</v>
      </c>
      <c r="C41" s="153" t="s">
        <v>262</v>
      </c>
      <c r="D41" s="155" t="e">
        <f>#REF!</f>
        <v>#REF!</v>
      </c>
      <c r="E41" s="155" t="e">
        <f>#REF!</f>
        <v>#REF!</v>
      </c>
      <c r="F41" s="155" t="e">
        <f>#REF!</f>
        <v>#REF!</v>
      </c>
      <c r="G41" s="156" t="e">
        <f>#REF!</f>
        <v>#REF!</v>
      </c>
      <c r="H41" s="156" t="e">
        <f>#REF!</f>
        <v>#REF!</v>
      </c>
    </row>
    <row r="42" spans="2:8" hidden="1">
      <c r="B42" s="190" t="e">
        <f>'Database Inputs'!#REF!</f>
        <v>#REF!</v>
      </c>
      <c r="C42" s="153" t="s">
        <v>262</v>
      </c>
      <c r="D42" s="155" t="e">
        <f>#REF!</f>
        <v>#REF!</v>
      </c>
      <c r="E42" s="155" t="e">
        <f>#REF!</f>
        <v>#REF!</v>
      </c>
      <c r="F42" s="155" t="e">
        <f>#REF!</f>
        <v>#REF!</v>
      </c>
      <c r="G42" s="156" t="e">
        <f>#REF!</f>
        <v>#REF!</v>
      </c>
      <c r="H42" s="156" t="e">
        <f>#REF!</f>
        <v>#REF!</v>
      </c>
    </row>
    <row r="43" spans="2:8" hidden="1">
      <c r="B43" s="190" t="e">
        <f>'Database Inputs'!#REF!</f>
        <v>#REF!</v>
      </c>
      <c r="C43" s="153" t="s">
        <v>262</v>
      </c>
      <c r="D43" s="155" t="e">
        <f>#REF!</f>
        <v>#REF!</v>
      </c>
      <c r="E43" s="155" t="e">
        <f>#REF!</f>
        <v>#REF!</v>
      </c>
      <c r="F43" s="155" t="e">
        <f>#REF!</f>
        <v>#REF!</v>
      </c>
      <c r="G43" s="156" t="e">
        <f>#REF!</f>
        <v>#REF!</v>
      </c>
      <c r="H43" s="156" t="e">
        <f>#REF!</f>
        <v>#REF!</v>
      </c>
    </row>
    <row r="44" spans="2:8" hidden="1">
      <c r="B44" s="153" t="s">
        <v>275</v>
      </c>
      <c r="C44" s="153" t="s">
        <v>262</v>
      </c>
      <c r="D44" s="155" t="e">
        <f>#REF!</f>
        <v>#REF!</v>
      </c>
      <c r="E44" s="155" t="e">
        <f>#REF!</f>
        <v>#REF!</v>
      </c>
      <c r="F44" s="155" t="e">
        <f>#REF!</f>
        <v>#REF!</v>
      </c>
      <c r="G44" s="156" t="e">
        <f>#REF!</f>
        <v>#REF!</v>
      </c>
      <c r="H44" s="156" t="e">
        <f>#REF!</f>
        <v>#REF!</v>
      </c>
    </row>
    <row r="45" spans="2:8" hidden="1">
      <c r="B45" s="153" t="s">
        <v>253</v>
      </c>
      <c r="C45" s="153" t="s">
        <v>262</v>
      </c>
      <c r="D45" s="155" t="e">
        <f>#REF!</f>
        <v>#REF!</v>
      </c>
      <c r="E45" s="155" t="e">
        <f>#REF!</f>
        <v>#REF!</v>
      </c>
      <c r="F45" s="155" t="e">
        <f>#REF!</f>
        <v>#REF!</v>
      </c>
      <c r="G45" s="156" t="e">
        <f>#REF!</f>
        <v>#REF!</v>
      </c>
      <c r="H45" s="156" t="e">
        <f>#REF!</f>
        <v>#REF!</v>
      </c>
    </row>
    <row r="46" spans="2:8" hidden="1">
      <c r="B46" s="153" t="e">
        <f>'Database Inputs'!#REF!</f>
        <v>#REF!</v>
      </c>
      <c r="C46" s="153" t="s">
        <v>262</v>
      </c>
      <c r="D46" s="155" t="e">
        <f>#REF!</f>
        <v>#REF!</v>
      </c>
      <c r="E46" s="155" t="e">
        <f>#REF!</f>
        <v>#REF!</v>
      </c>
      <c r="F46" s="155" t="e">
        <f>#REF!</f>
        <v>#REF!</v>
      </c>
      <c r="G46" s="156" t="e">
        <f>#REF!</f>
        <v>#REF!</v>
      </c>
      <c r="H46" s="156" t="e">
        <f>#REF!</f>
        <v>#REF!</v>
      </c>
    </row>
    <row r="47" spans="2:8" hidden="1">
      <c r="B47" s="153" t="e">
        <f>'Database Inputs'!#REF!</f>
        <v>#REF!</v>
      </c>
      <c r="C47" s="153" t="s">
        <v>262</v>
      </c>
      <c r="D47" s="155" t="e">
        <f>#REF!</f>
        <v>#REF!</v>
      </c>
      <c r="E47" s="155" t="e">
        <f>#REF!</f>
        <v>#REF!</v>
      </c>
      <c r="F47" s="155" t="e">
        <f>#REF!</f>
        <v>#REF!</v>
      </c>
      <c r="G47" s="156" t="e">
        <f>#REF!</f>
        <v>#REF!</v>
      </c>
      <c r="H47" s="156" t="e">
        <f>#REF!</f>
        <v>#REF!</v>
      </c>
    </row>
    <row r="48" spans="2:8" hidden="1">
      <c r="B48" s="153" t="e">
        <f>'Database Inputs'!#REF!</f>
        <v>#REF!</v>
      </c>
      <c r="C48" s="153" t="s">
        <v>262</v>
      </c>
      <c r="D48" s="155" t="e">
        <f>#REF!</f>
        <v>#REF!</v>
      </c>
      <c r="E48" s="155" t="e">
        <f>#REF!</f>
        <v>#REF!</v>
      </c>
      <c r="F48" s="155" t="e">
        <f>#REF!</f>
        <v>#REF!</v>
      </c>
      <c r="G48" s="156" t="e">
        <f>#REF!</f>
        <v>#REF!</v>
      </c>
      <c r="H48" s="156" t="e">
        <f>#REF!</f>
        <v>#REF!</v>
      </c>
    </row>
    <row r="49" spans="2:8" hidden="1">
      <c r="B49" s="153" t="e">
        <f>'Database Inputs'!#REF!</f>
        <v>#REF!</v>
      </c>
      <c r="C49" s="153" t="s">
        <v>262</v>
      </c>
      <c r="D49" s="155" t="e">
        <f>#REF!</f>
        <v>#REF!</v>
      </c>
      <c r="E49" s="155" t="e">
        <f>#REF!</f>
        <v>#REF!</v>
      </c>
      <c r="F49" s="155" t="e">
        <f>#REF!</f>
        <v>#REF!</v>
      </c>
      <c r="G49" s="156" t="e">
        <f>#REF!</f>
        <v>#REF!</v>
      </c>
      <c r="H49" s="156" t="e">
        <f>#REF!</f>
        <v>#REF!</v>
      </c>
    </row>
    <row r="50" spans="2:8" hidden="1">
      <c r="B50" s="153" t="e">
        <f>'Database Inputs'!#REF!</f>
        <v>#REF!</v>
      </c>
      <c r="C50" s="153" t="s">
        <v>262</v>
      </c>
      <c r="D50" s="155" t="e">
        <f>#REF!</f>
        <v>#REF!</v>
      </c>
      <c r="E50" s="155" t="e">
        <f>#REF!</f>
        <v>#REF!</v>
      </c>
      <c r="F50" s="155" t="e">
        <f>#REF!</f>
        <v>#REF!</v>
      </c>
      <c r="G50" s="156" t="e">
        <f>#REF!</f>
        <v>#REF!</v>
      </c>
      <c r="H50" s="156" t="e">
        <f>#REF!</f>
        <v>#REF!</v>
      </c>
    </row>
    <row r="51" spans="2:8">
      <c r="B51" s="153" t="s">
        <v>254</v>
      </c>
      <c r="C51" s="153" t="s">
        <v>262</v>
      </c>
      <c r="D51" s="155">
        <f>+'Comm Custom'!G42</f>
        <v>0</v>
      </c>
      <c r="E51" s="155">
        <f>+'Comm Custom'!G43</f>
        <v>0</v>
      </c>
      <c r="F51" s="155">
        <f>+'Comm Custom'!G44</f>
        <v>0</v>
      </c>
      <c r="G51" s="156">
        <f>+'Comm Custom'!G45</f>
        <v>0</v>
      </c>
      <c r="H51" s="156">
        <f>+'Comm Custom'!G46</f>
        <v>0</v>
      </c>
    </row>
    <row r="52" spans="2:8" ht="3.95" customHeight="1"/>
  </sheetData>
  <phoneticPr fontId="6" type="noConversion"/>
  <printOptions horizontalCentered="1"/>
  <pageMargins left="0.25" right="0.25" top="1.2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DD215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13.425781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5" style="2" bestFit="1" customWidth="1"/>
    <col min="13" max="13" width="9.7109375" style="2" customWidth="1"/>
    <col min="14" max="14" width="9.5703125" style="24" customWidth="1"/>
    <col min="15" max="15" width="10.42578125" style="2" bestFit="1" customWidth="1"/>
    <col min="16" max="16" width="7.7109375" style="2" bestFit="1" customWidth="1"/>
    <col min="17" max="17" width="7.85546875" style="2" bestFit="1" customWidth="1"/>
    <col min="18" max="18" width="8.140625" style="2" bestFit="1" customWidth="1"/>
    <col min="19" max="19" width="9.28515625" style="2" bestFit="1" customWidth="1"/>
    <col min="20" max="20" width="7.42578125" style="2" bestFit="1" customWidth="1"/>
    <col min="21" max="21" width="9" style="2" customWidth="1"/>
    <col min="22" max="22" width="11.42578125" style="2" customWidth="1"/>
    <col min="23" max="23" width="8.42578125" style="2" customWidth="1"/>
    <col min="24" max="24" width="10.7109375" style="2" bestFit="1" customWidth="1"/>
    <col min="25" max="26" width="8.85546875" style="2" customWidth="1"/>
    <col min="27" max="27" width="10.7109375" style="2" bestFit="1" customWidth="1"/>
    <col min="28" max="28" width="10.42578125" style="2" customWidth="1"/>
    <col min="29" max="29" width="1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7109375" style="2" bestFit="1" customWidth="1"/>
    <col min="34" max="34" width="11.7109375" style="2" bestFit="1" customWidth="1"/>
    <col min="35" max="35" width="2.7109375" style="2" customWidth="1"/>
    <col min="36" max="37" width="9.140625" style="2" bestFit="1" customWidth="1"/>
    <col min="38" max="38" width="10.7109375" style="2" bestFit="1" customWidth="1"/>
    <col min="39" max="39" width="2.7109375" style="2" customWidth="1"/>
    <col min="40" max="40" width="10.710937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10.85546875" style="2" customWidth="1"/>
    <col min="46" max="47" width="8.28515625" style="2" bestFit="1" customWidth="1"/>
    <col min="48" max="49" width="12.5703125" style="2" bestFit="1" customWidth="1"/>
    <col min="50" max="50" width="11.140625" style="2" hidden="1" customWidth="1"/>
    <col min="51" max="51" width="2.7109375" style="2" hidden="1" customWidth="1"/>
    <col min="52" max="52" width="11.85546875" style="7" customWidth="1"/>
    <col min="53" max="53" width="2.7109375" style="2" customWidth="1"/>
    <col min="54" max="54" width="9.7109375" style="2" bestFit="1" customWidth="1"/>
    <col min="55" max="55" width="11.140625" style="2" bestFit="1" customWidth="1"/>
    <col min="56" max="56" width="10.7109375" style="2" bestFit="1" customWidth="1"/>
    <col min="57" max="57" width="11.710937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10.7109375" style="2" bestFit="1" customWidth="1"/>
    <col min="63" max="64" width="8.1406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11.7109375" style="2" bestFit="1" customWidth="1"/>
    <col min="69" max="69" width="2.7109375" style="2" customWidth="1"/>
    <col min="70" max="70" width="10.7109375" style="2" bestFit="1" customWidth="1"/>
    <col min="71" max="71" width="2.7109375" style="2" customWidth="1"/>
    <col min="72" max="72" width="11.710937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10.7109375" style="2" bestFit="1" customWidth="1"/>
    <col min="78" max="78" width="8.28515625" style="2" bestFit="1" customWidth="1"/>
    <col min="79" max="79" width="11.7109375" style="2" bestFit="1" customWidth="1"/>
    <col min="80" max="80" width="2.7109375" style="2" customWidth="1"/>
    <col min="81" max="81" width="9.7109375" style="2" bestFit="1" customWidth="1"/>
    <col min="82" max="82" width="11.140625" style="2" bestFit="1" customWidth="1"/>
    <col min="83" max="83" width="10.7109375" style="2" bestFit="1" customWidth="1"/>
    <col min="84" max="84" width="2.7109375" style="2" customWidth="1"/>
    <col min="85" max="85" width="10.710937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36" t="s">
        <v>109</v>
      </c>
      <c r="B1" s="36"/>
      <c r="C1" s="36"/>
      <c r="D1" s="36"/>
      <c r="E1" s="36"/>
      <c r="F1" s="36"/>
      <c r="G1" s="36"/>
      <c r="H1" s="56"/>
      <c r="K1" s="1" t="s">
        <v>1</v>
      </c>
      <c r="N1" s="2"/>
      <c r="R1" s="24"/>
      <c r="T1" s="3"/>
      <c r="U1" s="3"/>
      <c r="AD1" s="1" t="s">
        <v>2</v>
      </c>
      <c r="AG1" s="3"/>
      <c r="AP1" s="1" t="s">
        <v>3</v>
      </c>
      <c r="AZ1" s="2"/>
      <c r="BC1" s="4"/>
      <c r="BG1" s="1" t="s">
        <v>4</v>
      </c>
      <c r="BJ1" s="3"/>
      <c r="BV1" s="1" t="s">
        <v>217</v>
      </c>
      <c r="BY1" s="3"/>
    </row>
    <row r="2" spans="1:106">
      <c r="A2" s="36" t="s">
        <v>108</v>
      </c>
      <c r="B2" s="36"/>
      <c r="C2" s="36"/>
      <c r="D2" s="36"/>
      <c r="E2" s="36"/>
      <c r="F2" s="36"/>
      <c r="G2" s="36"/>
      <c r="H2" s="56"/>
      <c r="K2" s="1" t="s">
        <v>5</v>
      </c>
      <c r="N2" s="2"/>
      <c r="R2" s="24"/>
      <c r="T2" s="3"/>
      <c r="U2" s="3"/>
      <c r="AD2" s="1" t="s">
        <v>6</v>
      </c>
      <c r="AG2" s="3"/>
      <c r="AP2" s="1" t="s">
        <v>7</v>
      </c>
      <c r="AZ2" s="2"/>
      <c r="BC2" s="4"/>
      <c r="BD2" s="4"/>
      <c r="BG2" s="1" t="s">
        <v>8</v>
      </c>
      <c r="BJ2" s="3"/>
      <c r="BO2" s="3"/>
      <c r="BV2" s="1" t="s">
        <v>218</v>
      </c>
      <c r="BY2" s="3"/>
    </row>
    <row r="3" spans="1:106">
      <c r="N3" s="2"/>
      <c r="R3" s="24"/>
      <c r="AZ3" s="2"/>
      <c r="BD3" s="4"/>
      <c r="BG3" s="7"/>
      <c r="BO3" s="3"/>
      <c r="BV3" s="7"/>
    </row>
    <row r="4" spans="1:106">
      <c r="A4" s="5" t="s">
        <v>9</v>
      </c>
      <c r="B4" s="6" t="s">
        <v>94</v>
      </c>
      <c r="K4" s="3" t="s">
        <v>9</v>
      </c>
      <c r="M4" s="9" t="str">
        <f>B4</f>
        <v>Montana-Dakota Utilities Co.</v>
      </c>
      <c r="N4" s="2"/>
      <c r="R4" s="24"/>
      <c r="S4" s="113"/>
      <c r="AD4" s="3" t="s">
        <v>9</v>
      </c>
      <c r="AF4" s="9" t="str">
        <f>B4</f>
        <v>Montana-Dakota Utilities Co.</v>
      </c>
      <c r="AP4" s="3" t="s">
        <v>11</v>
      </c>
      <c r="AR4" s="9" t="str">
        <f>AF4</f>
        <v>Montana-Dakota Utilities Co.</v>
      </c>
      <c r="AZ4" s="2"/>
      <c r="BH4" s="2" t="s">
        <v>11</v>
      </c>
      <c r="BI4" s="9" t="str">
        <f>AR4</f>
        <v>Montana-Dakota Utilities Co.</v>
      </c>
      <c r="BW4" s="2" t="s">
        <v>11</v>
      </c>
      <c r="BX4" s="9" t="str">
        <f>BI4</f>
        <v>Montana-Dakota Utilities Co.</v>
      </c>
    </row>
    <row r="5" spans="1:106">
      <c r="A5" s="5" t="s">
        <v>10</v>
      </c>
      <c r="B5" s="8" t="s">
        <v>309</v>
      </c>
      <c r="K5" s="3" t="s">
        <v>10</v>
      </c>
      <c r="M5" s="9" t="str">
        <f>$B$5</f>
        <v>Total South Dakota Program</v>
      </c>
      <c r="N5" s="2"/>
      <c r="R5" s="24"/>
      <c r="AD5" s="3" t="s">
        <v>10</v>
      </c>
      <c r="AF5" s="9" t="str">
        <f>$B$5</f>
        <v>Total South Dakota Program</v>
      </c>
      <c r="AP5" s="3" t="s">
        <v>12</v>
      </c>
      <c r="AR5" s="9" t="str">
        <f>$B$5</f>
        <v>Total South Dakota Program</v>
      </c>
      <c r="AZ5" s="2"/>
      <c r="BH5" s="2" t="s">
        <v>12</v>
      </c>
      <c r="BI5" s="9" t="str">
        <f>$B$5</f>
        <v>Total South Dakota Program</v>
      </c>
      <c r="BW5" s="2" t="s">
        <v>12</v>
      </c>
      <c r="BX5" s="9" t="str">
        <f>$B$5</f>
        <v>Total South Dakota Program</v>
      </c>
    </row>
    <row r="6" spans="1:106">
      <c r="A6" s="5" t="s">
        <v>202</v>
      </c>
      <c r="B6" s="6">
        <f>+'Total Program Inputs'!C6</f>
        <v>2025</v>
      </c>
      <c r="N6" s="2"/>
      <c r="R6" s="24"/>
      <c r="AZ6" s="2"/>
      <c r="BG6" s="7"/>
      <c r="BV6" s="7"/>
    </row>
    <row r="7" spans="1:106">
      <c r="N7" s="31" t="s">
        <v>14</v>
      </c>
      <c r="O7" s="31"/>
      <c r="P7" s="31"/>
      <c r="Q7" s="31"/>
      <c r="R7" s="81"/>
      <c r="S7" s="31"/>
      <c r="T7" s="31"/>
      <c r="U7" s="31"/>
      <c r="V7" s="31"/>
      <c r="X7" s="65" t="s">
        <v>15</v>
      </c>
      <c r="Y7" s="65"/>
      <c r="Z7" s="80"/>
      <c r="AA7" s="80"/>
      <c r="AB7" s="7"/>
      <c r="AF7" s="31" t="s">
        <v>14</v>
      </c>
      <c r="AG7" s="79"/>
      <c r="AH7" s="79"/>
      <c r="AJ7" s="65" t="s">
        <v>15</v>
      </c>
      <c r="AK7" s="65"/>
      <c r="AL7" s="65"/>
      <c r="AN7" s="56" t="s">
        <v>81</v>
      </c>
      <c r="AR7" s="31" t="s">
        <v>14</v>
      </c>
      <c r="AS7" s="31"/>
      <c r="AT7" s="31"/>
      <c r="AU7" s="31"/>
      <c r="AV7" s="31"/>
      <c r="AW7" s="31"/>
      <c r="AX7" s="31"/>
      <c r="AY7" s="31"/>
      <c r="AZ7" s="31"/>
      <c r="BB7" s="65" t="s">
        <v>15</v>
      </c>
      <c r="BC7" s="65"/>
      <c r="BD7" s="65"/>
      <c r="BE7" s="36" t="s">
        <v>81</v>
      </c>
      <c r="BG7" s="7"/>
      <c r="BI7" s="31" t="s">
        <v>14</v>
      </c>
      <c r="BJ7" s="79"/>
      <c r="BK7" s="79"/>
      <c r="BL7" s="79"/>
      <c r="BM7" s="79"/>
      <c r="BN7" s="79"/>
      <c r="BO7" s="79"/>
      <c r="BP7" s="79"/>
      <c r="BR7" s="88" t="s">
        <v>15</v>
      </c>
      <c r="BS7" s="36" t="s">
        <v>81</v>
      </c>
      <c r="BV7" s="7"/>
      <c r="BX7" s="31" t="s">
        <v>14</v>
      </c>
      <c r="BY7" s="79"/>
      <c r="BZ7" s="79"/>
      <c r="CA7" s="79"/>
      <c r="CC7" s="65" t="s">
        <v>15</v>
      </c>
      <c r="CD7" s="65"/>
      <c r="CE7" s="65"/>
      <c r="CF7" s="36" t="s">
        <v>81</v>
      </c>
    </row>
    <row r="8" spans="1:106">
      <c r="A8" s="100" t="s">
        <v>13</v>
      </c>
      <c r="B8" s="100"/>
      <c r="C8" s="10"/>
      <c r="E8" s="100"/>
      <c r="F8" s="106">
        <f>+'Total Program Inputs'!C6</f>
        <v>2025</v>
      </c>
      <c r="G8" s="7"/>
      <c r="H8" s="114"/>
      <c r="M8" s="101"/>
      <c r="N8" s="101"/>
      <c r="Q8" s="101"/>
      <c r="R8" s="24"/>
      <c r="S8" s="101"/>
      <c r="T8" s="101"/>
      <c r="U8" s="101"/>
      <c r="V8" s="101"/>
      <c r="W8" s="101"/>
      <c r="X8" s="101"/>
      <c r="Z8" s="101"/>
      <c r="AA8" s="7"/>
      <c r="AB8" s="7" t="s">
        <v>17</v>
      </c>
      <c r="AF8" s="101"/>
      <c r="AG8" s="101"/>
      <c r="AH8" s="101"/>
      <c r="AM8" s="101"/>
      <c r="AN8" s="7" t="s">
        <v>17</v>
      </c>
      <c r="AT8" s="7" t="s">
        <v>24</v>
      </c>
      <c r="AU8" s="101"/>
      <c r="AV8" s="7"/>
      <c r="AW8" s="101"/>
      <c r="AX8" s="7"/>
      <c r="AY8" s="101"/>
      <c r="AZ8" s="101"/>
      <c r="BA8" s="101"/>
      <c r="BB8" s="101"/>
      <c r="BC8" s="101"/>
      <c r="BD8" s="101"/>
      <c r="BE8" s="7" t="s">
        <v>17</v>
      </c>
      <c r="BG8" s="7"/>
      <c r="BH8" s="7"/>
      <c r="BI8" s="7"/>
      <c r="BT8" s="7" t="s">
        <v>17</v>
      </c>
      <c r="BV8" s="7"/>
      <c r="BW8" s="7"/>
      <c r="BX8" s="7"/>
      <c r="CG8" s="7" t="s">
        <v>17</v>
      </c>
      <c r="DA8" s="101"/>
      <c r="DB8" s="101"/>
    </row>
    <row r="9" spans="1:106">
      <c r="A9" s="3"/>
      <c r="E9" s="3"/>
      <c r="M9" s="7" t="s">
        <v>20</v>
      </c>
      <c r="N9" s="7" t="s">
        <v>23</v>
      </c>
      <c r="O9" s="7" t="s">
        <v>23</v>
      </c>
      <c r="P9" s="102" t="s">
        <v>21</v>
      </c>
      <c r="Q9" s="102" t="s">
        <v>21</v>
      </c>
      <c r="R9" s="103" t="s">
        <v>20</v>
      </c>
      <c r="S9" s="104" t="s">
        <v>97</v>
      </c>
      <c r="T9" s="114" t="s">
        <v>267</v>
      </c>
      <c r="U9" s="103" t="s">
        <v>20</v>
      </c>
      <c r="V9" s="7"/>
      <c r="W9" s="104" t="s">
        <v>96</v>
      </c>
      <c r="Y9" s="7" t="s">
        <v>35</v>
      </c>
      <c r="Z9" s="7"/>
      <c r="AA9" s="7" t="s">
        <v>20</v>
      </c>
      <c r="AB9" s="7" t="s">
        <v>14</v>
      </c>
      <c r="AF9" s="104" t="s">
        <v>20</v>
      </c>
      <c r="AG9" s="103" t="s">
        <v>20</v>
      </c>
      <c r="AH9" s="104" t="s">
        <v>17</v>
      </c>
      <c r="AJ9" s="7" t="s">
        <v>35</v>
      </c>
      <c r="AK9" s="7"/>
      <c r="AL9" s="7" t="s">
        <v>22</v>
      </c>
      <c r="AN9" s="7" t="s">
        <v>14</v>
      </c>
      <c r="AR9" s="104" t="s">
        <v>20</v>
      </c>
      <c r="AS9" s="7" t="s">
        <v>20</v>
      </c>
      <c r="AT9" s="7" t="s">
        <v>36</v>
      </c>
      <c r="AU9" s="7" t="s">
        <v>24</v>
      </c>
      <c r="AV9" s="102" t="s">
        <v>37</v>
      </c>
      <c r="AW9" s="102" t="s">
        <v>37</v>
      </c>
      <c r="AX9" s="7"/>
      <c r="AZ9" s="7" t="s">
        <v>17</v>
      </c>
      <c r="BB9" s="7" t="s">
        <v>22</v>
      </c>
      <c r="BC9" s="7" t="s">
        <v>39</v>
      </c>
      <c r="BD9" s="7" t="s">
        <v>17</v>
      </c>
      <c r="BE9" s="7" t="s">
        <v>14</v>
      </c>
      <c r="BG9" s="7"/>
      <c r="BH9" s="7"/>
      <c r="BI9" s="7"/>
      <c r="BJ9" s="7" t="s">
        <v>20</v>
      </c>
      <c r="BL9" s="7" t="s">
        <v>23</v>
      </c>
      <c r="BM9" s="7" t="s">
        <v>24</v>
      </c>
      <c r="BN9" s="7" t="s">
        <v>24</v>
      </c>
      <c r="BO9" s="7"/>
      <c r="BP9" s="7" t="s">
        <v>20</v>
      </c>
      <c r="BR9" s="7" t="s">
        <v>26</v>
      </c>
      <c r="BS9" s="7"/>
      <c r="BT9" s="7" t="s">
        <v>14</v>
      </c>
      <c r="BV9" s="7"/>
      <c r="BW9" s="7"/>
      <c r="BX9" s="7" t="s">
        <v>20</v>
      </c>
      <c r="BY9" s="7" t="s">
        <v>20</v>
      </c>
      <c r="BZ9" s="7" t="s">
        <v>24</v>
      </c>
      <c r="CA9" s="7" t="s">
        <v>20</v>
      </c>
      <c r="CC9" s="7" t="s">
        <v>22</v>
      </c>
      <c r="CD9" s="7" t="s">
        <v>39</v>
      </c>
      <c r="CE9" s="114"/>
      <c r="CF9" s="7"/>
      <c r="CG9" s="7" t="s">
        <v>14</v>
      </c>
    </row>
    <row r="10" spans="1:106">
      <c r="A10" s="3" t="s">
        <v>104</v>
      </c>
      <c r="C10" s="11"/>
      <c r="D10" s="12"/>
      <c r="E10" s="3" t="s">
        <v>16</v>
      </c>
      <c r="J10" s="15"/>
      <c r="M10" s="7" t="s">
        <v>28</v>
      </c>
      <c r="N10" s="7" t="s">
        <v>29</v>
      </c>
      <c r="O10" s="7" t="s">
        <v>29</v>
      </c>
      <c r="P10" s="102" t="s">
        <v>30</v>
      </c>
      <c r="Q10" s="102" t="s">
        <v>30</v>
      </c>
      <c r="R10" s="103" t="s">
        <v>36</v>
      </c>
      <c r="S10" s="7" t="s">
        <v>31</v>
      </c>
      <c r="T10" s="114" t="s">
        <v>38</v>
      </c>
      <c r="U10" s="103" t="s">
        <v>31</v>
      </c>
      <c r="V10" s="7" t="s">
        <v>20</v>
      </c>
      <c r="W10" s="7" t="s">
        <v>119</v>
      </c>
      <c r="X10" s="7" t="s">
        <v>92</v>
      </c>
      <c r="Y10" s="7" t="s">
        <v>145</v>
      </c>
      <c r="Z10" s="7" t="s">
        <v>118</v>
      </c>
      <c r="AA10" s="7" t="s">
        <v>35</v>
      </c>
      <c r="AB10" s="7" t="s">
        <v>34</v>
      </c>
      <c r="AF10" s="104" t="s">
        <v>36</v>
      </c>
      <c r="AG10" s="103" t="s">
        <v>31</v>
      </c>
      <c r="AH10" s="104" t="s">
        <v>20</v>
      </c>
      <c r="AJ10" s="7" t="s">
        <v>145</v>
      </c>
      <c r="AK10" s="7" t="s">
        <v>118</v>
      </c>
      <c r="AL10" s="7" t="s">
        <v>35</v>
      </c>
      <c r="AN10" s="7" t="s">
        <v>34</v>
      </c>
      <c r="AR10" s="7" t="s">
        <v>28</v>
      </c>
      <c r="AS10" s="7" t="s">
        <v>132</v>
      </c>
      <c r="AT10" s="7" t="s">
        <v>38</v>
      </c>
      <c r="AU10" s="7" t="s">
        <v>36</v>
      </c>
      <c r="AV10" s="7" t="s">
        <v>99</v>
      </c>
      <c r="AW10" s="104" t="s">
        <v>99</v>
      </c>
      <c r="AX10" s="7"/>
      <c r="AY10" s="102"/>
      <c r="AZ10" s="7" t="s">
        <v>20</v>
      </c>
      <c r="BB10" s="7" t="s">
        <v>35</v>
      </c>
      <c r="BC10" s="104" t="s">
        <v>100</v>
      </c>
      <c r="BD10" s="7" t="s">
        <v>20</v>
      </c>
      <c r="BE10" s="7" t="s">
        <v>34</v>
      </c>
      <c r="BG10" s="7"/>
      <c r="BH10" s="7"/>
      <c r="BI10" s="7" t="s">
        <v>25</v>
      </c>
      <c r="BJ10" s="7" t="s">
        <v>28</v>
      </c>
      <c r="BK10" s="7" t="s">
        <v>32</v>
      </c>
      <c r="BL10" s="7" t="s">
        <v>33</v>
      </c>
      <c r="BM10" s="7" t="s">
        <v>137</v>
      </c>
      <c r="BN10" s="7" t="s">
        <v>36</v>
      </c>
      <c r="BO10" s="7"/>
      <c r="BP10" s="7" t="s">
        <v>17</v>
      </c>
      <c r="BR10" s="7" t="s">
        <v>112</v>
      </c>
      <c r="BS10" s="7"/>
      <c r="BT10" s="7" t="s">
        <v>34</v>
      </c>
      <c r="BV10" s="7"/>
      <c r="BW10" s="7"/>
      <c r="BX10" s="7" t="s">
        <v>28</v>
      </c>
      <c r="BY10" s="114" t="s">
        <v>31</v>
      </c>
      <c r="BZ10" s="7" t="s">
        <v>36</v>
      </c>
      <c r="CA10" s="7" t="s">
        <v>17</v>
      </c>
      <c r="CC10" s="7" t="s">
        <v>35</v>
      </c>
      <c r="CD10" s="104" t="s">
        <v>100</v>
      </c>
      <c r="CE10" s="114" t="s">
        <v>20</v>
      </c>
      <c r="CF10" s="7"/>
      <c r="CG10" s="7" t="s">
        <v>34</v>
      </c>
    </row>
    <row r="11" spans="1:106">
      <c r="A11" s="3" t="s">
        <v>18</v>
      </c>
      <c r="C11" s="13"/>
      <c r="E11" s="127" t="s">
        <v>302</v>
      </c>
      <c r="F11" s="137">
        <f>+'Res .95+% Res Furnace - NEW'!F11+'Res .95+% Res Furnace - Replace'!F11+'Programmable Tstats - Tier 1'!F11+'Programmable Tstats - Tier 2'!F11+'Comm 95+% Furnace - NEW'!F11+'Comm 95+% Furnace - Replace'!F11+'Comm Custom'!F11</f>
        <v>20394</v>
      </c>
      <c r="G11" s="137"/>
      <c r="H11" s="137"/>
      <c r="J11" s="5" t="s">
        <v>42</v>
      </c>
      <c r="M11" s="7" t="s">
        <v>44</v>
      </c>
      <c r="N11" s="7" t="s">
        <v>107</v>
      </c>
      <c r="O11" s="7" t="s">
        <v>38</v>
      </c>
      <c r="P11" s="102" t="s">
        <v>107</v>
      </c>
      <c r="Q11" s="102" t="s">
        <v>38</v>
      </c>
      <c r="R11" s="103" t="s">
        <v>38</v>
      </c>
      <c r="S11" s="7" t="s">
        <v>44</v>
      </c>
      <c r="T11" s="114" t="s">
        <v>268</v>
      </c>
      <c r="U11" s="103" t="s">
        <v>38</v>
      </c>
      <c r="V11" s="7" t="s">
        <v>38</v>
      </c>
      <c r="W11" s="7" t="s">
        <v>120</v>
      </c>
      <c r="X11" s="7" t="s">
        <v>93</v>
      </c>
      <c r="Y11" s="7" t="s">
        <v>15</v>
      </c>
      <c r="Z11" s="7" t="s">
        <v>15</v>
      </c>
      <c r="AA11" s="7" t="s">
        <v>15</v>
      </c>
      <c r="AB11" s="7" t="s">
        <v>15</v>
      </c>
      <c r="AF11" s="7" t="s">
        <v>38</v>
      </c>
      <c r="AG11" s="103" t="s">
        <v>38</v>
      </c>
      <c r="AH11" s="103" t="s">
        <v>38</v>
      </c>
      <c r="AJ11" s="7" t="s">
        <v>15</v>
      </c>
      <c r="AK11" s="7" t="s">
        <v>15</v>
      </c>
      <c r="AL11" s="7" t="s">
        <v>15</v>
      </c>
      <c r="AN11" s="7" t="s">
        <v>15</v>
      </c>
      <c r="AR11" s="7" t="s">
        <v>38</v>
      </c>
      <c r="AS11" s="7" t="s">
        <v>38</v>
      </c>
      <c r="AT11" s="7" t="s">
        <v>134</v>
      </c>
      <c r="AU11" s="7" t="s">
        <v>38</v>
      </c>
      <c r="AV11" s="105" t="s">
        <v>133</v>
      </c>
      <c r="AW11" s="105" t="s">
        <v>38</v>
      </c>
      <c r="AX11" s="7"/>
      <c r="AY11" s="102"/>
      <c r="AZ11" s="104" t="s">
        <v>38</v>
      </c>
      <c r="BB11" s="7" t="s">
        <v>15</v>
      </c>
      <c r="BC11" s="48" t="s">
        <v>101</v>
      </c>
      <c r="BD11" s="104" t="s">
        <v>15</v>
      </c>
      <c r="BE11" s="7" t="s">
        <v>15</v>
      </c>
      <c r="BH11" s="7"/>
      <c r="BI11" s="7" t="s">
        <v>46</v>
      </c>
      <c r="BJ11" s="7" t="s">
        <v>44</v>
      </c>
      <c r="BK11" s="7" t="s">
        <v>45</v>
      </c>
      <c r="BL11" s="7" t="s">
        <v>38</v>
      </c>
      <c r="BM11" s="7" t="s">
        <v>0</v>
      </c>
      <c r="BN11" s="7" t="s">
        <v>38</v>
      </c>
      <c r="BO11" s="7"/>
      <c r="BP11" s="7" t="s">
        <v>14</v>
      </c>
      <c r="BR11" s="7" t="s">
        <v>15</v>
      </c>
      <c r="BS11" s="7"/>
      <c r="BT11" s="7" t="s">
        <v>15</v>
      </c>
      <c r="BW11" s="7"/>
      <c r="BX11" s="114" t="s">
        <v>38</v>
      </c>
      <c r="BY11" s="114" t="s">
        <v>38</v>
      </c>
      <c r="BZ11" s="7" t="s">
        <v>38</v>
      </c>
      <c r="CA11" s="7" t="s">
        <v>14</v>
      </c>
      <c r="CC11" s="7" t="s">
        <v>15</v>
      </c>
      <c r="CD11" s="48" t="s">
        <v>101</v>
      </c>
      <c r="CE11" s="7" t="s">
        <v>15</v>
      </c>
      <c r="CF11" s="7"/>
      <c r="CG11" s="7" t="s">
        <v>15</v>
      </c>
    </row>
    <row r="12" spans="1:106">
      <c r="A12" s="3"/>
      <c r="C12" s="13"/>
      <c r="E12" s="3" t="s">
        <v>27</v>
      </c>
      <c r="F12" s="253">
        <f>+'Res .95+% Res Furnace - NEW'!F12+'Res .95+% Res Furnace - Replace'!F12+'Programmable Tstats - Tier 1'!F12+'Programmable Tstats - Tier 2'!F12+'Comm 95+% Furnace - NEW'!F12+'Comm 95+% Furnace - Replace'!F12+'Comm Custom'!F12</f>
        <v>60376</v>
      </c>
      <c r="G12" s="137"/>
      <c r="H12" s="137"/>
      <c r="L12" s="106" t="s">
        <v>43</v>
      </c>
      <c r="M12" s="106" t="s">
        <v>48</v>
      </c>
      <c r="N12" s="106" t="s">
        <v>49</v>
      </c>
      <c r="O12" s="106" t="s">
        <v>50</v>
      </c>
      <c r="P12" s="106" t="s">
        <v>51</v>
      </c>
      <c r="Q12" s="106" t="s">
        <v>52</v>
      </c>
      <c r="R12" s="106" t="s">
        <v>53</v>
      </c>
      <c r="S12" s="106" t="s">
        <v>54</v>
      </c>
      <c r="T12" s="106" t="s">
        <v>55</v>
      </c>
      <c r="U12" s="106" t="s">
        <v>56</v>
      </c>
      <c r="V12" s="106" t="s">
        <v>57</v>
      </c>
      <c r="W12" s="106" t="s">
        <v>58</v>
      </c>
      <c r="X12" s="106" t="s">
        <v>59</v>
      </c>
      <c r="Y12" s="106" t="s">
        <v>60</v>
      </c>
      <c r="Z12" s="106" t="s">
        <v>61</v>
      </c>
      <c r="AA12" s="106" t="s">
        <v>138</v>
      </c>
      <c r="AB12" s="106" t="s">
        <v>146</v>
      </c>
      <c r="AE12" s="106" t="s">
        <v>43</v>
      </c>
      <c r="AF12" s="106" t="s">
        <v>48</v>
      </c>
      <c r="AG12" s="106" t="s">
        <v>49</v>
      </c>
      <c r="AH12" s="106" t="s">
        <v>50</v>
      </c>
      <c r="AJ12" s="106" t="s">
        <v>51</v>
      </c>
      <c r="AK12" s="106" t="s">
        <v>52</v>
      </c>
      <c r="AL12" s="106" t="s">
        <v>53</v>
      </c>
      <c r="AN12" s="106" t="s">
        <v>54</v>
      </c>
      <c r="AQ12" s="106" t="s">
        <v>43</v>
      </c>
      <c r="AR12" s="106" t="s">
        <v>48</v>
      </c>
      <c r="AS12" s="106" t="s">
        <v>49</v>
      </c>
      <c r="AT12" s="106" t="s">
        <v>50</v>
      </c>
      <c r="AU12" s="106" t="s">
        <v>51</v>
      </c>
      <c r="AV12" s="106" t="s">
        <v>52</v>
      </c>
      <c r="AW12" s="106" t="s">
        <v>53</v>
      </c>
      <c r="AX12" s="106"/>
      <c r="AY12" s="106"/>
      <c r="AZ12" s="106" t="s">
        <v>54</v>
      </c>
      <c r="BB12" s="106" t="s">
        <v>55</v>
      </c>
      <c r="BC12" s="106" t="s">
        <v>56</v>
      </c>
      <c r="BD12" s="106" t="s">
        <v>57</v>
      </c>
      <c r="BE12" s="106" t="s">
        <v>58</v>
      </c>
      <c r="BH12" s="106" t="s">
        <v>43</v>
      </c>
      <c r="BI12" s="106" t="s">
        <v>48</v>
      </c>
      <c r="BJ12" s="106" t="s">
        <v>49</v>
      </c>
      <c r="BK12" s="106" t="s">
        <v>50</v>
      </c>
      <c r="BL12" s="106" t="s">
        <v>51</v>
      </c>
      <c r="BM12" s="106" t="s">
        <v>52</v>
      </c>
      <c r="BN12" s="106" t="s">
        <v>53</v>
      </c>
      <c r="BO12" s="106"/>
      <c r="BP12" s="106" t="s">
        <v>54</v>
      </c>
      <c r="BR12" s="106" t="s">
        <v>55</v>
      </c>
      <c r="BS12" s="7"/>
      <c r="BT12" s="106" t="s">
        <v>56</v>
      </c>
      <c r="BW12" s="106" t="s">
        <v>43</v>
      </c>
      <c r="BX12" s="106" t="s">
        <v>48</v>
      </c>
      <c r="BY12" s="106" t="s">
        <v>49</v>
      </c>
      <c r="BZ12" s="106" t="s">
        <v>50</v>
      </c>
      <c r="CA12" s="117" t="s">
        <v>51</v>
      </c>
      <c r="CC12" s="117" t="s">
        <v>52</v>
      </c>
      <c r="CD12" s="117" t="s">
        <v>53</v>
      </c>
      <c r="CE12" s="117" t="s">
        <v>54</v>
      </c>
      <c r="CF12" s="7"/>
      <c r="CG12" s="117" t="s">
        <v>55</v>
      </c>
    </row>
    <row r="13" spans="1:106">
      <c r="A13" s="3" t="s">
        <v>40</v>
      </c>
      <c r="C13" s="11"/>
      <c r="E13" s="3" t="s">
        <v>41</v>
      </c>
      <c r="F13" s="12">
        <f>SUM(F11:F12)</f>
        <v>80770</v>
      </c>
      <c r="G13" s="12"/>
      <c r="H13" s="12"/>
      <c r="J13" s="7"/>
      <c r="L13" s="7"/>
      <c r="M13" s="7"/>
      <c r="N13" s="7"/>
      <c r="Q13" s="7"/>
      <c r="R13" s="24"/>
      <c r="S13" s="7"/>
      <c r="T13" s="7"/>
      <c r="V13" s="7"/>
      <c r="W13" s="7"/>
      <c r="X13" s="7"/>
      <c r="Z13" s="7"/>
      <c r="AA13" s="7"/>
      <c r="AB13" s="7"/>
      <c r="AE13" s="7"/>
      <c r="AF13" s="7"/>
      <c r="AH13" s="7"/>
      <c r="AL13" s="7"/>
      <c r="AN13" s="7"/>
      <c r="AQ13" s="7"/>
      <c r="AR13" s="7"/>
      <c r="AS13" s="7"/>
      <c r="AU13" s="7"/>
      <c r="AW13" s="4"/>
      <c r="AY13" s="4"/>
      <c r="BB13" s="7"/>
      <c r="BC13" s="7"/>
      <c r="BD13" s="7"/>
      <c r="BE13" s="7"/>
      <c r="BH13" s="7"/>
      <c r="BI13" s="7"/>
      <c r="BJ13" s="7"/>
      <c r="BK13" s="7"/>
      <c r="BL13" s="7"/>
      <c r="BN13" s="7"/>
      <c r="BO13" s="7"/>
      <c r="BP13" s="7"/>
      <c r="BR13" s="7"/>
      <c r="BS13" s="7"/>
      <c r="BT13" s="7"/>
      <c r="BW13" s="7"/>
      <c r="BX13" s="7"/>
      <c r="BY13" s="7"/>
      <c r="BZ13" s="7"/>
      <c r="CA13" s="7"/>
      <c r="CC13" s="7"/>
      <c r="CD13" s="7"/>
      <c r="CE13" s="7"/>
      <c r="CF13" s="7"/>
      <c r="CG13" s="7"/>
    </row>
    <row r="14" spans="1:106">
      <c r="A14" s="3" t="s">
        <v>47</v>
      </c>
      <c r="C14" s="13"/>
      <c r="F14" s="16"/>
      <c r="G14" s="16"/>
      <c r="H14" s="16"/>
      <c r="J14" s="2">
        <f>$C$47-$C$45</f>
        <v>0</v>
      </c>
      <c r="L14" s="7">
        <f>$C$47</f>
        <v>2025</v>
      </c>
      <c r="M14" s="16">
        <f>ROUND(+'Res .95+% Res Furnace - NEW'!M14+'Res .95+% Res Furnace - Replace'!M14+'Programmable Tstats - Tier 1'!M14+'Programmable Tstats - Tier 2'!M14+'Comm 95+% Furnace - NEW'!M14+'Comm 95+% Furnace - Replace'!M14+'Comm Custom'!M14,0)</f>
        <v>4322</v>
      </c>
      <c r="N14" s="107"/>
      <c r="O14" s="16">
        <f>ROUND(+'Res .95+% Res Furnace - NEW'!O14+'Res .95+% Res Furnace - Replace'!O14+'Programmable Tstats - Tier 1'!O14+'Programmable Tstats - Tier 2'!O14+'Comm 95+% Furnace - NEW'!O14+'Comm 95+% Furnace - Replace'!O14+'Comm Custom'!O14,0)</f>
        <v>14764</v>
      </c>
      <c r="P14" s="107"/>
      <c r="Q14" s="12">
        <f>ROUND(+'Res .95+% Res Furnace - NEW'!Q14+'Res .95+% Res Furnace - Replace'!Q14+'Programmable Tstats - Tier 1'!Q14+'Programmable Tstats - Tier 2'!Q14+'Comm 95+% Furnace - NEW'!Q14+'Comm 95+% Furnace - Replace'!Q14+'Comm Custom'!Q14,0)</f>
        <v>0</v>
      </c>
      <c r="R14" s="12">
        <f>ROUND(+'Res .95+% Res Furnace - NEW'!R14+'Res .95+% Res Furnace - Replace'!R14+'Programmable Tstats - Tier 1'!R14+'Programmable Tstats - Tier 2'!R14+'Comm 95+% Furnace - NEW'!R14+'Comm 95+% Furnace - Replace'!R14+'Comm Custom'!R14,0)</f>
        <v>14764</v>
      </c>
      <c r="S14" s="252">
        <f>ROUND(+'Res .95+% Res Furnace - NEW'!S14+'Res .95+% Res Furnace - Replace'!S14+'Programmable Tstats - Tier 1'!S14+'Programmable Tstats - Tier 2'!S14+'Comm 95+% Furnace - NEW'!S14+'Comm 95+% Furnace - Replace'!S14+'Comm Custom'!S14,0)</f>
        <v>43</v>
      </c>
      <c r="T14" s="12"/>
      <c r="U14" s="16">
        <f>ROUND(+'Res .95+% Res Furnace - NEW'!U14+'Res .95+% Res Furnace - Replace'!U14+'Programmable Tstats - Tier 1'!U14+'Programmable Tstats - Tier 2'!U14+'Comm 95+% Furnace - NEW'!U14+'Comm 95+% Furnace - Replace'!U14+'Comm Custom'!U14,0)</f>
        <v>7561</v>
      </c>
      <c r="V14" s="16">
        <f>ROUND(+'Res .95+% Res Furnace - NEW'!V14+'Res .95+% Res Furnace - Replace'!V14+'Programmable Tstats - Tier 1'!V14+'Programmable Tstats - Tier 2'!V14+'Comm 95+% Furnace - NEW'!V14+'Comm 95+% Furnace - Replace'!V14+'Comm Custom'!V14,0)</f>
        <v>22325</v>
      </c>
      <c r="W14" s="110"/>
      <c r="X14" s="12">
        <f>ROUND(+'Res .95+% Res Furnace - NEW'!X14+'Res .95+% Res Furnace - Replace'!X14+'Programmable Tstats - Tier 1'!X14+'Programmable Tstats - Tier 2'!X14+'Comm 95+% Furnace - NEW'!X14+'Comm 95+% Furnace - Replace'!X14+'Comm Custom'!X14,0)</f>
        <v>8390</v>
      </c>
      <c r="Y14" s="12">
        <f>ROUND(+'Res .95+% Res Furnace - NEW'!Y14+'Res .95+% Res Furnace - Replace'!Y14+'Programmable Tstats - Tier 1'!Y14+'Programmable Tstats - Tier 2'!Y14+'Comm 95+% Furnace - NEW'!Y14+'Comm 95+% Furnace - Replace'!Y14+'Comm Custom'!Y14,0)</f>
        <v>20394</v>
      </c>
      <c r="Z14" s="12">
        <f>ROUND(+'Res .95+% Res Furnace - NEW'!Z14+'Res .95+% Res Furnace - Replace'!Z14+'Programmable Tstats - Tier 1'!Z14+'Programmable Tstats - Tier 2'!Z14+'Comm 95+% Furnace - NEW'!Z14+'Comm 95+% Furnace - Replace'!Z14+'Comm Custom'!Z14,0)</f>
        <v>60376</v>
      </c>
      <c r="AA14" s="12">
        <f>ROUND(+'Res .95+% Res Furnace - NEW'!AA14+'Res .95+% Res Furnace - Replace'!AA14+'Programmable Tstats - Tier 1'!AA14+'Programmable Tstats - Tier 2'!AA14+'Comm 95+% Furnace - NEW'!AA14+'Comm 95+% Furnace - Replace'!AA14+'Comm Custom'!AA14,0)</f>
        <v>89160</v>
      </c>
      <c r="AB14" s="12">
        <f>ROUND(+'Res .95+% Res Furnace - NEW'!AB14+'Res .95+% Res Furnace - Replace'!AB14+'Programmable Tstats - Tier 1'!AB14+'Programmable Tstats - Tier 2'!AB14+'Comm 95+% Furnace - NEW'!AB14+'Comm 95+% Furnace - Replace'!AB14+'Comm Custom'!AB14,0)</f>
        <v>-66835</v>
      </c>
      <c r="AE14" s="7">
        <f>$C$47</f>
        <v>2025</v>
      </c>
      <c r="AF14" s="12">
        <f t="shared" ref="AF14:AF34" si="0">+R14</f>
        <v>14764</v>
      </c>
      <c r="AG14" s="12">
        <f t="shared" ref="AG14:AG34" si="1">+U14</f>
        <v>7561</v>
      </c>
      <c r="AH14" s="111">
        <f>+AG14+AF14</f>
        <v>22325</v>
      </c>
      <c r="AJ14" s="12">
        <f>ROUND(Y14,0)</f>
        <v>20394</v>
      </c>
      <c r="AK14" s="12">
        <f>ROUND(Z14,0)</f>
        <v>60376</v>
      </c>
      <c r="AL14" s="12">
        <f t="shared" ref="AL14:AL34" si="2">SUM(AJ14:AK14)</f>
        <v>80770</v>
      </c>
      <c r="AN14" s="12">
        <f>+AH14-AL14</f>
        <v>-58445</v>
      </c>
      <c r="AQ14" s="7">
        <f>$C$47</f>
        <v>2025</v>
      </c>
      <c r="AR14" s="12">
        <f t="shared" ref="AR14:AR34" si="3">AF14</f>
        <v>14764</v>
      </c>
      <c r="AS14" s="12">
        <f t="shared" ref="AS14:AS34" si="4">+AG14</f>
        <v>7561</v>
      </c>
      <c r="AT14" s="107"/>
      <c r="AU14" s="12">
        <f>ROUND(+'Res .95+% Res Furnace - NEW'!AU14+'Res .95+% Res Furnace - Replace'!AU14+'Programmable Tstats - Tier 1'!AU14+'Programmable Tstats - Tier 2'!AU14+'Comm 95+% Furnace - NEW'!AU14+'Comm 95+% Furnace - Replace'!AU14+'Comm Custom'!AU14,0)</f>
        <v>3240</v>
      </c>
      <c r="AV14" s="107"/>
      <c r="AW14" s="12">
        <f>ROUND(+'Res .95+% Res Furnace - NEW'!AW14+'Res .95+% Res Furnace - Replace'!AW14+'Programmable Tstats - Tier 1'!AW14+'Programmable Tstats - Tier 2'!AW14+'Comm 95+% Furnace - NEW'!AW14+'Comm 95+% Furnace - Replace'!AW14+'Comm Custom'!AW14,0)</f>
        <v>8948</v>
      </c>
      <c r="AX14" s="107"/>
      <c r="AY14" s="12"/>
      <c r="AZ14" s="12">
        <f>ROUND(AR14+AS14+AU14+AW14+AY14,0)</f>
        <v>34513</v>
      </c>
      <c r="BA14" s="17"/>
      <c r="BB14" s="12">
        <f>ROUND(+'Res .95+% Res Furnace - NEW'!BB14+'Res .95+% Res Furnace - Replace'!BB14+'Programmable Tstats - Tier 1'!BB14+'Programmable Tstats - Tier 2'!BB14+'Comm 95+% Furnace - NEW'!BB14+'Comm 95+% Furnace - Replace'!BB14+'Comm Custom'!BB14,0)</f>
        <v>80770</v>
      </c>
      <c r="BC14" s="12">
        <f>ROUND(+'Res .95+% Res Furnace - NEW'!BC14+'Res .95+% Res Furnace - Replace'!BC14+'Programmable Tstats - Tier 1'!BC14+'Programmable Tstats - Tier 2'!BC14+'Comm 95+% Furnace - NEW'!BC14+'Comm 95+% Furnace - Replace'!BC14+'Comm Custom'!BC14,0)</f>
        <v>79201</v>
      </c>
      <c r="BD14" s="109">
        <f>BB14+BC14</f>
        <v>159971</v>
      </c>
      <c r="BE14" s="111">
        <f t="shared" ref="BE14:BE34" si="5">AZ14-BD14</f>
        <v>-125458</v>
      </c>
      <c r="BH14" s="7">
        <f>$C$47</f>
        <v>2025</v>
      </c>
      <c r="BI14" s="12">
        <f>ROUND(+'Res .95+% Res Furnace - NEW'!BI14+'Res .95+% Res Furnace - Replace'!BI14+'Programmable Tstats - Tier 1'!BI14+'Programmable Tstats - Tier 2'!BI14+'Comm 95+% Furnace - NEW'!BI14+'Comm 95+% Furnace - Replace'!BI14+'Comm Custom'!BI14,0)</f>
        <v>60376</v>
      </c>
      <c r="BJ14" s="16">
        <f>ROUND(+'Res .95+% Res Furnace - NEW'!BJ14+'Res .95+% Res Furnace - Replace'!BJ14+'Programmable Tstats - Tier 1'!BJ14+'Programmable Tstats - Tier 2'!BJ14+'Comm 95+% Furnace - NEW'!BJ14+'Comm 95+% Furnace - Replace'!BJ14+'Comm Custom'!BJ14,0)</f>
        <v>4322</v>
      </c>
      <c r="BK14" s="112"/>
      <c r="BL14" s="12">
        <f>ROUND(+'Res .95+% Res Furnace - NEW'!BL14+'Res .95+% Res Furnace - Replace'!BL14+'Programmable Tstats - Tier 1'!BL14+'Programmable Tstats - Tier 2'!BL14+'Comm 95+% Furnace - NEW'!BL14+'Comm 95+% Furnace - Replace'!BL14+'Comm Custom'!BL14,0)</f>
        <v>35788</v>
      </c>
      <c r="BM14" s="112"/>
      <c r="BN14" s="12">
        <f>ROUND(+'Res .95+% Res Furnace - NEW'!BN14+'Res .95+% Res Furnace - Replace'!BN14+'Programmable Tstats - Tier 1'!BN14+'Programmable Tstats - Tier 2'!BN14+'Comm 95+% Furnace - NEW'!BN14+'Comm 95+% Furnace - Replace'!BN14+'Comm Custom'!BN14,0)</f>
        <v>14581</v>
      </c>
      <c r="BO14" s="12"/>
      <c r="BP14" s="12">
        <f t="shared" ref="BP14:BP34" si="6">BI14+BL14+BN14+BO14</f>
        <v>110745</v>
      </c>
      <c r="BR14" s="12">
        <f>ROUND(+'Res .95+% Res Furnace - NEW'!BR14+'Res .95+% Res Furnace - Replace'!BR14+'Programmable Tstats - Tier 1'!BR14+'Programmable Tstats - Tier 2'!BR14+'Comm 95+% Furnace - NEW'!BR14+'Comm 95+% Furnace - Replace'!BR14+'Comm Custom'!BR14,0)</f>
        <v>139577</v>
      </c>
      <c r="BS14" s="12"/>
      <c r="BT14" s="12">
        <f>BP14-BR14</f>
        <v>-28832</v>
      </c>
      <c r="BW14" s="7">
        <f>$C$47</f>
        <v>2025</v>
      </c>
      <c r="BX14" s="12">
        <f>$R14</f>
        <v>14764</v>
      </c>
      <c r="BY14" s="12">
        <f>U14</f>
        <v>7561</v>
      </c>
      <c r="BZ14" s="115">
        <f>AU14</f>
        <v>3240</v>
      </c>
      <c r="CA14" s="12">
        <f>SUM(BX14:BZ14)</f>
        <v>25565</v>
      </c>
      <c r="CC14" s="12">
        <f>BB14</f>
        <v>80770</v>
      </c>
      <c r="CD14" s="12">
        <f>BC14</f>
        <v>79201</v>
      </c>
      <c r="CE14" s="12">
        <f>SUM(CC14:CD14)</f>
        <v>159971</v>
      </c>
      <c r="CF14" s="12"/>
      <c r="CG14" s="12">
        <f>CA14-CE14</f>
        <v>-134406</v>
      </c>
    </row>
    <row r="15" spans="1:106">
      <c r="A15" s="3" t="s">
        <v>62</v>
      </c>
      <c r="C15" s="131"/>
      <c r="E15" s="3" t="s">
        <v>63</v>
      </c>
      <c r="F15" s="134"/>
      <c r="G15" s="257"/>
      <c r="H15" s="257"/>
      <c r="J15" s="2">
        <f t="shared" ref="J15:J36" si="7">J14+1</f>
        <v>1</v>
      </c>
      <c r="L15" s="7">
        <f t="shared" ref="L15:L36" si="8">L14+1</f>
        <v>2026</v>
      </c>
      <c r="M15" s="16">
        <f>ROUND(+'Res .95+% Res Furnace - NEW'!M15+'Res .95+% Res Furnace - Replace'!M15+'Programmable Tstats - Tier 1'!M15+'Programmable Tstats - Tier 2'!M15+'Comm 95+% Furnace - NEW'!M15+'Comm 95+% Furnace - Replace'!M15+'Comm Custom'!M15,0)</f>
        <v>4322</v>
      </c>
      <c r="N15" s="53"/>
      <c r="O15" s="16">
        <f>ROUND(+'Res .95+% Res Furnace - NEW'!O15+'Res .95+% Res Furnace - Replace'!O15+'Programmable Tstats - Tier 1'!O15+'Programmable Tstats - Tier 2'!O15+'Comm 95+% Furnace - NEW'!O15+'Comm 95+% Furnace - Replace'!O15+'Comm Custom'!O15,0)</f>
        <v>15205</v>
      </c>
      <c r="P15" s="53"/>
      <c r="Q15" s="16">
        <f>ROUND(+'Res .95+% Res Furnace - NEW'!Q15+'Res .95+% Res Furnace - Replace'!Q15+'Programmable Tstats - Tier 1'!Q15+'Programmable Tstats - Tier 2'!Q15+'Comm 95+% Furnace - NEW'!Q15+'Comm 95+% Furnace - Replace'!Q15+'Comm Custom'!Q15,0)</f>
        <v>0</v>
      </c>
      <c r="R15" s="16">
        <f>ROUND(+'Res .95+% Res Furnace - NEW'!R15+'Res .95+% Res Furnace - Replace'!R15+'Programmable Tstats - Tier 1'!R15+'Programmable Tstats - Tier 2'!R15+'Comm 95+% Furnace - NEW'!R15+'Comm 95+% Furnace - Replace'!R15+'Comm Custom'!R15,0)</f>
        <v>15205</v>
      </c>
      <c r="S15" s="252">
        <f>ROUND(+'Res .95+% Res Furnace - NEW'!S15+'Res .95+% Res Furnace - Replace'!S15+'Programmable Tstats - Tier 1'!S15+'Programmable Tstats - Tier 2'!S15+'Comm 95+% Furnace - NEW'!S15+'Comm 95+% Furnace - Replace'!S15+'Comm Custom'!S15,0)</f>
        <v>43</v>
      </c>
      <c r="T15" s="46"/>
      <c r="U15" s="16">
        <f>ROUND(+'Res .95+% Res Furnace - NEW'!U15+'Res .95+% Res Furnace - Replace'!U15+'Programmable Tstats - Tier 1'!U15+'Programmable Tstats - Tier 2'!U15+'Comm 95+% Furnace - NEW'!U15+'Comm 95+% Furnace - Replace'!U15+'Comm Custom'!U15,0)</f>
        <v>7648</v>
      </c>
      <c r="V15" s="16">
        <f>ROUND(+'Res .95+% Res Furnace - NEW'!V15+'Res .95+% Res Furnace - Replace'!V15+'Programmable Tstats - Tier 1'!V15+'Programmable Tstats - Tier 2'!V15+'Comm 95+% Furnace - NEW'!V15+'Comm 95+% Furnace - Replace'!V15+'Comm Custom'!V15,0)</f>
        <v>22853</v>
      </c>
      <c r="W15" s="45"/>
      <c r="X15" s="16">
        <f>ROUND(+'Res .95+% Res Furnace - NEW'!X15+'Res .95+% Res Furnace - Replace'!X15+'Programmable Tstats - Tier 1'!X15+'Programmable Tstats - Tier 2'!X15+'Comm 95+% Furnace - NEW'!X15+'Comm 95+% Furnace - Replace'!X15+'Comm Custom'!X15,0)</f>
        <v>8642</v>
      </c>
      <c r="Y15" s="16">
        <f>ROUND(+'Res .95+% Res Furnace - NEW'!Y15+'Res .95+% Res Furnace - Replace'!Y15+'Programmable Tstats - Tier 1'!Y15+'Programmable Tstats - Tier 2'!Y15+'Comm 95+% Furnace - NEW'!Y15+'Comm 95+% Furnace - Replace'!Y15+'Comm Custom'!Y15,0)</f>
        <v>0</v>
      </c>
      <c r="Z15" s="16">
        <f>ROUND(+'Res .95+% Res Furnace - NEW'!Z15+'Res .95+% Res Furnace - Replace'!Z15+'Programmable Tstats - Tier 1'!Z15+'Programmable Tstats - Tier 2'!Z15+'Comm 95+% Furnace - NEW'!Z15+'Comm 95+% Furnace - Replace'!Z15+'Comm Custom'!Z15,0)</f>
        <v>0</v>
      </c>
      <c r="AA15" s="16">
        <f>ROUND(+'Res .95+% Res Furnace - NEW'!AA15+'Res .95+% Res Furnace - Replace'!AA15+'Programmable Tstats - Tier 1'!AA15+'Programmable Tstats - Tier 2'!AA15+'Comm 95+% Furnace - NEW'!AA15+'Comm 95+% Furnace - Replace'!AA15+'Comm Custom'!AA15,0)</f>
        <v>8642</v>
      </c>
      <c r="AB15" s="16">
        <f>ROUND(+'Res .95+% Res Furnace - NEW'!AB15+'Res .95+% Res Furnace - Replace'!AB15+'Programmable Tstats - Tier 1'!AB15+'Programmable Tstats - Tier 2'!AB15+'Comm 95+% Furnace - NEW'!AB15+'Comm 95+% Furnace - Replace'!AB15+'Comm Custom'!AB15,0)</f>
        <v>14211</v>
      </c>
      <c r="AE15" s="7">
        <f t="shared" ref="AE15:AE36" si="9">AE14+1</f>
        <v>2026</v>
      </c>
      <c r="AF15" s="46">
        <f t="shared" si="0"/>
        <v>15205</v>
      </c>
      <c r="AG15" s="16">
        <f t="shared" si="1"/>
        <v>7648</v>
      </c>
      <c r="AH15" s="46">
        <f>+AG15+AF15</f>
        <v>22853</v>
      </c>
      <c r="AJ15" s="32">
        <f t="shared" ref="AJ15:AK34" si="10">ROUND(Y15,0)</f>
        <v>0</v>
      </c>
      <c r="AK15" s="32">
        <f t="shared" si="10"/>
        <v>0</v>
      </c>
      <c r="AL15" s="32">
        <f t="shared" si="2"/>
        <v>0</v>
      </c>
      <c r="AN15" s="77">
        <f t="shared" ref="AN15:AN34" si="11">+AH15-AL15</f>
        <v>22853</v>
      </c>
      <c r="AQ15" s="7">
        <f t="shared" ref="AQ15:AQ36" si="12">AQ14+1</f>
        <v>2026</v>
      </c>
      <c r="AR15" s="46">
        <f t="shared" si="3"/>
        <v>15205</v>
      </c>
      <c r="AS15" s="46">
        <f t="shared" si="4"/>
        <v>7648</v>
      </c>
      <c r="AT15" s="91"/>
      <c r="AU15" s="16">
        <f>ROUND(+'Res .95+% Res Furnace - NEW'!AU15+'Res .95+% Res Furnace - Replace'!AU15+'Programmable Tstats - Tier 1'!AU15+'Programmable Tstats - Tier 2'!AU15+'Comm 95+% Furnace - NEW'!AU15+'Comm 95+% Furnace - Replace'!AU15+'Comm Custom'!AU15,0)</f>
        <v>3240</v>
      </c>
      <c r="AV15" s="53"/>
      <c r="AW15" s="16">
        <f>ROUND(+'Res .95+% Res Furnace - NEW'!AW15+'Res .95+% Res Furnace - Replace'!AW15+'Programmable Tstats - Tier 1'!AW15+'Programmable Tstats - Tier 2'!AW15+'Comm 95+% Furnace - NEW'!AW15+'Comm 95+% Furnace - Replace'!AW15+'Comm Custom'!AW15,0)</f>
        <v>9097</v>
      </c>
      <c r="AX15" s="91"/>
      <c r="AY15" s="92"/>
      <c r="AZ15" s="46">
        <f t="shared" ref="AZ15:AZ34" si="13">ROUND(AR15+AS15+AU15+AW15+AY15,0)</f>
        <v>35190</v>
      </c>
      <c r="BA15" s="17"/>
      <c r="BB15" s="16">
        <f>ROUND(+'Res .95+% Res Furnace - NEW'!BB15+'Res .95+% Res Furnace - Replace'!BB15+'Programmable Tstats - Tier 1'!BB15+'Programmable Tstats - Tier 2'!BB15+'Comm 95+% Furnace - NEW'!BB15+'Comm 95+% Furnace - Replace'!BB15+'Comm Custom'!BB15,0)</f>
        <v>0</v>
      </c>
      <c r="BC15" s="16">
        <f>ROUND(+'Res .95+% Res Furnace - NEW'!BC15+'Res .95+% Res Furnace - Replace'!BC15+'Programmable Tstats - Tier 1'!BC15+'Programmable Tstats - Tier 2'!BC15+'Comm 95+% Furnace - NEW'!BC15+'Comm 95+% Furnace - Replace'!BC15+'Comm Custom'!BC15,0)</f>
        <v>0</v>
      </c>
      <c r="BD15" s="47">
        <f t="shared" ref="BD15:BD34" si="14">BB15+BC15</f>
        <v>0</v>
      </c>
      <c r="BE15" s="46">
        <f t="shared" si="5"/>
        <v>35190</v>
      </c>
      <c r="BH15" s="7">
        <f t="shared" ref="BH15:BH36" si="15">BH14+1</f>
        <v>2026</v>
      </c>
      <c r="BI15" s="16">
        <f>ROUND(+'Res .95+% Res Furnace - NEW'!BI15+'Res .95+% Res Furnace - Replace'!BI15+'Programmable Tstats - Tier 1'!BI15+'Programmable Tstats - Tier 2'!BI15+'Comm 95+% Furnace - NEW'!BI15+'Comm 95+% Furnace - Replace'!BI15+'Comm Custom'!BI15,0)</f>
        <v>0</v>
      </c>
      <c r="BJ15" s="16">
        <f>ROUND(+'Res .95+% Res Furnace - NEW'!BJ15+'Res .95+% Res Furnace - Replace'!BJ15+'Programmable Tstats - Tier 1'!BJ15+'Programmable Tstats - Tier 2'!BJ15+'Comm 95+% Furnace - NEW'!BJ15+'Comm 95+% Furnace - Replace'!BJ15+'Comm Custom'!BJ15,0)</f>
        <v>4322</v>
      </c>
      <c r="BK15" s="87"/>
      <c r="BL15" s="16">
        <f>ROUND(+'Res .95+% Res Furnace - NEW'!BL15+'Res .95+% Res Furnace - Replace'!BL15+'Programmable Tstats - Tier 1'!BL15+'Programmable Tstats - Tier 2'!BL15+'Comm 95+% Furnace - NEW'!BL15+'Comm 95+% Furnace - Replace'!BL15+'Comm Custom'!BL15,0)</f>
        <v>36862</v>
      </c>
      <c r="BM15" s="87"/>
      <c r="BN15" s="16">
        <f>ROUND(+'Res .95+% Res Furnace - NEW'!BN15+'Res .95+% Res Furnace - Replace'!BN15+'Programmable Tstats - Tier 1'!BN15+'Programmable Tstats - Tier 2'!BN15+'Comm 95+% Furnace - NEW'!BN15+'Comm 95+% Furnace - Replace'!BN15+'Comm Custom'!BN15,0)</f>
        <v>15012</v>
      </c>
      <c r="BO15" s="16"/>
      <c r="BP15" s="46">
        <f t="shared" si="6"/>
        <v>51874</v>
      </c>
      <c r="BR15" s="16">
        <f>ROUND(+'Res .95+% Res Furnace - NEW'!BR15+'Res .95+% Res Furnace - Replace'!BR15+'Programmable Tstats - Tier 1'!BR15+'Programmable Tstats - Tier 2'!BR15+'Comm 95+% Furnace - NEW'!BR15+'Comm 95+% Furnace - Replace'!BR15+'Comm Custom'!BR15,0)</f>
        <v>0</v>
      </c>
      <c r="BS15" s="46"/>
      <c r="BT15" s="46">
        <f t="shared" ref="BT15:BT34" si="16">BP15-BR15</f>
        <v>51874</v>
      </c>
      <c r="BW15" s="7">
        <f t="shared" ref="BW15:BW36" si="17">BW14+1</f>
        <v>2026</v>
      </c>
      <c r="BX15" s="46">
        <f t="shared" ref="BX15:BX36" si="18">$R15</f>
        <v>15205</v>
      </c>
      <c r="BY15" s="16">
        <f>U15</f>
        <v>7648</v>
      </c>
      <c r="BZ15" s="116">
        <f t="shared" ref="BZ15:BZ34" si="19">AU15</f>
        <v>3240</v>
      </c>
      <c r="CA15" s="46">
        <f t="shared" ref="CA15:CA34" si="20">SUM(BX15:BZ15)</f>
        <v>26093</v>
      </c>
      <c r="CC15" s="46">
        <f>BB15</f>
        <v>0</v>
      </c>
      <c r="CD15" s="46">
        <f>BC15</f>
        <v>0</v>
      </c>
      <c r="CE15" s="46">
        <f>SUM(CC15:CD15)</f>
        <v>0</v>
      </c>
      <c r="CF15" s="46"/>
      <c r="CG15" s="46">
        <f t="shared" ref="CG15:CG34" si="21">CA15-CE15</f>
        <v>26093</v>
      </c>
    </row>
    <row r="16" spans="1:106">
      <c r="F16" s="141"/>
      <c r="G16" s="16"/>
      <c r="H16" s="16"/>
      <c r="J16" s="2">
        <f t="shared" si="7"/>
        <v>2</v>
      </c>
      <c r="L16" s="7">
        <f t="shared" si="8"/>
        <v>2027</v>
      </c>
      <c r="M16" s="16">
        <f>ROUND(+'Res .95+% Res Furnace - NEW'!M16+'Res .95+% Res Furnace - Replace'!M16+'Programmable Tstats - Tier 1'!M16+'Programmable Tstats - Tier 2'!M16+'Comm 95+% Furnace - NEW'!M16+'Comm 95+% Furnace - Replace'!M16+'Comm Custom'!M16,0)</f>
        <v>4322</v>
      </c>
      <c r="N16" s="53"/>
      <c r="O16" s="16">
        <f>ROUND(+'Res .95+% Res Furnace - NEW'!O16+'Res .95+% Res Furnace - Replace'!O16+'Programmable Tstats - Tier 1'!O16+'Programmable Tstats - Tier 2'!O16+'Comm 95+% Furnace - NEW'!O16+'Comm 95+% Furnace - Replace'!O16+'Comm Custom'!O16,0)</f>
        <v>15663</v>
      </c>
      <c r="P16" s="53"/>
      <c r="Q16" s="16">
        <f>ROUND(+'Res .95+% Res Furnace - NEW'!Q16+'Res .95+% Res Furnace - Replace'!Q16+'Programmable Tstats - Tier 1'!Q16+'Programmable Tstats - Tier 2'!Q16+'Comm 95+% Furnace - NEW'!Q16+'Comm 95+% Furnace - Replace'!Q16+'Comm Custom'!Q16,0)</f>
        <v>0</v>
      </c>
      <c r="R16" s="16">
        <f>ROUND(+'Res .95+% Res Furnace - NEW'!R16+'Res .95+% Res Furnace - Replace'!R16+'Programmable Tstats - Tier 1'!R16+'Programmable Tstats - Tier 2'!R16+'Comm 95+% Furnace - NEW'!R16+'Comm 95+% Furnace - Replace'!R16+'Comm Custom'!R16,0)</f>
        <v>15663</v>
      </c>
      <c r="S16" s="252">
        <f>ROUND(+'Res .95+% Res Furnace - NEW'!S16+'Res .95+% Res Furnace - Replace'!S16+'Programmable Tstats - Tier 1'!S16+'Programmable Tstats - Tier 2'!S16+'Comm 95+% Furnace - NEW'!S16+'Comm 95+% Furnace - Replace'!S16+'Comm Custom'!S16,0)</f>
        <v>43</v>
      </c>
      <c r="T16" s="46"/>
      <c r="U16" s="16">
        <f>ROUND(+'Res .95+% Res Furnace - NEW'!U16+'Res .95+% Res Furnace - Replace'!U16+'Programmable Tstats - Tier 1'!U16+'Programmable Tstats - Tier 2'!U16+'Comm 95+% Furnace - NEW'!U16+'Comm 95+% Furnace - Replace'!U16+'Comm Custom'!U16,0)</f>
        <v>7733</v>
      </c>
      <c r="V16" s="16">
        <f>ROUND(+'Res .95+% Res Furnace - NEW'!V16+'Res .95+% Res Furnace - Replace'!V16+'Programmable Tstats - Tier 1'!V16+'Programmable Tstats - Tier 2'!V16+'Comm 95+% Furnace - NEW'!V16+'Comm 95+% Furnace - Replace'!V16+'Comm Custom'!V16,0)</f>
        <v>23396</v>
      </c>
      <c r="W16" s="45"/>
      <c r="X16" s="16">
        <f>ROUND(+'Res .95+% Res Furnace - NEW'!X16+'Res .95+% Res Furnace - Replace'!X16+'Programmable Tstats - Tier 1'!X16+'Programmable Tstats - Tier 2'!X16+'Comm 95+% Furnace - NEW'!X16+'Comm 95+% Furnace - Replace'!X16+'Comm Custom'!X16,0)</f>
        <v>8902</v>
      </c>
      <c r="Y16" s="16">
        <f>ROUND(+'Res .95+% Res Furnace - NEW'!Y16+'Res .95+% Res Furnace - Replace'!Y16+'Programmable Tstats - Tier 1'!Y16+'Programmable Tstats - Tier 2'!Y16+'Comm 95+% Furnace - NEW'!Y16+'Comm 95+% Furnace - Replace'!Y16+'Comm Custom'!Y16,0)</f>
        <v>0</v>
      </c>
      <c r="Z16" s="16">
        <f>ROUND(+'Res .95+% Res Furnace - NEW'!Z16+'Res .95+% Res Furnace - Replace'!Z16+'Programmable Tstats - Tier 1'!Z16+'Programmable Tstats - Tier 2'!Z16+'Comm 95+% Furnace - NEW'!Z16+'Comm 95+% Furnace - Replace'!Z16+'Comm Custom'!Z16,0)</f>
        <v>0</v>
      </c>
      <c r="AA16" s="16">
        <f>ROUND(+'Res .95+% Res Furnace - NEW'!AA16+'Res .95+% Res Furnace - Replace'!AA16+'Programmable Tstats - Tier 1'!AA16+'Programmable Tstats - Tier 2'!AA16+'Comm 95+% Furnace - NEW'!AA16+'Comm 95+% Furnace - Replace'!AA16+'Comm Custom'!AA16,0)</f>
        <v>8902</v>
      </c>
      <c r="AB16" s="16">
        <f>ROUND(+'Res .95+% Res Furnace - NEW'!AB16+'Res .95+% Res Furnace - Replace'!AB16+'Programmable Tstats - Tier 1'!AB16+'Programmable Tstats - Tier 2'!AB16+'Comm 95+% Furnace - NEW'!AB16+'Comm 95+% Furnace - Replace'!AB16+'Comm Custom'!AB16,0)</f>
        <v>14494</v>
      </c>
      <c r="AE16" s="7">
        <f t="shared" si="9"/>
        <v>2027</v>
      </c>
      <c r="AF16" s="46">
        <f t="shared" si="0"/>
        <v>15663</v>
      </c>
      <c r="AG16" s="16">
        <f t="shared" si="1"/>
        <v>7733</v>
      </c>
      <c r="AH16" s="46">
        <f t="shared" ref="AH16:AH34" si="22">+AG16+AF16</f>
        <v>23396</v>
      </c>
      <c r="AJ16" s="32">
        <f t="shared" si="10"/>
        <v>0</v>
      </c>
      <c r="AK16" s="32">
        <f t="shared" si="10"/>
        <v>0</v>
      </c>
      <c r="AL16" s="32">
        <f t="shared" si="2"/>
        <v>0</v>
      </c>
      <c r="AN16" s="77">
        <f t="shared" si="11"/>
        <v>23396</v>
      </c>
      <c r="AQ16" s="7">
        <f t="shared" si="12"/>
        <v>2027</v>
      </c>
      <c r="AR16" s="46">
        <f t="shared" si="3"/>
        <v>15663</v>
      </c>
      <c r="AS16" s="46">
        <f t="shared" si="4"/>
        <v>7733</v>
      </c>
      <c r="AT16" s="91"/>
      <c r="AU16" s="16">
        <f>ROUND(+'Res .95+% Res Furnace - NEW'!AU16+'Res .95+% Res Furnace - Replace'!AU16+'Programmable Tstats - Tier 1'!AU16+'Programmable Tstats - Tier 2'!AU16+'Comm 95+% Furnace - NEW'!AU16+'Comm 95+% Furnace - Replace'!AU16+'Comm Custom'!AU16,0)</f>
        <v>3348</v>
      </c>
      <c r="AV16" s="53"/>
      <c r="AW16" s="16">
        <f>ROUND(+'Res .95+% Res Furnace - NEW'!AW16+'Res .95+% Res Furnace - Replace'!AW16+'Programmable Tstats - Tier 1'!AW16+'Programmable Tstats - Tier 2'!AW16+'Comm 95+% Furnace - NEW'!AW16+'Comm 95+% Furnace - Replace'!AW16+'Comm Custom'!AW16,0)</f>
        <v>9252</v>
      </c>
      <c r="AX16" s="91"/>
      <c r="AY16" s="92"/>
      <c r="AZ16" s="46">
        <f t="shared" si="13"/>
        <v>35996</v>
      </c>
      <c r="BA16" s="17"/>
      <c r="BB16" s="16">
        <f>ROUND(+'Res .95+% Res Furnace - NEW'!BB16+'Res .95+% Res Furnace - Replace'!BB16+'Programmable Tstats - Tier 1'!BB16+'Programmable Tstats - Tier 2'!BB16+'Comm 95+% Furnace - NEW'!BB16+'Comm 95+% Furnace - Replace'!BB16+'Comm Custom'!BB16,0)</f>
        <v>0</v>
      </c>
      <c r="BC16" s="16">
        <f>ROUND(+'Res .95+% Res Furnace - NEW'!BC16+'Res .95+% Res Furnace - Replace'!BC16+'Programmable Tstats - Tier 1'!BC16+'Programmable Tstats - Tier 2'!BC16+'Comm 95+% Furnace - NEW'!BC16+'Comm 95+% Furnace - Replace'!BC16+'Comm Custom'!BC16,0)</f>
        <v>0</v>
      </c>
      <c r="BD16" s="47">
        <f t="shared" si="14"/>
        <v>0</v>
      </c>
      <c r="BE16" s="46">
        <f t="shared" si="5"/>
        <v>35996</v>
      </c>
      <c r="BH16" s="7">
        <f t="shared" si="15"/>
        <v>2027</v>
      </c>
      <c r="BI16" s="16">
        <f>ROUND(+'Res .95+% Res Furnace - NEW'!BI16+'Res .95+% Res Furnace - Replace'!BI16+'Programmable Tstats - Tier 1'!BI16+'Programmable Tstats - Tier 2'!BI16+'Comm 95+% Furnace - NEW'!BI16+'Comm 95+% Furnace - Replace'!BI16+'Comm Custom'!BI16,0)</f>
        <v>0</v>
      </c>
      <c r="BJ16" s="16">
        <f>ROUND(+'Res .95+% Res Furnace - NEW'!BJ16+'Res .95+% Res Furnace - Replace'!BJ16+'Programmable Tstats - Tier 1'!BJ16+'Programmable Tstats - Tier 2'!BJ16+'Comm 95+% Furnace - NEW'!BJ16+'Comm 95+% Furnace - Replace'!BJ16+'Comm Custom'!BJ16,0)</f>
        <v>4322</v>
      </c>
      <c r="BK16" s="87"/>
      <c r="BL16" s="16">
        <f>ROUND(+'Res .95+% Res Furnace - NEW'!BL16+'Res .95+% Res Furnace - Replace'!BL16+'Programmable Tstats - Tier 1'!BL16+'Programmable Tstats - Tier 2'!BL16+'Comm 95+% Furnace - NEW'!BL16+'Comm 95+% Furnace - Replace'!BL16+'Comm Custom'!BL16,0)</f>
        <v>37968</v>
      </c>
      <c r="BM16" s="87"/>
      <c r="BN16" s="16">
        <f>ROUND(+'Res .95+% Res Furnace - NEW'!BN16+'Res .95+% Res Furnace - Replace'!BN16+'Programmable Tstats - Tier 1'!BN16+'Programmable Tstats - Tier 2'!BN16+'Comm 95+% Furnace - NEW'!BN16+'Comm 95+% Furnace - Replace'!BN16+'Comm Custom'!BN16,0)</f>
        <v>15444</v>
      </c>
      <c r="BO16" s="16"/>
      <c r="BP16" s="46">
        <f t="shared" si="6"/>
        <v>53412</v>
      </c>
      <c r="BR16" s="16">
        <f>ROUND(+'Res .95+% Res Furnace - NEW'!BR16+'Res .95+% Res Furnace - Replace'!BR16+'Programmable Tstats - Tier 1'!BR16+'Programmable Tstats - Tier 2'!BR16+'Comm 95+% Furnace - NEW'!BR16+'Comm 95+% Furnace - Replace'!BR16+'Comm Custom'!BR16,0)</f>
        <v>0</v>
      </c>
      <c r="BS16" s="46"/>
      <c r="BT16" s="46">
        <f t="shared" si="16"/>
        <v>53412</v>
      </c>
      <c r="BW16" s="7">
        <f t="shared" si="17"/>
        <v>2027</v>
      </c>
      <c r="BX16" s="46">
        <f t="shared" si="18"/>
        <v>15663</v>
      </c>
      <c r="BY16" s="16">
        <f t="shared" ref="BY16:BY34" si="23">U16</f>
        <v>7733</v>
      </c>
      <c r="BZ16" s="116">
        <f t="shared" si="19"/>
        <v>3348</v>
      </c>
      <c r="CA16" s="46">
        <f t="shared" si="20"/>
        <v>26744</v>
      </c>
      <c r="CC16" s="46">
        <f t="shared" ref="CC16:CD34" si="24">BB16</f>
        <v>0</v>
      </c>
      <c r="CD16" s="46">
        <f t="shared" si="24"/>
        <v>0</v>
      </c>
      <c r="CE16" s="46">
        <f>SUM(CC16:CD16)</f>
        <v>0</v>
      </c>
      <c r="CF16" s="46"/>
      <c r="CG16" s="46">
        <f t="shared" si="21"/>
        <v>26744</v>
      </c>
    </row>
    <row r="17" spans="1:106">
      <c r="A17" s="3" t="s">
        <v>105</v>
      </c>
      <c r="C17" s="11"/>
      <c r="D17" s="19"/>
      <c r="E17" s="3" t="s">
        <v>64</v>
      </c>
      <c r="F17" s="14"/>
      <c r="G17" s="14"/>
      <c r="H17" s="14"/>
      <c r="J17" s="2">
        <f t="shared" si="7"/>
        <v>3</v>
      </c>
      <c r="L17" s="7">
        <f t="shared" si="8"/>
        <v>2028</v>
      </c>
      <c r="M17" s="16">
        <f>ROUND(+'Res .95+% Res Furnace - NEW'!M17+'Res .95+% Res Furnace - Replace'!M17+'Programmable Tstats - Tier 1'!M17+'Programmable Tstats - Tier 2'!M17+'Comm 95+% Furnace - NEW'!M17+'Comm 95+% Furnace - Replace'!M17+'Comm Custom'!M17,0)</f>
        <v>4322</v>
      </c>
      <c r="N17" s="53"/>
      <c r="O17" s="16">
        <f>ROUND(+'Res .95+% Res Furnace - NEW'!O17+'Res .95+% Res Furnace - Replace'!O17+'Programmable Tstats - Tier 1'!O17+'Programmable Tstats - Tier 2'!O17+'Comm 95+% Furnace - NEW'!O17+'Comm 95+% Furnace - Replace'!O17+'Comm Custom'!O17,0)</f>
        <v>16133</v>
      </c>
      <c r="P17" s="53"/>
      <c r="Q17" s="16">
        <f>ROUND(+'Res .95+% Res Furnace - NEW'!Q17+'Res .95+% Res Furnace - Replace'!Q17+'Programmable Tstats - Tier 1'!Q17+'Programmable Tstats - Tier 2'!Q17+'Comm 95+% Furnace - NEW'!Q17+'Comm 95+% Furnace - Replace'!Q17+'Comm Custom'!Q17,0)</f>
        <v>0</v>
      </c>
      <c r="R17" s="16">
        <f>ROUND(+'Res .95+% Res Furnace - NEW'!R17+'Res .95+% Res Furnace - Replace'!R17+'Programmable Tstats - Tier 1'!R17+'Programmable Tstats - Tier 2'!R17+'Comm 95+% Furnace - NEW'!R17+'Comm 95+% Furnace - Replace'!R17+'Comm Custom'!R17,0)</f>
        <v>16133</v>
      </c>
      <c r="S17" s="252">
        <f>ROUND(+'Res .95+% Res Furnace - NEW'!S17+'Res .95+% Res Furnace - Replace'!S17+'Programmable Tstats - Tier 1'!S17+'Programmable Tstats - Tier 2'!S17+'Comm 95+% Furnace - NEW'!S17+'Comm 95+% Furnace - Replace'!S17+'Comm Custom'!S17,0)</f>
        <v>43</v>
      </c>
      <c r="T17" s="46"/>
      <c r="U17" s="16">
        <f>ROUND(+'Res .95+% Res Furnace - NEW'!U17+'Res .95+% Res Furnace - Replace'!U17+'Programmable Tstats - Tier 1'!U17+'Programmable Tstats - Tier 2'!U17+'Comm 95+% Furnace - NEW'!U17+'Comm 95+% Furnace - Replace'!U17+'Comm Custom'!U17,0)</f>
        <v>7820</v>
      </c>
      <c r="V17" s="16">
        <f>ROUND(+'Res .95+% Res Furnace - NEW'!V17+'Res .95+% Res Furnace - Replace'!V17+'Programmable Tstats - Tier 1'!V17+'Programmable Tstats - Tier 2'!V17+'Comm 95+% Furnace - NEW'!V17+'Comm 95+% Furnace - Replace'!V17+'Comm Custom'!V17,0)</f>
        <v>23953</v>
      </c>
      <c r="W17" s="45"/>
      <c r="X17" s="16">
        <f>ROUND(+'Res .95+% Res Furnace - NEW'!X17+'Res .95+% Res Furnace - Replace'!X17+'Programmable Tstats - Tier 1'!X17+'Programmable Tstats - Tier 2'!X17+'Comm 95+% Furnace - NEW'!X17+'Comm 95+% Furnace - Replace'!X17+'Comm Custom'!X17,0)</f>
        <v>9170</v>
      </c>
      <c r="Y17" s="16">
        <f>ROUND(+'Res .95+% Res Furnace - NEW'!Y17+'Res .95+% Res Furnace - Replace'!Y17+'Programmable Tstats - Tier 1'!Y17+'Programmable Tstats - Tier 2'!Y17+'Comm 95+% Furnace - NEW'!Y17+'Comm 95+% Furnace - Replace'!Y17+'Comm Custom'!Y17,0)</f>
        <v>0</v>
      </c>
      <c r="Z17" s="16">
        <f>ROUND(+'Res .95+% Res Furnace - NEW'!Z17+'Res .95+% Res Furnace - Replace'!Z17+'Programmable Tstats - Tier 1'!Z17+'Programmable Tstats - Tier 2'!Z17+'Comm 95+% Furnace - NEW'!Z17+'Comm 95+% Furnace - Replace'!Z17+'Comm Custom'!Z17,0)</f>
        <v>0</v>
      </c>
      <c r="AA17" s="16">
        <f>ROUND(+'Res .95+% Res Furnace - NEW'!AA17+'Res .95+% Res Furnace - Replace'!AA17+'Programmable Tstats - Tier 1'!AA17+'Programmable Tstats - Tier 2'!AA17+'Comm 95+% Furnace - NEW'!AA17+'Comm 95+% Furnace - Replace'!AA17+'Comm Custom'!AA17,0)</f>
        <v>9170</v>
      </c>
      <c r="AB17" s="16">
        <f>ROUND(+'Res .95+% Res Furnace - NEW'!AB17+'Res .95+% Res Furnace - Replace'!AB17+'Programmable Tstats - Tier 1'!AB17+'Programmable Tstats - Tier 2'!AB17+'Comm 95+% Furnace - NEW'!AB17+'Comm 95+% Furnace - Replace'!AB17+'Comm Custom'!AB17,0)</f>
        <v>14783</v>
      </c>
      <c r="AE17" s="7">
        <f t="shared" si="9"/>
        <v>2028</v>
      </c>
      <c r="AF17" s="46">
        <f t="shared" si="0"/>
        <v>16133</v>
      </c>
      <c r="AG17" s="16">
        <f t="shared" si="1"/>
        <v>7820</v>
      </c>
      <c r="AH17" s="46">
        <f t="shared" si="22"/>
        <v>23953</v>
      </c>
      <c r="AJ17" s="32">
        <f t="shared" si="10"/>
        <v>0</v>
      </c>
      <c r="AK17" s="32">
        <f t="shared" si="10"/>
        <v>0</v>
      </c>
      <c r="AL17" s="32">
        <f t="shared" si="2"/>
        <v>0</v>
      </c>
      <c r="AN17" s="77">
        <f t="shared" si="11"/>
        <v>23953</v>
      </c>
      <c r="AQ17" s="7">
        <f t="shared" si="12"/>
        <v>2028</v>
      </c>
      <c r="AR17" s="46">
        <f t="shared" si="3"/>
        <v>16133</v>
      </c>
      <c r="AS17" s="46">
        <f t="shared" si="4"/>
        <v>7820</v>
      </c>
      <c r="AT17" s="91"/>
      <c r="AU17" s="16">
        <f>ROUND(+'Res .95+% Res Furnace - NEW'!AU17+'Res .95+% Res Furnace - Replace'!AU17+'Programmable Tstats - Tier 1'!AU17+'Programmable Tstats - Tier 2'!AU17+'Comm 95+% Furnace - NEW'!AU17+'Comm 95+% Furnace - Replace'!AU17+'Comm Custom'!AU17,0)</f>
        <v>3456</v>
      </c>
      <c r="AV17" s="53"/>
      <c r="AW17" s="16">
        <f>ROUND(+'Res .95+% Res Furnace - NEW'!AW17+'Res .95+% Res Furnace - Replace'!AW17+'Programmable Tstats - Tier 1'!AW17+'Programmable Tstats - Tier 2'!AW17+'Comm 95+% Furnace - NEW'!AW17+'Comm 95+% Furnace - Replace'!AW17+'Comm Custom'!AW17,0)</f>
        <v>9408</v>
      </c>
      <c r="AX17" s="91"/>
      <c r="AY17" s="92"/>
      <c r="AZ17" s="46">
        <f t="shared" si="13"/>
        <v>36817</v>
      </c>
      <c r="BA17" s="17"/>
      <c r="BB17" s="16">
        <f>ROUND(+'Res .95+% Res Furnace - NEW'!BB17+'Res .95+% Res Furnace - Replace'!BB17+'Programmable Tstats - Tier 1'!BB17+'Programmable Tstats - Tier 2'!BB17+'Comm 95+% Furnace - NEW'!BB17+'Comm 95+% Furnace - Replace'!BB17+'Comm Custom'!BB17,0)</f>
        <v>0</v>
      </c>
      <c r="BC17" s="16">
        <f>ROUND(+'Res .95+% Res Furnace - NEW'!BC17+'Res .95+% Res Furnace - Replace'!BC17+'Programmable Tstats - Tier 1'!BC17+'Programmable Tstats - Tier 2'!BC17+'Comm 95+% Furnace - NEW'!BC17+'Comm 95+% Furnace - Replace'!BC17+'Comm Custom'!BC17,0)</f>
        <v>0</v>
      </c>
      <c r="BD17" s="47">
        <f t="shared" si="14"/>
        <v>0</v>
      </c>
      <c r="BE17" s="46">
        <f t="shared" si="5"/>
        <v>36817</v>
      </c>
      <c r="BH17" s="7">
        <f t="shared" si="15"/>
        <v>2028</v>
      </c>
      <c r="BI17" s="16">
        <f>ROUND(+'Res .95+% Res Furnace - NEW'!BI17+'Res .95+% Res Furnace - Replace'!BI17+'Programmable Tstats - Tier 1'!BI17+'Programmable Tstats - Tier 2'!BI17+'Comm 95+% Furnace - NEW'!BI17+'Comm 95+% Furnace - Replace'!BI17+'Comm Custom'!BI17,0)</f>
        <v>0</v>
      </c>
      <c r="BJ17" s="16">
        <f>ROUND(+'Res .95+% Res Furnace - NEW'!BJ17+'Res .95+% Res Furnace - Replace'!BJ17+'Programmable Tstats - Tier 1'!BJ17+'Programmable Tstats - Tier 2'!BJ17+'Comm 95+% Furnace - NEW'!BJ17+'Comm 95+% Furnace - Replace'!BJ17+'Comm Custom'!BJ17,0)</f>
        <v>4322</v>
      </c>
      <c r="BK17" s="87"/>
      <c r="BL17" s="16">
        <f>ROUND(+'Res .95+% Res Furnace - NEW'!BL17+'Res .95+% Res Furnace - Replace'!BL17+'Programmable Tstats - Tier 1'!BL17+'Programmable Tstats - Tier 2'!BL17+'Comm 95+% Furnace - NEW'!BL17+'Comm 95+% Furnace - Replace'!BL17+'Comm Custom'!BL17,0)</f>
        <v>39107</v>
      </c>
      <c r="BM17" s="87"/>
      <c r="BN17" s="16">
        <f>ROUND(+'Res .95+% Res Furnace - NEW'!BN17+'Res .95+% Res Furnace - Replace'!BN17+'Programmable Tstats - Tier 1'!BN17+'Programmable Tstats - Tier 2'!BN17+'Comm 95+% Furnace - NEW'!BN17+'Comm 95+% Furnace - Replace'!BN17+'Comm Custom'!BN17,0)</f>
        <v>15876</v>
      </c>
      <c r="BO17" s="16"/>
      <c r="BP17" s="46">
        <f t="shared" si="6"/>
        <v>54983</v>
      </c>
      <c r="BR17" s="16">
        <f>ROUND(+'Res .95+% Res Furnace - NEW'!BR17+'Res .95+% Res Furnace - Replace'!BR17+'Programmable Tstats - Tier 1'!BR17+'Programmable Tstats - Tier 2'!BR17+'Comm 95+% Furnace - NEW'!BR17+'Comm 95+% Furnace - Replace'!BR17+'Comm Custom'!BR17,0)</f>
        <v>0</v>
      </c>
      <c r="BS17" s="46"/>
      <c r="BT17" s="46">
        <f t="shared" si="16"/>
        <v>54983</v>
      </c>
      <c r="BW17" s="7">
        <f t="shared" si="17"/>
        <v>2028</v>
      </c>
      <c r="BX17" s="46">
        <f t="shared" si="18"/>
        <v>16133</v>
      </c>
      <c r="BY17" s="16">
        <f t="shared" si="23"/>
        <v>7820</v>
      </c>
      <c r="BZ17" s="116">
        <f t="shared" si="19"/>
        <v>3456</v>
      </c>
      <c r="CA17" s="46">
        <f t="shared" si="20"/>
        <v>27409</v>
      </c>
      <c r="CC17" s="46">
        <f t="shared" si="24"/>
        <v>0</v>
      </c>
      <c r="CD17" s="46">
        <f t="shared" si="24"/>
        <v>0</v>
      </c>
      <c r="CE17" s="46">
        <f t="shared" ref="CE17:CE34" si="25">SUM(CC17:CD17)</f>
        <v>0</v>
      </c>
      <c r="CF17" s="46"/>
      <c r="CG17" s="46">
        <f t="shared" si="21"/>
        <v>27409</v>
      </c>
    </row>
    <row r="18" spans="1:106">
      <c r="A18" s="3" t="s">
        <v>18</v>
      </c>
      <c r="C18" s="15"/>
      <c r="E18" s="2" t="s">
        <v>65</v>
      </c>
      <c r="F18" s="15"/>
      <c r="G18" s="15"/>
      <c r="H18" s="15"/>
      <c r="J18" s="2">
        <f t="shared" si="7"/>
        <v>4</v>
      </c>
      <c r="L18" s="7">
        <f t="shared" si="8"/>
        <v>2029</v>
      </c>
      <c r="M18" s="16">
        <f>ROUND(+'Res .95+% Res Furnace - NEW'!M18+'Res .95+% Res Furnace - Replace'!M18+'Programmable Tstats - Tier 1'!M18+'Programmable Tstats - Tier 2'!M18+'Comm 95+% Furnace - NEW'!M18+'Comm 95+% Furnace - Replace'!M18+'Comm Custom'!M18,0)</f>
        <v>4322</v>
      </c>
      <c r="N18" s="53"/>
      <c r="O18" s="16">
        <f>ROUND(+'Res .95+% Res Furnace - NEW'!O18+'Res .95+% Res Furnace - Replace'!O18+'Programmable Tstats - Tier 1'!O18+'Programmable Tstats - Tier 2'!O18+'Comm 95+% Furnace - NEW'!O18+'Comm 95+% Furnace - Replace'!O18+'Comm Custom'!O18,0)</f>
        <v>16617</v>
      </c>
      <c r="P18" s="53"/>
      <c r="Q18" s="16">
        <f>ROUND(+'Res .95+% Res Furnace - NEW'!Q18+'Res .95+% Res Furnace - Replace'!Q18+'Programmable Tstats - Tier 1'!Q18+'Programmable Tstats - Tier 2'!Q18+'Comm 95+% Furnace - NEW'!Q18+'Comm 95+% Furnace - Replace'!Q18+'Comm Custom'!Q18,0)</f>
        <v>0</v>
      </c>
      <c r="R18" s="16">
        <f>ROUND(+'Res .95+% Res Furnace - NEW'!R18+'Res .95+% Res Furnace - Replace'!R18+'Programmable Tstats - Tier 1'!R18+'Programmable Tstats - Tier 2'!R18+'Comm 95+% Furnace - NEW'!R18+'Comm 95+% Furnace - Replace'!R18+'Comm Custom'!R18,0)</f>
        <v>16617</v>
      </c>
      <c r="S18" s="252">
        <f>ROUND(+'Res .95+% Res Furnace - NEW'!S18+'Res .95+% Res Furnace - Replace'!S18+'Programmable Tstats - Tier 1'!S18+'Programmable Tstats - Tier 2'!S18+'Comm 95+% Furnace - NEW'!S18+'Comm 95+% Furnace - Replace'!S18+'Comm Custom'!S18,0)</f>
        <v>43</v>
      </c>
      <c r="T18" s="46"/>
      <c r="U18" s="16">
        <f>ROUND(+'Res .95+% Res Furnace - NEW'!U18+'Res .95+% Res Furnace - Replace'!U18+'Programmable Tstats - Tier 1'!U18+'Programmable Tstats - Tier 2'!U18+'Comm 95+% Furnace - NEW'!U18+'Comm 95+% Furnace - Replace'!U18+'Comm Custom'!U18,0)</f>
        <v>7863</v>
      </c>
      <c r="V18" s="16">
        <f>ROUND(+'Res .95+% Res Furnace - NEW'!V18+'Res .95+% Res Furnace - Replace'!V18+'Programmable Tstats - Tier 1'!V18+'Programmable Tstats - Tier 2'!V18+'Comm 95+% Furnace - NEW'!V18+'Comm 95+% Furnace - Replace'!V18+'Comm Custom'!V18,0)</f>
        <v>24480</v>
      </c>
      <c r="W18" s="45"/>
      <c r="X18" s="16">
        <f>ROUND(+'Res .95+% Res Furnace - NEW'!X18+'Res .95+% Res Furnace - Replace'!X18+'Programmable Tstats - Tier 1'!X18+'Programmable Tstats - Tier 2'!X18+'Comm 95+% Furnace - NEW'!X18+'Comm 95+% Furnace - Replace'!X18+'Comm Custom'!X18,0)</f>
        <v>9444</v>
      </c>
      <c r="Y18" s="16">
        <f>ROUND(+'Res .95+% Res Furnace - NEW'!Y18+'Res .95+% Res Furnace - Replace'!Y18+'Programmable Tstats - Tier 1'!Y18+'Programmable Tstats - Tier 2'!Y18+'Comm 95+% Furnace - NEW'!Y18+'Comm 95+% Furnace - Replace'!Y18+'Comm Custom'!Y18,0)</f>
        <v>0</v>
      </c>
      <c r="Z18" s="16">
        <f>ROUND(+'Res .95+% Res Furnace - NEW'!Z18+'Res .95+% Res Furnace - Replace'!Z18+'Programmable Tstats - Tier 1'!Z18+'Programmable Tstats - Tier 2'!Z18+'Comm 95+% Furnace - NEW'!Z18+'Comm 95+% Furnace - Replace'!Z18+'Comm Custom'!Z18,0)</f>
        <v>0</v>
      </c>
      <c r="AA18" s="16">
        <f>ROUND(+'Res .95+% Res Furnace - NEW'!AA18+'Res .95+% Res Furnace - Replace'!AA18+'Programmable Tstats - Tier 1'!AA18+'Programmable Tstats - Tier 2'!AA18+'Comm 95+% Furnace - NEW'!AA18+'Comm 95+% Furnace - Replace'!AA18+'Comm Custom'!AA18,0)</f>
        <v>9444</v>
      </c>
      <c r="AB18" s="16">
        <f>ROUND(+'Res .95+% Res Furnace - NEW'!AB18+'Res .95+% Res Furnace - Replace'!AB18+'Programmable Tstats - Tier 1'!AB18+'Programmable Tstats - Tier 2'!AB18+'Comm 95+% Furnace - NEW'!AB18+'Comm 95+% Furnace - Replace'!AB18+'Comm Custom'!AB18,0)</f>
        <v>15036</v>
      </c>
      <c r="AE18" s="7">
        <f t="shared" si="9"/>
        <v>2029</v>
      </c>
      <c r="AF18" s="46">
        <f t="shared" si="0"/>
        <v>16617</v>
      </c>
      <c r="AG18" s="16">
        <f t="shared" si="1"/>
        <v>7863</v>
      </c>
      <c r="AH18" s="46">
        <f t="shared" si="22"/>
        <v>24480</v>
      </c>
      <c r="AJ18" s="32">
        <f t="shared" si="10"/>
        <v>0</v>
      </c>
      <c r="AK18" s="32">
        <f t="shared" si="10"/>
        <v>0</v>
      </c>
      <c r="AL18" s="32">
        <f t="shared" si="2"/>
        <v>0</v>
      </c>
      <c r="AN18" s="77">
        <f t="shared" si="11"/>
        <v>24480</v>
      </c>
      <c r="AQ18" s="7">
        <f t="shared" si="12"/>
        <v>2029</v>
      </c>
      <c r="AR18" s="46">
        <f t="shared" si="3"/>
        <v>16617</v>
      </c>
      <c r="AS18" s="46">
        <f t="shared" si="4"/>
        <v>7863</v>
      </c>
      <c r="AT18" s="91"/>
      <c r="AU18" s="16">
        <f>ROUND(+'Res .95+% Res Furnace - NEW'!AU18+'Res .95+% Res Furnace - Replace'!AU18+'Programmable Tstats - Tier 1'!AU18+'Programmable Tstats - Tier 2'!AU18+'Comm 95+% Furnace - NEW'!AU18+'Comm 95+% Furnace - Replace'!AU18+'Comm Custom'!AU18,0)</f>
        <v>3564</v>
      </c>
      <c r="AV18" s="53"/>
      <c r="AW18" s="16">
        <f>ROUND(+'Res .95+% Res Furnace - NEW'!AW18+'Res .95+% Res Furnace - Replace'!AW18+'Programmable Tstats - Tier 1'!AW18+'Programmable Tstats - Tier 2'!AW18+'Comm 95+% Furnace - NEW'!AW18+'Comm 95+% Furnace - Replace'!AW18+'Comm Custom'!AW18,0)</f>
        <v>9569</v>
      </c>
      <c r="AX18" s="91"/>
      <c r="AY18" s="92"/>
      <c r="AZ18" s="46">
        <f t="shared" si="13"/>
        <v>37613</v>
      </c>
      <c r="BA18" s="17"/>
      <c r="BB18" s="16">
        <f>ROUND(+'Res .95+% Res Furnace - NEW'!BB18+'Res .95+% Res Furnace - Replace'!BB18+'Programmable Tstats - Tier 1'!BB18+'Programmable Tstats - Tier 2'!BB18+'Comm 95+% Furnace - NEW'!BB18+'Comm 95+% Furnace - Replace'!BB18+'Comm Custom'!BB18,0)</f>
        <v>0</v>
      </c>
      <c r="BC18" s="16">
        <f>ROUND(+'Res .95+% Res Furnace - NEW'!BC18+'Res .95+% Res Furnace - Replace'!BC18+'Programmable Tstats - Tier 1'!BC18+'Programmable Tstats - Tier 2'!BC18+'Comm 95+% Furnace - NEW'!BC18+'Comm 95+% Furnace - Replace'!BC18+'Comm Custom'!BC18,0)</f>
        <v>0</v>
      </c>
      <c r="BD18" s="47">
        <f t="shared" si="14"/>
        <v>0</v>
      </c>
      <c r="BE18" s="46">
        <f t="shared" si="5"/>
        <v>37613</v>
      </c>
      <c r="BH18" s="7">
        <f t="shared" si="15"/>
        <v>2029</v>
      </c>
      <c r="BI18" s="16">
        <f>ROUND(+'Res .95+% Res Furnace - NEW'!BI18+'Res .95+% Res Furnace - Replace'!BI18+'Programmable Tstats - Tier 1'!BI18+'Programmable Tstats - Tier 2'!BI18+'Comm 95+% Furnace - NEW'!BI18+'Comm 95+% Furnace - Replace'!BI18+'Comm Custom'!BI18,0)</f>
        <v>0</v>
      </c>
      <c r="BJ18" s="16">
        <f>ROUND(+'Res .95+% Res Furnace - NEW'!BJ18+'Res .95+% Res Furnace - Replace'!BJ18+'Programmable Tstats - Tier 1'!BJ18+'Programmable Tstats - Tier 2'!BJ18+'Comm 95+% Furnace - NEW'!BJ18+'Comm 95+% Furnace - Replace'!BJ18+'Comm Custom'!BJ18,0)</f>
        <v>4322</v>
      </c>
      <c r="BK18" s="87"/>
      <c r="BL18" s="16">
        <f>ROUND(+'Res .95+% Res Furnace - NEW'!BL18+'Res .95+% Res Furnace - Replace'!BL18+'Programmable Tstats - Tier 1'!BL18+'Programmable Tstats - Tier 2'!BL18+'Comm 95+% Furnace - NEW'!BL18+'Comm 95+% Furnace - Replace'!BL18+'Comm Custom'!BL18,0)</f>
        <v>40280</v>
      </c>
      <c r="BM18" s="87"/>
      <c r="BN18" s="16">
        <f>ROUND(+'Res .95+% Res Furnace - NEW'!BN18+'Res .95+% Res Furnace - Replace'!BN18+'Programmable Tstats - Tier 1'!BN18+'Programmable Tstats - Tier 2'!BN18+'Comm 95+% Furnace - NEW'!BN18+'Comm 95+% Furnace - Replace'!BN18+'Comm Custom'!BN18,0)</f>
        <v>16417</v>
      </c>
      <c r="BO18" s="16"/>
      <c r="BP18" s="46">
        <f t="shared" si="6"/>
        <v>56697</v>
      </c>
      <c r="BR18" s="16">
        <f>ROUND(+'Res .95+% Res Furnace - NEW'!BR18+'Res .95+% Res Furnace - Replace'!BR18+'Programmable Tstats - Tier 1'!BR18+'Programmable Tstats - Tier 2'!BR18+'Comm 95+% Furnace - NEW'!BR18+'Comm 95+% Furnace - Replace'!BR18+'Comm Custom'!BR18,0)</f>
        <v>0</v>
      </c>
      <c r="BS18" s="46"/>
      <c r="BT18" s="46">
        <f t="shared" si="16"/>
        <v>56697</v>
      </c>
      <c r="BW18" s="7">
        <f t="shared" si="17"/>
        <v>2029</v>
      </c>
      <c r="BX18" s="46">
        <f t="shared" si="18"/>
        <v>16617</v>
      </c>
      <c r="BY18" s="16">
        <f t="shared" si="23"/>
        <v>7863</v>
      </c>
      <c r="BZ18" s="116">
        <f t="shared" si="19"/>
        <v>3564</v>
      </c>
      <c r="CA18" s="46">
        <f>SUM(BX18:BZ18)</f>
        <v>28044</v>
      </c>
      <c r="CC18" s="46">
        <f t="shared" si="24"/>
        <v>0</v>
      </c>
      <c r="CD18" s="46">
        <f t="shared" si="24"/>
        <v>0</v>
      </c>
      <c r="CE18" s="46">
        <f t="shared" si="25"/>
        <v>0</v>
      </c>
      <c r="CF18" s="46"/>
      <c r="CG18" s="46">
        <f t="shared" si="21"/>
        <v>28044</v>
      </c>
      <c r="DB18" s="5"/>
    </row>
    <row r="19" spans="1:106">
      <c r="C19" s="3"/>
      <c r="J19" s="2">
        <f t="shared" si="7"/>
        <v>5</v>
      </c>
      <c r="L19" s="7">
        <f t="shared" si="8"/>
        <v>2030</v>
      </c>
      <c r="M19" s="16">
        <f>ROUND(+'Res .95+% Res Furnace - NEW'!M19+'Res .95+% Res Furnace - Replace'!M19+'Programmable Tstats - Tier 1'!M19+'Programmable Tstats - Tier 2'!M19+'Comm 95+% Furnace - NEW'!M19+'Comm 95+% Furnace - Replace'!M19+'Comm Custom'!M19,0)</f>
        <v>4322</v>
      </c>
      <c r="N19" s="53"/>
      <c r="O19" s="16">
        <f>ROUND(+'Res .95+% Res Furnace - NEW'!O19+'Res .95+% Res Furnace - Replace'!O19+'Programmable Tstats - Tier 1'!O19+'Programmable Tstats - Tier 2'!O19+'Comm 95+% Furnace - NEW'!O19+'Comm 95+% Furnace - Replace'!O19+'Comm Custom'!O19,0)</f>
        <v>17116</v>
      </c>
      <c r="P19" s="53"/>
      <c r="Q19" s="16">
        <f>ROUND(+'Res .95+% Res Furnace - NEW'!Q19+'Res .95+% Res Furnace - Replace'!Q19+'Programmable Tstats - Tier 1'!Q19+'Programmable Tstats - Tier 2'!Q19+'Comm 95+% Furnace - NEW'!Q19+'Comm 95+% Furnace - Replace'!Q19+'Comm Custom'!Q19,0)</f>
        <v>0</v>
      </c>
      <c r="R19" s="16">
        <f>ROUND(+'Res .95+% Res Furnace - NEW'!R19+'Res .95+% Res Furnace - Replace'!R19+'Programmable Tstats - Tier 1'!R19+'Programmable Tstats - Tier 2'!R19+'Comm 95+% Furnace - NEW'!R19+'Comm 95+% Furnace - Replace'!R19+'Comm Custom'!R19,0)</f>
        <v>17116</v>
      </c>
      <c r="S19" s="252">
        <f>ROUND(+'Res .95+% Res Furnace - NEW'!S19+'Res .95+% Res Furnace - Replace'!S19+'Programmable Tstats - Tier 1'!S19+'Programmable Tstats - Tier 2'!S19+'Comm 95+% Furnace - NEW'!S19+'Comm 95+% Furnace - Replace'!S19+'Comm Custom'!S19,0)</f>
        <v>43</v>
      </c>
      <c r="T19" s="46"/>
      <c r="U19" s="16">
        <f>ROUND(+'Res .95+% Res Furnace - NEW'!U19+'Res .95+% Res Furnace - Replace'!U19+'Programmable Tstats - Tier 1'!U19+'Programmable Tstats - Tier 2'!U19+'Comm 95+% Furnace - NEW'!U19+'Comm 95+% Furnace - Replace'!U19+'Comm Custom'!U19,0)</f>
        <v>7948</v>
      </c>
      <c r="V19" s="16">
        <f>ROUND(+'Res .95+% Res Furnace - NEW'!V19+'Res .95+% Res Furnace - Replace'!V19+'Programmable Tstats - Tier 1'!V19+'Programmable Tstats - Tier 2'!V19+'Comm 95+% Furnace - NEW'!V19+'Comm 95+% Furnace - Replace'!V19+'Comm Custom'!V19,0)</f>
        <v>25064</v>
      </c>
      <c r="W19" s="45"/>
      <c r="X19" s="16">
        <f>ROUND(+'Res .95+% Res Furnace - NEW'!X19+'Res .95+% Res Furnace - Replace'!X19+'Programmable Tstats - Tier 1'!X19+'Programmable Tstats - Tier 2'!X19+'Comm 95+% Furnace - NEW'!X19+'Comm 95+% Furnace - Replace'!X19+'Comm Custom'!X19,0)</f>
        <v>9726</v>
      </c>
      <c r="Y19" s="16">
        <f>ROUND(+'Res .95+% Res Furnace - NEW'!Y19+'Res .95+% Res Furnace - Replace'!Y19+'Programmable Tstats - Tier 1'!Y19+'Programmable Tstats - Tier 2'!Y19+'Comm 95+% Furnace - NEW'!Y19+'Comm 95+% Furnace - Replace'!Y19+'Comm Custom'!Y19,0)</f>
        <v>0</v>
      </c>
      <c r="Z19" s="16">
        <f>ROUND(+'Res .95+% Res Furnace - NEW'!Z19+'Res .95+% Res Furnace - Replace'!Z19+'Programmable Tstats - Tier 1'!Z19+'Programmable Tstats - Tier 2'!Z19+'Comm 95+% Furnace - NEW'!Z19+'Comm 95+% Furnace - Replace'!Z19+'Comm Custom'!Z19,0)</f>
        <v>0</v>
      </c>
      <c r="AA19" s="16">
        <f>ROUND(+'Res .95+% Res Furnace - NEW'!AA19+'Res .95+% Res Furnace - Replace'!AA19+'Programmable Tstats - Tier 1'!AA19+'Programmable Tstats - Tier 2'!AA19+'Comm 95+% Furnace - NEW'!AA19+'Comm 95+% Furnace - Replace'!AA19+'Comm Custom'!AA19,0)</f>
        <v>9726</v>
      </c>
      <c r="AB19" s="16">
        <f>ROUND(+'Res .95+% Res Furnace - NEW'!AB19+'Res .95+% Res Furnace - Replace'!AB19+'Programmable Tstats - Tier 1'!AB19+'Programmable Tstats - Tier 2'!AB19+'Comm 95+% Furnace - NEW'!AB19+'Comm 95+% Furnace - Replace'!AB19+'Comm Custom'!AB19,0)</f>
        <v>15338</v>
      </c>
      <c r="AE19" s="7">
        <f t="shared" si="9"/>
        <v>2030</v>
      </c>
      <c r="AF19" s="46">
        <f t="shared" si="0"/>
        <v>17116</v>
      </c>
      <c r="AG19" s="16">
        <f t="shared" si="1"/>
        <v>7948</v>
      </c>
      <c r="AH19" s="46">
        <f t="shared" si="22"/>
        <v>25064</v>
      </c>
      <c r="AJ19" s="32">
        <f t="shared" si="10"/>
        <v>0</v>
      </c>
      <c r="AK19" s="32">
        <f t="shared" si="10"/>
        <v>0</v>
      </c>
      <c r="AL19" s="32">
        <f t="shared" si="2"/>
        <v>0</v>
      </c>
      <c r="AN19" s="77">
        <f t="shared" si="11"/>
        <v>25064</v>
      </c>
      <c r="AQ19" s="7">
        <f t="shared" si="12"/>
        <v>2030</v>
      </c>
      <c r="AR19" s="46">
        <f t="shared" si="3"/>
        <v>17116</v>
      </c>
      <c r="AS19" s="46">
        <f t="shared" si="4"/>
        <v>7948</v>
      </c>
      <c r="AT19" s="91"/>
      <c r="AU19" s="16">
        <f>ROUND(+'Res .95+% Res Furnace - NEW'!AU19+'Res .95+% Res Furnace - Replace'!AU19+'Programmable Tstats - Tier 1'!AU19+'Programmable Tstats - Tier 2'!AU19+'Comm 95+% Furnace - NEW'!AU19+'Comm 95+% Furnace - Replace'!AU19+'Comm Custom'!AU19,0)</f>
        <v>3672</v>
      </c>
      <c r="AV19" s="53"/>
      <c r="AW19" s="16">
        <f>ROUND(+'Res .95+% Res Furnace - NEW'!AW19+'Res .95+% Res Furnace - Replace'!AW19+'Programmable Tstats - Tier 1'!AW19+'Programmable Tstats - Tier 2'!AW19+'Comm 95+% Furnace - NEW'!AW19+'Comm 95+% Furnace - Replace'!AW19+'Comm Custom'!AW19,0)</f>
        <v>9729</v>
      </c>
      <c r="AX19" s="91"/>
      <c r="AY19" s="92"/>
      <c r="AZ19" s="46">
        <f t="shared" si="13"/>
        <v>38465</v>
      </c>
      <c r="BA19" s="17"/>
      <c r="BB19" s="16">
        <f>ROUND(+'Res .95+% Res Furnace - NEW'!BB19+'Res .95+% Res Furnace - Replace'!BB19+'Programmable Tstats - Tier 1'!BB19+'Programmable Tstats - Tier 2'!BB19+'Comm 95+% Furnace - NEW'!BB19+'Comm 95+% Furnace - Replace'!BB19+'Comm Custom'!BB19,0)</f>
        <v>0</v>
      </c>
      <c r="BC19" s="16">
        <f>ROUND(+'Res .95+% Res Furnace - NEW'!BC19+'Res .95+% Res Furnace - Replace'!BC19+'Programmable Tstats - Tier 1'!BC19+'Programmable Tstats - Tier 2'!BC19+'Comm 95+% Furnace - NEW'!BC19+'Comm 95+% Furnace - Replace'!BC19+'Comm Custom'!BC19,0)</f>
        <v>0</v>
      </c>
      <c r="BD19" s="47">
        <f t="shared" si="14"/>
        <v>0</v>
      </c>
      <c r="BE19" s="46">
        <f t="shared" si="5"/>
        <v>38465</v>
      </c>
      <c r="BH19" s="7">
        <f t="shared" si="15"/>
        <v>2030</v>
      </c>
      <c r="BI19" s="16">
        <f>ROUND(+'Res .95+% Res Furnace - NEW'!BI19+'Res .95+% Res Furnace - Replace'!BI19+'Programmable Tstats - Tier 1'!BI19+'Programmable Tstats - Tier 2'!BI19+'Comm 95+% Furnace - NEW'!BI19+'Comm 95+% Furnace - Replace'!BI19+'Comm Custom'!BI19,0)</f>
        <v>0</v>
      </c>
      <c r="BJ19" s="16">
        <f>ROUND(+'Res .95+% Res Furnace - NEW'!BJ19+'Res .95+% Res Furnace - Replace'!BJ19+'Programmable Tstats - Tier 1'!BJ19+'Programmable Tstats - Tier 2'!BJ19+'Comm 95+% Furnace - NEW'!BJ19+'Comm 95+% Furnace - Replace'!BJ19+'Comm Custom'!BJ19,0)</f>
        <v>4322</v>
      </c>
      <c r="BK19" s="87"/>
      <c r="BL19" s="16">
        <f>ROUND(+'Res .95+% Res Furnace - NEW'!BL19+'Res .95+% Res Furnace - Replace'!BL19+'Programmable Tstats - Tier 1'!BL19+'Programmable Tstats - Tier 2'!BL19+'Comm 95+% Furnace - NEW'!BL19+'Comm 95+% Furnace - Replace'!BL19+'Comm Custom'!BL19,0)</f>
        <v>41489</v>
      </c>
      <c r="BM19" s="87"/>
      <c r="BN19" s="16">
        <f>ROUND(+'Res .95+% Res Furnace - NEW'!BN19+'Res .95+% Res Furnace - Replace'!BN19+'Programmable Tstats - Tier 1'!BN19+'Programmable Tstats - Tier 2'!BN19+'Comm 95+% Furnace - NEW'!BN19+'Comm 95+% Furnace - Replace'!BN19+'Comm Custom'!BN19,0)</f>
        <v>16849</v>
      </c>
      <c r="BO19" s="16"/>
      <c r="BP19" s="46">
        <f t="shared" si="6"/>
        <v>58338</v>
      </c>
      <c r="BR19" s="16">
        <f>ROUND(+'Res .95+% Res Furnace - NEW'!BR19+'Res .95+% Res Furnace - Replace'!BR19+'Programmable Tstats - Tier 1'!BR19+'Programmable Tstats - Tier 2'!BR19+'Comm 95+% Furnace - NEW'!BR19+'Comm 95+% Furnace - Replace'!BR19+'Comm Custom'!BR19,0)</f>
        <v>0</v>
      </c>
      <c r="BS19" s="46"/>
      <c r="BT19" s="46">
        <f t="shared" si="16"/>
        <v>58338</v>
      </c>
      <c r="BW19" s="7">
        <f t="shared" si="17"/>
        <v>2030</v>
      </c>
      <c r="BX19" s="46">
        <f t="shared" si="18"/>
        <v>17116</v>
      </c>
      <c r="BY19" s="16">
        <f t="shared" si="23"/>
        <v>7948</v>
      </c>
      <c r="BZ19" s="116">
        <f t="shared" si="19"/>
        <v>3672</v>
      </c>
      <c r="CA19" s="46">
        <f t="shared" si="20"/>
        <v>28736</v>
      </c>
      <c r="CC19" s="46">
        <f t="shared" si="24"/>
        <v>0</v>
      </c>
      <c r="CD19" s="46">
        <f t="shared" si="24"/>
        <v>0</v>
      </c>
      <c r="CE19" s="46">
        <f t="shared" si="25"/>
        <v>0</v>
      </c>
      <c r="CF19" s="46"/>
      <c r="CG19" s="46">
        <f t="shared" si="21"/>
        <v>28736</v>
      </c>
    </row>
    <row r="20" spans="1:106">
      <c r="A20" s="3" t="s">
        <v>66</v>
      </c>
      <c r="C20" s="20"/>
      <c r="E20" s="3" t="s">
        <v>67</v>
      </c>
      <c r="F20" s="14"/>
      <c r="G20" s="14"/>
      <c r="H20" s="14"/>
      <c r="J20" s="2">
        <f t="shared" si="7"/>
        <v>6</v>
      </c>
      <c r="L20" s="7">
        <f t="shared" si="8"/>
        <v>2031</v>
      </c>
      <c r="M20" s="16">
        <f>ROUND(+'Res .95+% Res Furnace - NEW'!M20+'Res .95+% Res Furnace - Replace'!M20+'Programmable Tstats - Tier 1'!M20+'Programmable Tstats - Tier 2'!M20+'Comm 95+% Furnace - NEW'!M20+'Comm 95+% Furnace - Replace'!M20+'Comm Custom'!M20,0)</f>
        <v>4322</v>
      </c>
      <c r="N20" s="53"/>
      <c r="O20" s="16">
        <f>ROUND(+'Res .95+% Res Furnace - NEW'!O20+'Res .95+% Res Furnace - Replace'!O20+'Programmable Tstats - Tier 1'!O20+'Programmable Tstats - Tier 2'!O20+'Comm 95+% Furnace - NEW'!O20+'Comm 95+% Furnace - Replace'!O20+'Comm Custom'!O20,0)</f>
        <v>17630</v>
      </c>
      <c r="P20" s="53"/>
      <c r="Q20" s="16">
        <f>ROUND(+'Res .95+% Res Furnace - NEW'!Q20+'Res .95+% Res Furnace - Replace'!Q20+'Programmable Tstats - Tier 1'!Q20+'Programmable Tstats - Tier 2'!Q20+'Comm 95+% Furnace - NEW'!Q20+'Comm 95+% Furnace - Replace'!Q20+'Comm Custom'!Q20,0)</f>
        <v>0</v>
      </c>
      <c r="R20" s="16">
        <f>ROUND(+'Res .95+% Res Furnace - NEW'!R20+'Res .95+% Res Furnace - Replace'!R20+'Programmable Tstats - Tier 1'!R20+'Programmable Tstats - Tier 2'!R20+'Comm 95+% Furnace - NEW'!R20+'Comm 95+% Furnace - Replace'!R20+'Comm Custom'!R20,0)</f>
        <v>17630</v>
      </c>
      <c r="S20" s="252">
        <f>ROUND(+'Res .95+% Res Furnace - NEW'!S20+'Res .95+% Res Furnace - Replace'!S20+'Programmable Tstats - Tier 1'!S20+'Programmable Tstats - Tier 2'!S20+'Comm 95+% Furnace - NEW'!S20+'Comm 95+% Furnace - Replace'!S20+'Comm Custom'!S20,0)</f>
        <v>43</v>
      </c>
      <c r="T20" s="46"/>
      <c r="U20" s="16">
        <f>ROUND(+'Res .95+% Res Furnace - NEW'!U20+'Res .95+% Res Furnace - Replace'!U20+'Programmable Tstats - Tier 1'!U20+'Programmable Tstats - Tier 2'!U20+'Comm 95+% Furnace - NEW'!U20+'Comm 95+% Furnace - Replace'!U20+'Comm Custom'!U20,0)</f>
        <v>8036</v>
      </c>
      <c r="V20" s="16">
        <f>ROUND(+'Res .95+% Res Furnace - NEW'!V20+'Res .95+% Res Furnace - Replace'!V20+'Programmable Tstats - Tier 1'!V20+'Programmable Tstats - Tier 2'!V20+'Comm 95+% Furnace - NEW'!V20+'Comm 95+% Furnace - Replace'!V20+'Comm Custom'!V20,0)</f>
        <v>25666</v>
      </c>
      <c r="W20" s="45"/>
      <c r="X20" s="16">
        <f>ROUND(+'Res .95+% Res Furnace - NEW'!X20+'Res .95+% Res Furnace - Replace'!X20+'Programmable Tstats - Tier 1'!X20+'Programmable Tstats - Tier 2'!X20+'Comm 95+% Furnace - NEW'!X20+'Comm 95+% Furnace - Replace'!X20+'Comm Custom'!X20,0)</f>
        <v>10019</v>
      </c>
      <c r="Y20" s="16">
        <f>ROUND(+'Res .95+% Res Furnace - NEW'!Y20+'Res .95+% Res Furnace - Replace'!Y20+'Programmable Tstats - Tier 1'!Y20+'Programmable Tstats - Tier 2'!Y20+'Comm 95+% Furnace - NEW'!Y20+'Comm 95+% Furnace - Replace'!Y20+'Comm Custom'!Y20,0)</f>
        <v>0</v>
      </c>
      <c r="Z20" s="16">
        <f>ROUND(+'Res .95+% Res Furnace - NEW'!Z20+'Res .95+% Res Furnace - Replace'!Z20+'Programmable Tstats - Tier 1'!Z20+'Programmable Tstats - Tier 2'!Z20+'Comm 95+% Furnace - NEW'!Z20+'Comm 95+% Furnace - Replace'!Z20+'Comm Custom'!Z20,0)</f>
        <v>0</v>
      </c>
      <c r="AA20" s="16">
        <f>ROUND(+'Res .95+% Res Furnace - NEW'!AA20+'Res .95+% Res Furnace - Replace'!AA20+'Programmable Tstats - Tier 1'!AA20+'Programmable Tstats - Tier 2'!AA20+'Comm 95+% Furnace - NEW'!AA20+'Comm 95+% Furnace - Replace'!AA20+'Comm Custom'!AA20,0)</f>
        <v>10019</v>
      </c>
      <c r="AB20" s="16">
        <f>ROUND(+'Res .95+% Res Furnace - NEW'!AB20+'Res .95+% Res Furnace - Replace'!AB20+'Programmable Tstats - Tier 1'!AB20+'Programmable Tstats - Tier 2'!AB20+'Comm 95+% Furnace - NEW'!AB20+'Comm 95+% Furnace - Replace'!AB20+'Comm Custom'!AB20,0)</f>
        <v>15647</v>
      </c>
      <c r="AE20" s="7">
        <f t="shared" si="9"/>
        <v>2031</v>
      </c>
      <c r="AF20" s="46">
        <f t="shared" si="0"/>
        <v>17630</v>
      </c>
      <c r="AG20" s="16">
        <f t="shared" si="1"/>
        <v>8036</v>
      </c>
      <c r="AH20" s="46">
        <f t="shared" si="22"/>
        <v>25666</v>
      </c>
      <c r="AJ20" s="32">
        <f t="shared" si="10"/>
        <v>0</v>
      </c>
      <c r="AK20" s="32">
        <f t="shared" si="10"/>
        <v>0</v>
      </c>
      <c r="AL20" s="32">
        <f t="shared" si="2"/>
        <v>0</v>
      </c>
      <c r="AN20" s="77">
        <f t="shared" si="11"/>
        <v>25666</v>
      </c>
      <c r="AQ20" s="7">
        <f t="shared" si="12"/>
        <v>2031</v>
      </c>
      <c r="AR20" s="46">
        <f t="shared" si="3"/>
        <v>17630</v>
      </c>
      <c r="AS20" s="46">
        <f t="shared" si="4"/>
        <v>8036</v>
      </c>
      <c r="AT20" s="91"/>
      <c r="AU20" s="16">
        <f>ROUND(+'Res .95+% Res Furnace - NEW'!AU20+'Res .95+% Res Furnace - Replace'!AU20+'Programmable Tstats - Tier 1'!AU20+'Programmable Tstats - Tier 2'!AU20+'Comm 95+% Furnace - NEW'!AU20+'Comm 95+% Furnace - Replace'!AU20+'Comm Custom'!AU20,0)</f>
        <v>3781</v>
      </c>
      <c r="AV20" s="53"/>
      <c r="AW20" s="16">
        <f>ROUND(+'Res .95+% Res Furnace - NEW'!AW20+'Res .95+% Res Furnace - Replace'!AW20+'Programmable Tstats - Tier 1'!AW20+'Programmable Tstats - Tier 2'!AW20+'Comm 95+% Furnace - NEW'!AW20+'Comm 95+% Furnace - Replace'!AW20+'Comm Custom'!AW20,0)</f>
        <v>9892</v>
      </c>
      <c r="AX20" s="91"/>
      <c r="AY20" s="92"/>
      <c r="AZ20" s="46">
        <f t="shared" si="13"/>
        <v>39339</v>
      </c>
      <c r="BA20" s="17"/>
      <c r="BB20" s="16">
        <f>ROUND(+'Res .95+% Res Furnace - NEW'!BB20+'Res .95+% Res Furnace - Replace'!BB20+'Programmable Tstats - Tier 1'!BB20+'Programmable Tstats - Tier 2'!BB20+'Comm 95+% Furnace - NEW'!BB20+'Comm 95+% Furnace - Replace'!BB20+'Comm Custom'!BB20,0)</f>
        <v>0</v>
      </c>
      <c r="BC20" s="16">
        <f>ROUND(+'Res .95+% Res Furnace - NEW'!BC20+'Res .95+% Res Furnace - Replace'!BC20+'Programmable Tstats - Tier 1'!BC20+'Programmable Tstats - Tier 2'!BC20+'Comm 95+% Furnace - NEW'!BC20+'Comm 95+% Furnace - Replace'!BC20+'Comm Custom'!BC20,0)</f>
        <v>0</v>
      </c>
      <c r="BD20" s="47">
        <f t="shared" si="14"/>
        <v>0</v>
      </c>
      <c r="BE20" s="46">
        <f t="shared" si="5"/>
        <v>39339</v>
      </c>
      <c r="BH20" s="7">
        <f t="shared" si="15"/>
        <v>2031</v>
      </c>
      <c r="BI20" s="16">
        <f>ROUND(+'Res .95+% Res Furnace - NEW'!BI20+'Res .95+% Res Furnace - Replace'!BI20+'Programmable Tstats - Tier 1'!BI20+'Programmable Tstats - Tier 2'!BI20+'Comm 95+% Furnace - NEW'!BI20+'Comm 95+% Furnace - Replace'!BI20+'Comm Custom'!BI20,0)</f>
        <v>0</v>
      </c>
      <c r="BJ20" s="16">
        <f>ROUND(+'Res .95+% Res Furnace - NEW'!BJ20+'Res .95+% Res Furnace - Replace'!BJ20+'Programmable Tstats - Tier 1'!BJ20+'Programmable Tstats - Tier 2'!BJ20+'Comm 95+% Furnace - NEW'!BJ20+'Comm 95+% Furnace - Replace'!BJ20+'Comm Custom'!BJ20,0)</f>
        <v>4322</v>
      </c>
      <c r="BK20" s="87"/>
      <c r="BL20" s="16">
        <f>ROUND(+'Res .95+% Res Furnace - NEW'!BL20+'Res .95+% Res Furnace - Replace'!BL20+'Programmable Tstats - Tier 1'!BL20+'Programmable Tstats - Tier 2'!BL20+'Comm 95+% Furnace - NEW'!BL20+'Comm 95+% Furnace - Replace'!BL20+'Comm Custom'!BL20,0)</f>
        <v>42730</v>
      </c>
      <c r="BM20" s="87"/>
      <c r="BN20" s="16">
        <f>ROUND(+'Res .95+% Res Furnace - NEW'!BN20+'Res .95+% Res Furnace - Replace'!BN20+'Programmable Tstats - Tier 1'!BN20+'Programmable Tstats - Tier 2'!BN20+'Comm 95+% Furnace - NEW'!BN20+'Comm 95+% Furnace - Replace'!BN20+'Comm Custom'!BN20,0)</f>
        <v>17389</v>
      </c>
      <c r="BO20" s="16"/>
      <c r="BP20" s="46">
        <f t="shared" si="6"/>
        <v>60119</v>
      </c>
      <c r="BR20" s="16">
        <f>ROUND(+'Res .95+% Res Furnace - NEW'!BR20+'Res .95+% Res Furnace - Replace'!BR20+'Programmable Tstats - Tier 1'!BR20+'Programmable Tstats - Tier 2'!BR20+'Comm 95+% Furnace - NEW'!BR20+'Comm 95+% Furnace - Replace'!BR20+'Comm Custom'!BR20,0)</f>
        <v>0</v>
      </c>
      <c r="BS20" s="46"/>
      <c r="BT20" s="46">
        <f t="shared" si="16"/>
        <v>60119</v>
      </c>
      <c r="BW20" s="7">
        <f t="shared" si="17"/>
        <v>2031</v>
      </c>
      <c r="BX20" s="46">
        <f t="shared" si="18"/>
        <v>17630</v>
      </c>
      <c r="BY20" s="16">
        <f t="shared" si="23"/>
        <v>8036</v>
      </c>
      <c r="BZ20" s="116">
        <f t="shared" si="19"/>
        <v>3781</v>
      </c>
      <c r="CA20" s="46">
        <f t="shared" si="20"/>
        <v>29447</v>
      </c>
      <c r="CC20" s="46">
        <f t="shared" si="24"/>
        <v>0</v>
      </c>
      <c r="CD20" s="46">
        <f t="shared" si="24"/>
        <v>0</v>
      </c>
      <c r="CE20" s="46">
        <f t="shared" si="25"/>
        <v>0</v>
      </c>
      <c r="CF20" s="46"/>
      <c r="CG20" s="46">
        <f t="shared" si="21"/>
        <v>29447</v>
      </c>
      <c r="DB20" s="7"/>
    </row>
    <row r="21" spans="1:106">
      <c r="A21" s="3" t="s">
        <v>18</v>
      </c>
      <c r="C21" s="15"/>
      <c r="E21" s="2" t="s">
        <v>65</v>
      </c>
      <c r="F21" s="15"/>
      <c r="G21" s="15"/>
      <c r="H21" s="15"/>
      <c r="J21" s="2">
        <f t="shared" si="7"/>
        <v>7</v>
      </c>
      <c r="L21" s="7">
        <f t="shared" si="8"/>
        <v>2032</v>
      </c>
      <c r="M21" s="16">
        <f>ROUND(+'Res .95+% Res Furnace - NEW'!M21+'Res .95+% Res Furnace - Replace'!M21+'Programmable Tstats - Tier 1'!M21+'Programmable Tstats - Tier 2'!M21+'Comm 95+% Furnace - NEW'!M21+'Comm 95+% Furnace - Replace'!M21+'Comm Custom'!M21,0)</f>
        <v>4322</v>
      </c>
      <c r="N21" s="53"/>
      <c r="O21" s="16">
        <f>ROUND(+'Res .95+% Res Furnace - NEW'!O21+'Res .95+% Res Furnace - Replace'!O21+'Programmable Tstats - Tier 1'!O21+'Programmable Tstats - Tier 2'!O21+'Comm 95+% Furnace - NEW'!O21+'Comm 95+% Furnace - Replace'!O21+'Comm Custom'!O21,0)</f>
        <v>18157</v>
      </c>
      <c r="P21" s="53"/>
      <c r="Q21" s="16">
        <f>ROUND(+'Res .95+% Res Furnace - NEW'!Q21+'Res .95+% Res Furnace - Replace'!Q21+'Programmable Tstats - Tier 1'!Q21+'Programmable Tstats - Tier 2'!Q21+'Comm 95+% Furnace - NEW'!Q21+'Comm 95+% Furnace - Replace'!Q21+'Comm Custom'!Q21,0)</f>
        <v>0</v>
      </c>
      <c r="R21" s="16">
        <f>ROUND(+'Res .95+% Res Furnace - NEW'!R21+'Res .95+% Res Furnace - Replace'!R21+'Programmable Tstats - Tier 1'!R21+'Programmable Tstats - Tier 2'!R21+'Comm 95+% Furnace - NEW'!R21+'Comm 95+% Furnace - Replace'!R21+'Comm Custom'!R21,0)</f>
        <v>18157</v>
      </c>
      <c r="S21" s="252">
        <f>ROUND(+'Res .95+% Res Furnace - NEW'!S21+'Res .95+% Res Furnace - Replace'!S21+'Programmable Tstats - Tier 1'!S21+'Programmable Tstats - Tier 2'!S21+'Comm 95+% Furnace - NEW'!S21+'Comm 95+% Furnace - Replace'!S21+'Comm Custom'!S21,0)</f>
        <v>43</v>
      </c>
      <c r="T21" s="46"/>
      <c r="U21" s="16">
        <f>ROUND(+'Res .95+% Res Furnace - NEW'!U21+'Res .95+% Res Furnace - Replace'!U21+'Programmable Tstats - Tier 1'!U21+'Programmable Tstats - Tier 2'!U21+'Comm 95+% Furnace - NEW'!U21+'Comm 95+% Furnace - Replace'!U21+'Comm Custom'!U21,0)</f>
        <v>8121</v>
      </c>
      <c r="V21" s="16">
        <f>ROUND(+'Res .95+% Res Furnace - NEW'!V21+'Res .95+% Res Furnace - Replace'!V21+'Programmable Tstats - Tier 1'!V21+'Programmable Tstats - Tier 2'!V21+'Comm 95+% Furnace - NEW'!V21+'Comm 95+% Furnace - Replace'!V21+'Comm Custom'!V21,0)</f>
        <v>26278</v>
      </c>
      <c r="W21" s="45"/>
      <c r="X21" s="16">
        <f>ROUND(+'Res .95+% Res Furnace - NEW'!X21+'Res .95+% Res Furnace - Replace'!X21+'Programmable Tstats - Tier 1'!X21+'Programmable Tstats - Tier 2'!X21+'Comm 95+% Furnace - NEW'!X21+'Comm 95+% Furnace - Replace'!X21+'Comm Custom'!X21,0)</f>
        <v>10319</v>
      </c>
      <c r="Y21" s="16">
        <f>ROUND(+'Res .95+% Res Furnace - NEW'!Y21+'Res .95+% Res Furnace - Replace'!Y21+'Programmable Tstats - Tier 1'!Y21+'Programmable Tstats - Tier 2'!Y21+'Comm 95+% Furnace - NEW'!Y21+'Comm 95+% Furnace - Replace'!Y21+'Comm Custom'!Y21,0)</f>
        <v>0</v>
      </c>
      <c r="Z21" s="16">
        <f>ROUND(+'Res .95+% Res Furnace - NEW'!Z21+'Res .95+% Res Furnace - Replace'!Z21+'Programmable Tstats - Tier 1'!Z21+'Programmable Tstats - Tier 2'!Z21+'Comm 95+% Furnace - NEW'!Z21+'Comm 95+% Furnace - Replace'!Z21+'Comm Custom'!Z21,0)</f>
        <v>0</v>
      </c>
      <c r="AA21" s="16">
        <f>ROUND(+'Res .95+% Res Furnace - NEW'!AA21+'Res .95+% Res Furnace - Replace'!AA21+'Programmable Tstats - Tier 1'!AA21+'Programmable Tstats - Tier 2'!AA21+'Comm 95+% Furnace - NEW'!AA21+'Comm 95+% Furnace - Replace'!AA21+'Comm Custom'!AA21,0)</f>
        <v>10319</v>
      </c>
      <c r="AB21" s="16">
        <f>ROUND(+'Res .95+% Res Furnace - NEW'!AB21+'Res .95+% Res Furnace - Replace'!AB21+'Programmable Tstats - Tier 1'!AB21+'Programmable Tstats - Tier 2'!AB21+'Comm 95+% Furnace - NEW'!AB21+'Comm 95+% Furnace - Replace'!AB21+'Comm Custom'!AB21,0)</f>
        <v>15959</v>
      </c>
      <c r="AE21" s="7">
        <f t="shared" si="9"/>
        <v>2032</v>
      </c>
      <c r="AF21" s="46">
        <f t="shared" si="0"/>
        <v>18157</v>
      </c>
      <c r="AG21" s="16">
        <f t="shared" si="1"/>
        <v>8121</v>
      </c>
      <c r="AH21" s="46">
        <f t="shared" si="22"/>
        <v>26278</v>
      </c>
      <c r="AJ21" s="32">
        <f t="shared" si="10"/>
        <v>0</v>
      </c>
      <c r="AK21" s="32">
        <f t="shared" si="10"/>
        <v>0</v>
      </c>
      <c r="AL21" s="32">
        <f t="shared" si="2"/>
        <v>0</v>
      </c>
      <c r="AN21" s="77">
        <f t="shared" si="11"/>
        <v>26278</v>
      </c>
      <c r="AQ21" s="7">
        <f t="shared" si="12"/>
        <v>2032</v>
      </c>
      <c r="AR21" s="46">
        <f t="shared" si="3"/>
        <v>18157</v>
      </c>
      <c r="AS21" s="46">
        <f t="shared" si="4"/>
        <v>8121</v>
      </c>
      <c r="AT21" s="91"/>
      <c r="AU21" s="16">
        <f>ROUND(+'Res .95+% Res Furnace - NEW'!AU21+'Res .95+% Res Furnace - Replace'!AU21+'Programmable Tstats - Tier 1'!AU21+'Programmable Tstats - Tier 2'!AU21+'Comm 95+% Furnace - NEW'!AU21+'Comm 95+% Furnace - Replace'!AU21+'Comm Custom'!AU21,0)</f>
        <v>3889</v>
      </c>
      <c r="AV21" s="53"/>
      <c r="AW21" s="16">
        <f>ROUND(+'Res .95+% Res Furnace - NEW'!AW21+'Res .95+% Res Furnace - Replace'!AW21+'Programmable Tstats - Tier 1'!AW21+'Programmable Tstats - Tier 2'!AW21+'Comm 95+% Furnace - NEW'!AW21+'Comm 95+% Furnace - Replace'!AW21+'Comm Custom'!AW21,0)</f>
        <v>10061</v>
      </c>
      <c r="AX21" s="91"/>
      <c r="AY21" s="92"/>
      <c r="AZ21" s="46">
        <f t="shared" si="13"/>
        <v>40228</v>
      </c>
      <c r="BA21" s="17"/>
      <c r="BB21" s="16">
        <f>ROUND(+'Res .95+% Res Furnace - NEW'!BB21+'Res .95+% Res Furnace - Replace'!BB21+'Programmable Tstats - Tier 1'!BB21+'Programmable Tstats - Tier 2'!BB21+'Comm 95+% Furnace - NEW'!BB21+'Comm 95+% Furnace - Replace'!BB21+'Comm Custom'!BB21,0)</f>
        <v>0</v>
      </c>
      <c r="BC21" s="16">
        <f>ROUND(+'Res .95+% Res Furnace - NEW'!BC21+'Res .95+% Res Furnace - Replace'!BC21+'Programmable Tstats - Tier 1'!BC21+'Programmable Tstats - Tier 2'!BC21+'Comm 95+% Furnace - NEW'!BC21+'Comm 95+% Furnace - Replace'!BC21+'Comm Custom'!BC21,0)</f>
        <v>0</v>
      </c>
      <c r="BD21" s="47">
        <f t="shared" si="14"/>
        <v>0</v>
      </c>
      <c r="BE21" s="46">
        <f t="shared" si="5"/>
        <v>40228</v>
      </c>
      <c r="BH21" s="7">
        <f t="shared" si="15"/>
        <v>2032</v>
      </c>
      <c r="BI21" s="16">
        <f>ROUND(+'Res .95+% Res Furnace - NEW'!BI21+'Res .95+% Res Furnace - Replace'!BI21+'Programmable Tstats - Tier 1'!BI21+'Programmable Tstats - Tier 2'!BI21+'Comm 95+% Furnace - NEW'!BI21+'Comm 95+% Furnace - Replace'!BI21+'Comm Custom'!BI21,0)</f>
        <v>0</v>
      </c>
      <c r="BJ21" s="16">
        <f>ROUND(+'Res .95+% Res Furnace - NEW'!BJ21+'Res .95+% Res Furnace - Replace'!BJ21+'Programmable Tstats - Tier 1'!BJ21+'Programmable Tstats - Tier 2'!BJ21+'Comm 95+% Furnace - NEW'!BJ21+'Comm 95+% Furnace - Replace'!BJ21+'Comm Custom'!BJ21,0)</f>
        <v>4322</v>
      </c>
      <c r="BK21" s="87"/>
      <c r="BL21" s="16">
        <f>ROUND(+'Res .95+% Res Furnace - NEW'!BL21+'Res .95+% Res Furnace - Replace'!BL21+'Programmable Tstats - Tier 1'!BL21+'Programmable Tstats - Tier 2'!BL21+'Comm 95+% Furnace - NEW'!BL21+'Comm 95+% Furnace - Replace'!BL21+'Comm Custom'!BL21,0)</f>
        <v>44016</v>
      </c>
      <c r="BM21" s="87"/>
      <c r="BN21" s="16">
        <f>ROUND(+'Res .95+% Res Furnace - NEW'!BN21+'Res .95+% Res Furnace - Replace'!BN21+'Programmable Tstats - Tier 1'!BN21+'Programmable Tstats - Tier 2'!BN21+'Comm 95+% Furnace - NEW'!BN21+'Comm 95+% Furnace - Replace'!BN21+'Comm Custom'!BN21,0)</f>
        <v>17928</v>
      </c>
      <c r="BO21" s="16"/>
      <c r="BP21" s="46">
        <f t="shared" si="6"/>
        <v>61944</v>
      </c>
      <c r="BR21" s="16">
        <f>ROUND(+'Res .95+% Res Furnace - NEW'!BR21+'Res .95+% Res Furnace - Replace'!BR21+'Programmable Tstats - Tier 1'!BR21+'Programmable Tstats - Tier 2'!BR21+'Comm 95+% Furnace - NEW'!BR21+'Comm 95+% Furnace - Replace'!BR21+'Comm Custom'!BR21,0)</f>
        <v>0</v>
      </c>
      <c r="BS21" s="46"/>
      <c r="BT21" s="46">
        <f t="shared" si="16"/>
        <v>61944</v>
      </c>
      <c r="BW21" s="7">
        <f t="shared" si="17"/>
        <v>2032</v>
      </c>
      <c r="BX21" s="46">
        <f t="shared" si="18"/>
        <v>18157</v>
      </c>
      <c r="BY21" s="16">
        <f t="shared" si="23"/>
        <v>8121</v>
      </c>
      <c r="BZ21" s="116">
        <f t="shared" si="19"/>
        <v>3889</v>
      </c>
      <c r="CA21" s="46">
        <f t="shared" si="20"/>
        <v>30167</v>
      </c>
      <c r="CC21" s="46">
        <f t="shared" si="24"/>
        <v>0</v>
      </c>
      <c r="CD21" s="46">
        <f t="shared" si="24"/>
        <v>0</v>
      </c>
      <c r="CE21" s="46">
        <f t="shared" si="25"/>
        <v>0</v>
      </c>
      <c r="CF21" s="46"/>
      <c r="CG21" s="46">
        <f t="shared" si="21"/>
        <v>30167</v>
      </c>
    </row>
    <row r="22" spans="1:106">
      <c r="F22" s="16"/>
      <c r="G22" s="16"/>
      <c r="H22" s="16"/>
      <c r="J22" s="2">
        <f t="shared" si="7"/>
        <v>8</v>
      </c>
      <c r="L22" s="7">
        <f t="shared" si="8"/>
        <v>2033</v>
      </c>
      <c r="M22" s="16">
        <f>ROUND(+'Res .95+% Res Furnace - NEW'!M22+'Res .95+% Res Furnace - Replace'!M22+'Programmable Tstats - Tier 1'!M22+'Programmable Tstats - Tier 2'!M22+'Comm 95+% Furnace - NEW'!M22+'Comm 95+% Furnace - Replace'!M22+'Comm Custom'!M22,0)</f>
        <v>4322</v>
      </c>
      <c r="N22" s="53"/>
      <c r="O22" s="16">
        <f>ROUND(+'Res .95+% Res Furnace - NEW'!O22+'Res .95+% Res Furnace - Replace'!O22+'Programmable Tstats - Tier 1'!O22+'Programmable Tstats - Tier 2'!O22+'Comm 95+% Furnace - NEW'!O22+'Comm 95+% Furnace - Replace'!O22+'Comm Custom'!O22,0)</f>
        <v>18701</v>
      </c>
      <c r="P22" s="53"/>
      <c r="Q22" s="16">
        <f>ROUND(+'Res .95+% Res Furnace - NEW'!Q22+'Res .95+% Res Furnace - Replace'!Q22+'Programmable Tstats - Tier 1'!Q22+'Programmable Tstats - Tier 2'!Q22+'Comm 95+% Furnace - NEW'!Q22+'Comm 95+% Furnace - Replace'!Q22+'Comm Custom'!Q22,0)</f>
        <v>0</v>
      </c>
      <c r="R22" s="16">
        <f>ROUND(+'Res .95+% Res Furnace - NEW'!R22+'Res .95+% Res Furnace - Replace'!R22+'Programmable Tstats - Tier 1'!R22+'Programmable Tstats - Tier 2'!R22+'Comm 95+% Furnace - NEW'!R22+'Comm 95+% Furnace - Replace'!R22+'Comm Custom'!R22,0)</f>
        <v>18701</v>
      </c>
      <c r="S22" s="252">
        <f>ROUND(+'Res .95+% Res Furnace - NEW'!S22+'Res .95+% Res Furnace - Replace'!S22+'Programmable Tstats - Tier 1'!S22+'Programmable Tstats - Tier 2'!S22+'Comm 95+% Furnace - NEW'!S22+'Comm 95+% Furnace - Replace'!S22+'Comm Custom'!S22,0)</f>
        <v>43</v>
      </c>
      <c r="T22" s="46"/>
      <c r="U22" s="16">
        <f>ROUND(+'Res .95+% Res Furnace - NEW'!U22+'Res .95+% Res Furnace - Replace'!U22+'Programmable Tstats - Tier 1'!U22+'Programmable Tstats - Tier 2'!U22+'Comm 95+% Furnace - NEW'!U22+'Comm 95+% Furnace - Replace'!U22+'Comm Custom'!U22,0)</f>
        <v>8208</v>
      </c>
      <c r="V22" s="16">
        <f>ROUND(+'Res .95+% Res Furnace - NEW'!V22+'Res .95+% Res Furnace - Replace'!V22+'Programmable Tstats - Tier 1'!V22+'Programmable Tstats - Tier 2'!V22+'Comm 95+% Furnace - NEW'!V22+'Comm 95+% Furnace - Replace'!V22+'Comm Custom'!V22,0)</f>
        <v>26909</v>
      </c>
      <c r="W22" s="45"/>
      <c r="X22" s="16">
        <f>ROUND(+'Res .95+% Res Furnace - NEW'!X22+'Res .95+% Res Furnace - Replace'!X22+'Programmable Tstats - Tier 1'!X22+'Programmable Tstats - Tier 2'!X22+'Comm 95+% Furnace - NEW'!X22+'Comm 95+% Furnace - Replace'!X22+'Comm Custom'!X22,0)</f>
        <v>10627</v>
      </c>
      <c r="Y22" s="16">
        <f>ROUND(+'Res .95+% Res Furnace - NEW'!Y22+'Res .95+% Res Furnace - Replace'!Y22+'Programmable Tstats - Tier 1'!Y22+'Programmable Tstats - Tier 2'!Y22+'Comm 95+% Furnace - NEW'!Y22+'Comm 95+% Furnace - Replace'!Y22+'Comm Custom'!Y22,0)</f>
        <v>0</v>
      </c>
      <c r="Z22" s="16">
        <f>ROUND(+'Res .95+% Res Furnace - NEW'!Z22+'Res .95+% Res Furnace - Replace'!Z22+'Programmable Tstats - Tier 1'!Z22+'Programmable Tstats - Tier 2'!Z22+'Comm 95+% Furnace - NEW'!Z22+'Comm 95+% Furnace - Replace'!Z22+'Comm Custom'!Z22,0)</f>
        <v>0</v>
      </c>
      <c r="AA22" s="16">
        <f>ROUND(+'Res .95+% Res Furnace - NEW'!AA22+'Res .95+% Res Furnace - Replace'!AA22+'Programmable Tstats - Tier 1'!AA22+'Programmable Tstats - Tier 2'!AA22+'Comm 95+% Furnace - NEW'!AA22+'Comm 95+% Furnace - Replace'!AA22+'Comm Custom'!AA22,0)</f>
        <v>10627</v>
      </c>
      <c r="AB22" s="16">
        <f>ROUND(+'Res .95+% Res Furnace - NEW'!AB22+'Res .95+% Res Furnace - Replace'!AB22+'Programmable Tstats - Tier 1'!AB22+'Programmable Tstats - Tier 2'!AB22+'Comm 95+% Furnace - NEW'!AB22+'Comm 95+% Furnace - Replace'!AB22+'Comm Custom'!AB22,0)</f>
        <v>16282</v>
      </c>
      <c r="AE22" s="7">
        <f t="shared" si="9"/>
        <v>2033</v>
      </c>
      <c r="AF22" s="46">
        <f t="shared" si="0"/>
        <v>18701</v>
      </c>
      <c r="AG22" s="16">
        <f t="shared" si="1"/>
        <v>8208</v>
      </c>
      <c r="AH22" s="46">
        <f t="shared" si="22"/>
        <v>26909</v>
      </c>
      <c r="AJ22" s="32">
        <f t="shared" si="10"/>
        <v>0</v>
      </c>
      <c r="AK22" s="32">
        <f t="shared" si="10"/>
        <v>0</v>
      </c>
      <c r="AL22" s="32">
        <f t="shared" si="2"/>
        <v>0</v>
      </c>
      <c r="AN22" s="77">
        <f t="shared" si="11"/>
        <v>26909</v>
      </c>
      <c r="AQ22" s="7">
        <f t="shared" si="12"/>
        <v>2033</v>
      </c>
      <c r="AR22" s="46">
        <f t="shared" si="3"/>
        <v>18701</v>
      </c>
      <c r="AS22" s="46">
        <f t="shared" si="4"/>
        <v>8208</v>
      </c>
      <c r="AT22" s="91"/>
      <c r="AU22" s="16">
        <f>ROUND(+'Res .95+% Res Furnace - NEW'!AU22+'Res .95+% Res Furnace - Replace'!AU22+'Programmable Tstats - Tier 1'!AU22+'Programmable Tstats - Tier 2'!AU22+'Comm 95+% Furnace - NEW'!AU22+'Comm 95+% Furnace - Replace'!AU22+'Comm Custom'!AU22,0)</f>
        <v>3997</v>
      </c>
      <c r="AV22" s="53"/>
      <c r="AW22" s="16">
        <f>ROUND(+'Res .95+% Res Furnace - NEW'!AW22+'Res .95+% Res Furnace - Replace'!AW22+'Programmable Tstats - Tier 1'!AW22+'Programmable Tstats - Tier 2'!AW22+'Comm 95+% Furnace - NEW'!AW22+'Comm 95+% Furnace - Replace'!AW22+'Comm Custom'!AW22,0)</f>
        <v>10230</v>
      </c>
      <c r="AX22" s="91"/>
      <c r="AY22" s="92"/>
      <c r="AZ22" s="46">
        <f t="shared" si="13"/>
        <v>41136</v>
      </c>
      <c r="BA22" s="17"/>
      <c r="BB22" s="16">
        <f>ROUND(+'Res .95+% Res Furnace - NEW'!BB22+'Res .95+% Res Furnace - Replace'!BB22+'Programmable Tstats - Tier 1'!BB22+'Programmable Tstats - Tier 2'!BB22+'Comm 95+% Furnace - NEW'!BB22+'Comm 95+% Furnace - Replace'!BB22+'Comm Custom'!BB22,0)</f>
        <v>0</v>
      </c>
      <c r="BC22" s="16">
        <f>ROUND(+'Res .95+% Res Furnace - NEW'!BC22+'Res .95+% Res Furnace - Replace'!BC22+'Programmable Tstats - Tier 1'!BC22+'Programmable Tstats - Tier 2'!BC22+'Comm 95+% Furnace - NEW'!BC22+'Comm 95+% Furnace - Replace'!BC22+'Comm Custom'!BC22,0)</f>
        <v>0</v>
      </c>
      <c r="BD22" s="47">
        <f t="shared" si="14"/>
        <v>0</v>
      </c>
      <c r="BE22" s="46">
        <f t="shared" si="5"/>
        <v>41136</v>
      </c>
      <c r="BH22" s="7">
        <f t="shared" si="15"/>
        <v>2033</v>
      </c>
      <c r="BI22" s="16">
        <f>ROUND(+'Res .95+% Res Furnace - NEW'!BI22+'Res .95+% Res Furnace - Replace'!BI22+'Programmable Tstats - Tier 1'!BI22+'Programmable Tstats - Tier 2'!BI22+'Comm 95+% Furnace - NEW'!BI22+'Comm 95+% Furnace - Replace'!BI22+'Comm Custom'!BI22,0)</f>
        <v>0</v>
      </c>
      <c r="BJ22" s="16">
        <f>ROUND(+'Res .95+% Res Furnace - NEW'!BJ22+'Res .95+% Res Furnace - Replace'!BJ22+'Programmable Tstats - Tier 1'!BJ22+'Programmable Tstats - Tier 2'!BJ22+'Comm 95+% Furnace - NEW'!BJ22+'Comm 95+% Furnace - Replace'!BJ22+'Comm Custom'!BJ22,0)</f>
        <v>4322</v>
      </c>
      <c r="BK22" s="87"/>
      <c r="BL22" s="16">
        <f>ROUND(+'Res .95+% Res Furnace - NEW'!BL22+'Res .95+% Res Furnace - Replace'!BL22+'Programmable Tstats - Tier 1'!BL22+'Programmable Tstats - Tier 2'!BL22+'Comm 95+% Furnace - NEW'!BL22+'Comm 95+% Furnace - Replace'!BL22+'Comm Custom'!BL22,0)</f>
        <v>45335</v>
      </c>
      <c r="BM22" s="87"/>
      <c r="BN22" s="16">
        <f>ROUND(+'Res .95+% Res Furnace - NEW'!BN22+'Res .95+% Res Furnace - Replace'!BN22+'Programmable Tstats - Tier 1'!BN22+'Programmable Tstats - Tier 2'!BN22+'Comm 95+% Furnace - NEW'!BN22+'Comm 95+% Furnace - Replace'!BN22+'Comm Custom'!BN22,0)</f>
        <v>18468</v>
      </c>
      <c r="BO22" s="16"/>
      <c r="BP22" s="46">
        <f t="shared" si="6"/>
        <v>63803</v>
      </c>
      <c r="BR22" s="16">
        <f>ROUND(+'Res .95+% Res Furnace - NEW'!BR22+'Res .95+% Res Furnace - Replace'!BR22+'Programmable Tstats - Tier 1'!BR22+'Programmable Tstats - Tier 2'!BR22+'Comm 95+% Furnace - NEW'!BR22+'Comm 95+% Furnace - Replace'!BR22+'Comm Custom'!BR22,0)</f>
        <v>0</v>
      </c>
      <c r="BS22" s="46"/>
      <c r="BT22" s="46">
        <f t="shared" si="16"/>
        <v>63803</v>
      </c>
      <c r="BW22" s="7">
        <f t="shared" si="17"/>
        <v>2033</v>
      </c>
      <c r="BX22" s="46">
        <f t="shared" si="18"/>
        <v>18701</v>
      </c>
      <c r="BY22" s="16">
        <f t="shared" si="23"/>
        <v>8208</v>
      </c>
      <c r="BZ22" s="116">
        <f t="shared" si="19"/>
        <v>3997</v>
      </c>
      <c r="CA22" s="46">
        <f t="shared" si="20"/>
        <v>30906</v>
      </c>
      <c r="CC22" s="46">
        <f t="shared" si="24"/>
        <v>0</v>
      </c>
      <c r="CD22" s="46">
        <f t="shared" si="24"/>
        <v>0</v>
      </c>
      <c r="CE22" s="46">
        <f t="shared" si="25"/>
        <v>0</v>
      </c>
      <c r="CF22" s="46"/>
      <c r="CG22" s="46">
        <f t="shared" si="21"/>
        <v>30906</v>
      </c>
    </row>
    <row r="23" spans="1:106">
      <c r="A23" s="3" t="s">
        <v>68</v>
      </c>
      <c r="C23" s="21"/>
      <c r="E23" s="3" t="s">
        <v>69</v>
      </c>
      <c r="F23" s="132"/>
      <c r="G23" s="132"/>
      <c r="H23" s="132"/>
      <c r="J23" s="2">
        <f t="shared" si="7"/>
        <v>9</v>
      </c>
      <c r="L23" s="7">
        <f t="shared" si="8"/>
        <v>2034</v>
      </c>
      <c r="M23" s="16">
        <f>ROUND(+'Res .95+% Res Furnace - NEW'!M23+'Res .95+% Res Furnace - Replace'!M23+'Programmable Tstats - Tier 1'!M23+'Programmable Tstats - Tier 2'!M23+'Comm 95+% Furnace - NEW'!M23+'Comm 95+% Furnace - Replace'!M23+'Comm Custom'!M23,0)</f>
        <v>4322</v>
      </c>
      <c r="N23" s="53"/>
      <c r="O23" s="16">
        <f>ROUND(+'Res .95+% Res Furnace - NEW'!O23+'Res .95+% Res Furnace - Replace'!O23+'Programmable Tstats - Tier 1'!O23+'Programmable Tstats - Tier 2'!O23+'Comm 95+% Furnace - NEW'!O23+'Comm 95+% Furnace - Replace'!O23+'Comm Custom'!O23,0)</f>
        <v>19263</v>
      </c>
      <c r="P23" s="53"/>
      <c r="Q23" s="16">
        <f>ROUND(+'Res .95+% Res Furnace - NEW'!Q23+'Res .95+% Res Furnace - Replace'!Q23+'Programmable Tstats - Tier 1'!Q23+'Programmable Tstats - Tier 2'!Q23+'Comm 95+% Furnace - NEW'!Q23+'Comm 95+% Furnace - Replace'!Q23+'Comm Custom'!Q23,0)</f>
        <v>0</v>
      </c>
      <c r="R23" s="16">
        <f>ROUND(+'Res .95+% Res Furnace - NEW'!R23+'Res .95+% Res Furnace - Replace'!R23+'Programmable Tstats - Tier 1'!R23+'Programmable Tstats - Tier 2'!R23+'Comm 95+% Furnace - NEW'!R23+'Comm 95+% Furnace - Replace'!R23+'Comm Custom'!R23,0)</f>
        <v>19263</v>
      </c>
      <c r="S23" s="252">
        <f>ROUND(+'Res .95+% Res Furnace - NEW'!S23+'Res .95+% Res Furnace - Replace'!S23+'Programmable Tstats - Tier 1'!S23+'Programmable Tstats - Tier 2'!S23+'Comm 95+% Furnace - NEW'!S23+'Comm 95+% Furnace - Replace'!S23+'Comm Custom'!S23,0)</f>
        <v>43</v>
      </c>
      <c r="T23" s="46"/>
      <c r="U23" s="16">
        <f>ROUND(+'Res .95+% Res Furnace - NEW'!U23+'Res .95+% Res Furnace - Replace'!U23+'Programmable Tstats - Tier 1'!U23+'Programmable Tstats - Tier 2'!U23+'Comm 95+% Furnace - NEW'!U23+'Comm 95+% Furnace - Replace'!U23+'Comm Custom'!U23,0)</f>
        <v>8295</v>
      </c>
      <c r="V23" s="16">
        <f>ROUND(+'Res .95+% Res Furnace - NEW'!V23+'Res .95+% Res Furnace - Replace'!V23+'Programmable Tstats - Tier 1'!V23+'Programmable Tstats - Tier 2'!V23+'Comm 95+% Furnace - NEW'!V23+'Comm 95+% Furnace - Replace'!V23+'Comm Custom'!V23,0)</f>
        <v>27558</v>
      </c>
      <c r="W23" s="45"/>
      <c r="X23" s="16">
        <f>ROUND(+'Res .95+% Res Furnace - NEW'!X23+'Res .95+% Res Furnace - Replace'!X23+'Programmable Tstats - Tier 1'!X23+'Programmable Tstats - Tier 2'!X23+'Comm 95+% Furnace - NEW'!X23+'Comm 95+% Furnace - Replace'!X23+'Comm Custom'!X23,0)</f>
        <v>10950</v>
      </c>
      <c r="Y23" s="16">
        <f>ROUND(+'Res .95+% Res Furnace - NEW'!Y23+'Res .95+% Res Furnace - Replace'!Y23+'Programmable Tstats - Tier 1'!Y23+'Programmable Tstats - Tier 2'!Y23+'Comm 95+% Furnace - NEW'!Y23+'Comm 95+% Furnace - Replace'!Y23+'Comm Custom'!Y23,0)</f>
        <v>0</v>
      </c>
      <c r="Z23" s="16">
        <f>ROUND(+'Res .95+% Res Furnace - NEW'!Z23+'Res .95+% Res Furnace - Replace'!Z23+'Programmable Tstats - Tier 1'!Z23+'Programmable Tstats - Tier 2'!Z23+'Comm 95+% Furnace - NEW'!Z23+'Comm 95+% Furnace - Replace'!Z23+'Comm Custom'!Z23,0)</f>
        <v>0</v>
      </c>
      <c r="AA23" s="16">
        <f>ROUND(+'Res .95+% Res Furnace - NEW'!AA23+'Res .95+% Res Furnace - Replace'!AA23+'Programmable Tstats - Tier 1'!AA23+'Programmable Tstats - Tier 2'!AA23+'Comm 95+% Furnace - NEW'!AA23+'Comm 95+% Furnace - Replace'!AA23+'Comm Custom'!AA23,0)</f>
        <v>10950</v>
      </c>
      <c r="AB23" s="16">
        <f>ROUND(+'Res .95+% Res Furnace - NEW'!AB23+'Res .95+% Res Furnace - Replace'!AB23+'Programmable Tstats - Tier 1'!AB23+'Programmable Tstats - Tier 2'!AB23+'Comm 95+% Furnace - NEW'!AB23+'Comm 95+% Furnace - Replace'!AB23+'Comm Custom'!AB23,0)</f>
        <v>16608</v>
      </c>
      <c r="AE23" s="7">
        <f t="shared" si="9"/>
        <v>2034</v>
      </c>
      <c r="AF23" s="46">
        <f t="shared" si="0"/>
        <v>19263</v>
      </c>
      <c r="AG23" s="16">
        <f t="shared" si="1"/>
        <v>8295</v>
      </c>
      <c r="AH23" s="46">
        <f t="shared" si="22"/>
        <v>27558</v>
      </c>
      <c r="AJ23" s="32">
        <f t="shared" si="10"/>
        <v>0</v>
      </c>
      <c r="AK23" s="32">
        <f t="shared" si="10"/>
        <v>0</v>
      </c>
      <c r="AL23" s="32">
        <f t="shared" si="2"/>
        <v>0</v>
      </c>
      <c r="AN23" s="77">
        <f t="shared" si="11"/>
        <v>27558</v>
      </c>
      <c r="AQ23" s="7">
        <f t="shared" si="12"/>
        <v>2034</v>
      </c>
      <c r="AR23" s="46">
        <f t="shared" si="3"/>
        <v>19263</v>
      </c>
      <c r="AS23" s="46">
        <f t="shared" si="4"/>
        <v>8295</v>
      </c>
      <c r="AT23" s="91"/>
      <c r="AU23" s="16">
        <f>ROUND(+'Res .95+% Res Furnace - NEW'!AU23+'Res .95+% Res Furnace - Replace'!AU23+'Programmable Tstats - Tier 1'!AU23+'Programmable Tstats - Tier 2'!AU23+'Comm 95+% Furnace - NEW'!AU23+'Comm 95+% Furnace - Replace'!AU23+'Comm Custom'!AU23,0)</f>
        <v>4212</v>
      </c>
      <c r="AV23" s="53"/>
      <c r="AW23" s="16">
        <f>ROUND(+'Res .95+% Res Furnace - NEW'!AW23+'Res .95+% Res Furnace - Replace'!AW23+'Programmable Tstats - Tier 1'!AW23+'Programmable Tstats - Tier 2'!AW23+'Comm 95+% Furnace - NEW'!AW23+'Comm 95+% Furnace - Replace'!AW23+'Comm Custom'!AW23,0)</f>
        <v>10403</v>
      </c>
      <c r="AX23" s="91"/>
      <c r="AY23" s="92"/>
      <c r="AZ23" s="46">
        <f t="shared" si="13"/>
        <v>42173</v>
      </c>
      <c r="BA23" s="17"/>
      <c r="BB23" s="16">
        <f>ROUND(+'Res .95+% Res Furnace - NEW'!BB23+'Res .95+% Res Furnace - Replace'!BB23+'Programmable Tstats - Tier 1'!BB23+'Programmable Tstats - Tier 2'!BB23+'Comm 95+% Furnace - NEW'!BB23+'Comm 95+% Furnace - Replace'!BB23+'Comm Custom'!BB23,0)</f>
        <v>0</v>
      </c>
      <c r="BC23" s="16">
        <f>ROUND(+'Res .95+% Res Furnace - NEW'!BC23+'Res .95+% Res Furnace - Replace'!BC23+'Programmable Tstats - Tier 1'!BC23+'Programmable Tstats - Tier 2'!BC23+'Comm 95+% Furnace - NEW'!BC23+'Comm 95+% Furnace - Replace'!BC23+'Comm Custom'!BC23,0)</f>
        <v>0</v>
      </c>
      <c r="BD23" s="47">
        <f t="shared" si="14"/>
        <v>0</v>
      </c>
      <c r="BE23" s="46">
        <f t="shared" si="5"/>
        <v>42173</v>
      </c>
      <c r="BH23" s="7">
        <f t="shared" si="15"/>
        <v>2034</v>
      </c>
      <c r="BI23" s="16">
        <f>ROUND(+'Res .95+% Res Furnace - NEW'!BI23+'Res .95+% Res Furnace - Replace'!BI23+'Programmable Tstats - Tier 1'!BI23+'Programmable Tstats - Tier 2'!BI23+'Comm 95+% Furnace - NEW'!BI23+'Comm 95+% Furnace - Replace'!BI23+'Comm Custom'!BI23,0)</f>
        <v>0</v>
      </c>
      <c r="BJ23" s="16">
        <f>ROUND(+'Res .95+% Res Furnace - NEW'!BJ23+'Res .95+% Res Furnace - Replace'!BJ23+'Programmable Tstats - Tier 1'!BJ23+'Programmable Tstats - Tier 2'!BJ23+'Comm 95+% Furnace - NEW'!BJ23+'Comm 95+% Furnace - Replace'!BJ23+'Comm Custom'!BJ23,0)</f>
        <v>4322</v>
      </c>
      <c r="BK23" s="87"/>
      <c r="BL23" s="16">
        <f>ROUND(+'Res .95+% Res Furnace - NEW'!BL23+'Res .95+% Res Furnace - Replace'!BL23+'Programmable Tstats - Tier 1'!BL23+'Programmable Tstats - Tier 2'!BL23+'Comm 95+% Furnace - NEW'!BL23+'Comm 95+% Furnace - Replace'!BL23+'Comm Custom'!BL23,0)</f>
        <v>46693</v>
      </c>
      <c r="BM23" s="87"/>
      <c r="BN23" s="16">
        <f>ROUND(+'Res .95+% Res Furnace - NEW'!BN23+'Res .95+% Res Furnace - Replace'!BN23+'Programmable Tstats - Tier 1'!BN23+'Programmable Tstats - Tier 2'!BN23+'Comm 95+% Furnace - NEW'!BN23+'Comm 95+% Furnace - Replace'!BN23+'Comm Custom'!BN23,0)</f>
        <v>19009</v>
      </c>
      <c r="BO23" s="16"/>
      <c r="BP23" s="46">
        <f t="shared" si="6"/>
        <v>65702</v>
      </c>
      <c r="BR23" s="16">
        <f>ROUND(+'Res .95+% Res Furnace - NEW'!BR23+'Res .95+% Res Furnace - Replace'!BR23+'Programmable Tstats - Tier 1'!BR23+'Programmable Tstats - Tier 2'!BR23+'Comm 95+% Furnace - NEW'!BR23+'Comm 95+% Furnace - Replace'!BR23+'Comm Custom'!BR23,0)</f>
        <v>0</v>
      </c>
      <c r="BS23" s="46"/>
      <c r="BT23" s="46">
        <f t="shared" si="16"/>
        <v>65702</v>
      </c>
      <c r="BW23" s="7">
        <f t="shared" si="17"/>
        <v>2034</v>
      </c>
      <c r="BX23" s="46">
        <f t="shared" si="18"/>
        <v>19263</v>
      </c>
      <c r="BY23" s="16">
        <f t="shared" si="23"/>
        <v>8295</v>
      </c>
      <c r="BZ23" s="116">
        <f t="shared" si="19"/>
        <v>4212</v>
      </c>
      <c r="CA23" s="46">
        <f t="shared" si="20"/>
        <v>31770</v>
      </c>
      <c r="CC23" s="46">
        <f t="shared" si="24"/>
        <v>0</v>
      </c>
      <c r="CD23" s="46">
        <f t="shared" si="24"/>
        <v>0</v>
      </c>
      <c r="CE23" s="46">
        <f t="shared" si="25"/>
        <v>0</v>
      </c>
      <c r="CF23" s="46"/>
      <c r="CG23" s="46">
        <f t="shared" si="21"/>
        <v>31770</v>
      </c>
    </row>
    <row r="24" spans="1:106">
      <c r="F24" s="16"/>
      <c r="G24" s="16"/>
      <c r="H24" s="16"/>
      <c r="J24" s="2">
        <f t="shared" si="7"/>
        <v>10</v>
      </c>
      <c r="L24" s="7">
        <f t="shared" si="8"/>
        <v>2035</v>
      </c>
      <c r="M24" s="16">
        <f>ROUND(+'Res .95+% Res Furnace - NEW'!M24+'Res .95+% Res Furnace - Replace'!M24+'Programmable Tstats - Tier 1'!M24+'Programmable Tstats - Tier 2'!M24+'Comm 95+% Furnace - NEW'!M24+'Comm 95+% Furnace - Replace'!M24+'Comm Custom'!M24,0)</f>
        <v>3462</v>
      </c>
      <c r="N24" s="53"/>
      <c r="O24" s="16">
        <f>ROUND(+'Res .95+% Res Furnace - NEW'!O24+'Res .95+% Res Furnace - Replace'!O24+'Programmable Tstats - Tier 1'!O24+'Programmable Tstats - Tier 2'!O24+'Comm 95+% Furnace - NEW'!O24+'Comm 95+% Furnace - Replace'!O24+'Comm Custom'!O24,0)</f>
        <v>15894</v>
      </c>
      <c r="P24" s="53"/>
      <c r="Q24" s="16">
        <f>ROUND(+'Res .95+% Res Furnace - NEW'!Q24+'Res .95+% Res Furnace - Replace'!Q24+'Programmable Tstats - Tier 1'!Q24+'Programmable Tstats - Tier 2'!Q24+'Comm 95+% Furnace - NEW'!Q24+'Comm 95+% Furnace - Replace'!Q24+'Comm Custom'!Q24,0)</f>
        <v>0</v>
      </c>
      <c r="R24" s="16">
        <f>ROUND(+'Res .95+% Res Furnace - NEW'!R24+'Res .95+% Res Furnace - Replace'!R24+'Programmable Tstats - Tier 1'!R24+'Programmable Tstats - Tier 2'!R24+'Comm 95+% Furnace - NEW'!R24+'Comm 95+% Furnace - Replace'!R24+'Comm Custom'!R24,0)</f>
        <v>15894</v>
      </c>
      <c r="S24" s="252">
        <f>ROUND(+'Res .95+% Res Furnace - NEW'!S24+'Res .95+% Res Furnace - Replace'!S24+'Programmable Tstats - Tier 1'!S24+'Programmable Tstats - Tier 2'!S24+'Comm 95+% Furnace - NEW'!S24+'Comm 95+% Furnace - Replace'!S24+'Comm Custom'!S24,0)</f>
        <v>35</v>
      </c>
      <c r="T24" s="46"/>
      <c r="U24" s="16">
        <f>ROUND(+'Res .95+% Res Furnace - NEW'!U24+'Res .95+% Res Furnace - Replace'!U24+'Programmable Tstats - Tier 1'!U24+'Programmable Tstats - Tier 2'!U24+'Comm 95+% Furnace - NEW'!U24+'Comm 95+% Furnace - Replace'!U24+'Comm Custom'!U24,0)</f>
        <v>6712</v>
      </c>
      <c r="V24" s="16">
        <f>ROUND(+'Res .95+% Res Furnace - NEW'!V24+'Res .95+% Res Furnace - Replace'!V24+'Programmable Tstats - Tier 1'!V24+'Programmable Tstats - Tier 2'!V24+'Comm 95+% Furnace - NEW'!V24+'Comm 95+% Furnace - Replace'!V24+'Comm Custom'!V24,0)</f>
        <v>22606</v>
      </c>
      <c r="W24" s="45"/>
      <c r="X24" s="16">
        <f>ROUND(+'Res .95+% Res Furnace - NEW'!X24+'Res .95+% Res Furnace - Replace'!X24+'Programmable Tstats - Tier 1'!X24+'Programmable Tstats - Tier 2'!X24+'Comm 95+% Furnace - NEW'!X24+'Comm 95+% Furnace - Replace'!X24+'Comm Custom'!X24,0)</f>
        <v>8965</v>
      </c>
      <c r="Y24" s="16">
        <f>ROUND(+'Res .95+% Res Furnace - NEW'!Y24+'Res .95+% Res Furnace - Replace'!Y24+'Programmable Tstats - Tier 1'!Y24+'Programmable Tstats - Tier 2'!Y24+'Comm 95+% Furnace - NEW'!Y24+'Comm 95+% Furnace - Replace'!Y24+'Comm Custom'!Y24,0)</f>
        <v>0</v>
      </c>
      <c r="Z24" s="16">
        <f>ROUND(+'Res .95+% Res Furnace - NEW'!Z24+'Res .95+% Res Furnace - Replace'!Z24+'Programmable Tstats - Tier 1'!Z24+'Programmable Tstats - Tier 2'!Z24+'Comm 95+% Furnace - NEW'!Z24+'Comm 95+% Furnace - Replace'!Z24+'Comm Custom'!Z24,0)</f>
        <v>0</v>
      </c>
      <c r="AA24" s="16">
        <f>ROUND(+'Res .95+% Res Furnace - NEW'!AA24+'Res .95+% Res Furnace - Replace'!AA24+'Programmable Tstats - Tier 1'!AA24+'Programmable Tstats - Tier 2'!AA24+'Comm 95+% Furnace - NEW'!AA24+'Comm 95+% Furnace - Replace'!AA24+'Comm Custom'!AA24,0)</f>
        <v>8965</v>
      </c>
      <c r="AB24" s="16">
        <f>ROUND(+'Res .95+% Res Furnace - NEW'!AB24+'Res .95+% Res Furnace - Replace'!AB24+'Programmable Tstats - Tier 1'!AB24+'Programmable Tstats - Tier 2'!AB24+'Comm 95+% Furnace - NEW'!AB24+'Comm 95+% Furnace - Replace'!AB24+'Comm Custom'!AB24,0)</f>
        <v>13641</v>
      </c>
      <c r="AE24" s="7">
        <f t="shared" si="9"/>
        <v>2035</v>
      </c>
      <c r="AF24" s="46">
        <f t="shared" si="0"/>
        <v>15894</v>
      </c>
      <c r="AG24" s="16">
        <f t="shared" si="1"/>
        <v>6712</v>
      </c>
      <c r="AH24" s="46">
        <f t="shared" si="22"/>
        <v>22606</v>
      </c>
      <c r="AJ24" s="32">
        <f t="shared" si="10"/>
        <v>0</v>
      </c>
      <c r="AK24" s="32">
        <f t="shared" si="10"/>
        <v>0</v>
      </c>
      <c r="AL24" s="32">
        <f t="shared" si="2"/>
        <v>0</v>
      </c>
      <c r="AN24" s="77">
        <f t="shared" si="11"/>
        <v>22606</v>
      </c>
      <c r="AQ24" s="7">
        <f t="shared" si="12"/>
        <v>2035</v>
      </c>
      <c r="AR24" s="46">
        <f t="shared" si="3"/>
        <v>15894</v>
      </c>
      <c r="AS24" s="46">
        <f t="shared" si="4"/>
        <v>6712</v>
      </c>
      <c r="AT24" s="91"/>
      <c r="AU24" s="16">
        <f>ROUND(+'Res .95+% Res Furnace - NEW'!AU24+'Res .95+% Res Furnace - Replace'!AU24+'Programmable Tstats - Tier 1'!AU24+'Programmable Tstats - Tier 2'!AU24+'Comm 95+% Furnace - NEW'!AU24+'Comm 95+% Furnace - Replace'!AU24+'Comm Custom'!AU24,0)</f>
        <v>4118</v>
      </c>
      <c r="AV24" s="53"/>
      <c r="AW24" s="16">
        <f>ROUND(+'Res .95+% Res Furnace - NEW'!AW24+'Res .95+% Res Furnace - Replace'!AW24+'Programmable Tstats - Tier 1'!AW24+'Programmable Tstats - Tier 2'!AW24+'Comm 95+% Furnace - NEW'!AW24+'Comm 95+% Furnace - Replace'!AW24+'Comm Custom'!AW24,0)</f>
        <v>8475</v>
      </c>
      <c r="AX24" s="91"/>
      <c r="AY24" s="92"/>
      <c r="AZ24" s="46">
        <f t="shared" si="13"/>
        <v>35199</v>
      </c>
      <c r="BA24" s="17"/>
      <c r="BB24" s="16">
        <f>ROUND(+'Res .95+% Res Furnace - NEW'!BB24+'Res .95+% Res Furnace - Replace'!BB24+'Programmable Tstats - Tier 1'!BB24+'Programmable Tstats - Tier 2'!BB24+'Comm 95+% Furnace - NEW'!BB24+'Comm 95+% Furnace - Replace'!BB24+'Comm Custom'!BB24,0)</f>
        <v>0</v>
      </c>
      <c r="BC24" s="16">
        <f>ROUND(+'Res .95+% Res Furnace - NEW'!BC24+'Res .95+% Res Furnace - Replace'!BC24+'Programmable Tstats - Tier 1'!BC24+'Programmable Tstats - Tier 2'!BC24+'Comm 95+% Furnace - NEW'!BC24+'Comm 95+% Furnace - Replace'!BC24+'Comm Custom'!BC24,0)</f>
        <v>0</v>
      </c>
      <c r="BD24" s="47">
        <f t="shared" si="14"/>
        <v>0</v>
      </c>
      <c r="BE24" s="46">
        <f t="shared" si="5"/>
        <v>35199</v>
      </c>
      <c r="BH24" s="7">
        <f t="shared" si="15"/>
        <v>2035</v>
      </c>
      <c r="BI24" s="16">
        <f>ROUND(+'Res .95+% Res Furnace - NEW'!BI24+'Res .95+% Res Furnace - Replace'!BI24+'Programmable Tstats - Tier 1'!BI24+'Programmable Tstats - Tier 2'!BI24+'Comm 95+% Furnace - NEW'!BI24+'Comm 95+% Furnace - Replace'!BI24+'Comm Custom'!BI24,0)</f>
        <v>0</v>
      </c>
      <c r="BJ24" s="16">
        <f>ROUND(+'Res .95+% Res Furnace - NEW'!BJ24+'Res .95+% Res Furnace - Replace'!BJ24+'Programmable Tstats - Tier 1'!BJ24+'Programmable Tstats - Tier 2'!BJ24+'Comm 95+% Furnace - NEW'!BJ24+'Comm 95+% Furnace - Replace'!BJ24+'Comm Custom'!BJ24,0)</f>
        <v>3462</v>
      </c>
      <c r="BK24" s="87"/>
      <c r="BL24" s="16">
        <f>ROUND(+'Res .95+% Res Furnace - NEW'!BL24+'Res .95+% Res Furnace - Replace'!BL24+'Programmable Tstats - Tier 1'!BL24+'Programmable Tstats - Tier 2'!BL24+'Comm 95+% Furnace - NEW'!BL24+'Comm 95+% Furnace - Replace'!BL24+'Comm Custom'!BL24,0)</f>
        <v>38439</v>
      </c>
      <c r="BM24" s="87"/>
      <c r="BN24" s="16">
        <f>ROUND(+'Res .95+% Res Furnace - NEW'!BN24+'Res .95+% Res Furnace - Replace'!BN24+'Programmable Tstats - Tier 1'!BN24+'Programmable Tstats - Tier 2'!BN24+'Comm 95+% Furnace - NEW'!BN24+'Comm 95+% Furnace - Replace'!BN24+'Comm Custom'!BN24,0)</f>
        <v>18636</v>
      </c>
      <c r="BO24" s="16"/>
      <c r="BP24" s="46">
        <f t="shared" si="6"/>
        <v>57075</v>
      </c>
      <c r="BR24" s="16">
        <f>ROUND(+'Res .95+% Res Furnace - NEW'!BR24+'Res .95+% Res Furnace - Replace'!BR24+'Programmable Tstats - Tier 1'!BR24+'Programmable Tstats - Tier 2'!BR24+'Comm 95+% Furnace - NEW'!BR24+'Comm 95+% Furnace - Replace'!BR24+'Comm Custom'!BR24,0)</f>
        <v>0</v>
      </c>
      <c r="BS24" s="46"/>
      <c r="BT24" s="46">
        <f t="shared" si="16"/>
        <v>57075</v>
      </c>
      <c r="BW24" s="7">
        <f t="shared" si="17"/>
        <v>2035</v>
      </c>
      <c r="BX24" s="46">
        <f t="shared" si="18"/>
        <v>15894</v>
      </c>
      <c r="BY24" s="16">
        <f t="shared" si="23"/>
        <v>6712</v>
      </c>
      <c r="BZ24" s="116">
        <f t="shared" si="19"/>
        <v>4118</v>
      </c>
      <c r="CA24" s="46">
        <f t="shared" si="20"/>
        <v>26724</v>
      </c>
      <c r="CC24" s="46">
        <f t="shared" si="24"/>
        <v>0</v>
      </c>
      <c r="CD24" s="46">
        <f t="shared" si="24"/>
        <v>0</v>
      </c>
      <c r="CE24" s="46">
        <f t="shared" si="25"/>
        <v>0</v>
      </c>
      <c r="CF24" s="46"/>
      <c r="CG24" s="46">
        <f t="shared" si="21"/>
        <v>26724</v>
      </c>
    </row>
    <row r="25" spans="1:106">
      <c r="A25" s="130" t="s">
        <v>106</v>
      </c>
      <c r="C25" s="11"/>
      <c r="E25" s="48" t="s">
        <v>102</v>
      </c>
      <c r="F25" s="139"/>
      <c r="G25" s="139"/>
      <c r="H25" s="139"/>
      <c r="J25" s="2">
        <f t="shared" si="7"/>
        <v>11</v>
      </c>
      <c r="L25" s="7">
        <f t="shared" si="8"/>
        <v>2036</v>
      </c>
      <c r="M25" s="16">
        <f>ROUND(+'Res .95+% Res Furnace - NEW'!M25+'Res .95+% Res Furnace - Replace'!M25+'Programmable Tstats - Tier 1'!M25+'Programmable Tstats - Tier 2'!M25+'Comm 95+% Furnace - NEW'!M25+'Comm 95+% Furnace - Replace'!M25+'Comm Custom'!M25,0)</f>
        <v>3462</v>
      </c>
      <c r="N25" s="53"/>
      <c r="O25" s="16">
        <f>ROUND(+'Res .95+% Res Furnace - NEW'!O25+'Res .95+% Res Furnace - Replace'!O25+'Programmable Tstats - Tier 1'!O25+'Programmable Tstats - Tier 2'!O25+'Comm 95+% Furnace - NEW'!O25+'Comm 95+% Furnace - Replace'!O25+'Comm Custom'!O25,0)</f>
        <v>16372</v>
      </c>
      <c r="P25" s="53"/>
      <c r="Q25" s="16">
        <f>ROUND(+'Res .95+% Res Furnace - NEW'!Q25+'Res .95+% Res Furnace - Replace'!Q25+'Programmable Tstats - Tier 1'!Q25+'Programmable Tstats - Tier 2'!Q25+'Comm 95+% Furnace - NEW'!Q25+'Comm 95+% Furnace - Replace'!Q25+'Comm Custom'!Q25,0)</f>
        <v>0</v>
      </c>
      <c r="R25" s="16">
        <f>ROUND(+'Res .95+% Res Furnace - NEW'!R25+'Res .95+% Res Furnace - Replace'!R25+'Programmable Tstats - Tier 1'!R25+'Programmable Tstats - Tier 2'!R25+'Comm 95+% Furnace - NEW'!R25+'Comm 95+% Furnace - Replace'!R25+'Comm Custom'!R25,0)</f>
        <v>16372</v>
      </c>
      <c r="S25" s="252">
        <f>ROUND(+'Res .95+% Res Furnace - NEW'!S25+'Res .95+% Res Furnace - Replace'!S25+'Programmable Tstats - Tier 1'!S25+'Programmable Tstats - Tier 2'!S25+'Comm 95+% Furnace - NEW'!S25+'Comm 95+% Furnace - Replace'!S25+'Comm Custom'!S25,0)</f>
        <v>35</v>
      </c>
      <c r="T25" s="46"/>
      <c r="U25" s="16">
        <f>ROUND(+'Res .95+% Res Furnace - NEW'!U25+'Res .95+% Res Furnace - Replace'!U25+'Programmable Tstats - Tier 1'!U25+'Programmable Tstats - Tier 2'!U25+'Comm 95+% Furnace - NEW'!U25+'Comm 95+% Furnace - Replace'!U25+'Comm Custom'!U25,0)</f>
        <v>6782</v>
      </c>
      <c r="V25" s="16">
        <f>ROUND(+'Res .95+% Res Furnace - NEW'!V25+'Res .95+% Res Furnace - Replace'!V25+'Programmable Tstats - Tier 1'!V25+'Programmable Tstats - Tier 2'!V25+'Comm 95+% Furnace - NEW'!V25+'Comm 95+% Furnace - Replace'!V25+'Comm Custom'!V25,0)</f>
        <v>23154</v>
      </c>
      <c r="W25" s="45"/>
      <c r="X25" s="16">
        <f>ROUND(+'Res .95+% Res Furnace - NEW'!X25+'Res .95+% Res Furnace - Replace'!X25+'Programmable Tstats - Tier 1'!X25+'Programmable Tstats - Tier 2'!X25+'Comm 95+% Furnace - NEW'!X25+'Comm 95+% Furnace - Replace'!X25+'Comm Custom'!X25,0)</f>
        <v>9234</v>
      </c>
      <c r="Y25" s="16">
        <f>ROUND(+'Res .95+% Res Furnace - NEW'!Y25+'Res .95+% Res Furnace - Replace'!Y25+'Programmable Tstats - Tier 1'!Y25+'Programmable Tstats - Tier 2'!Y25+'Comm 95+% Furnace - NEW'!Y25+'Comm 95+% Furnace - Replace'!Y25+'Comm Custom'!Y25,0)</f>
        <v>0</v>
      </c>
      <c r="Z25" s="16">
        <f>ROUND(+'Res .95+% Res Furnace - NEW'!Z25+'Res .95+% Res Furnace - Replace'!Z25+'Programmable Tstats - Tier 1'!Z25+'Programmable Tstats - Tier 2'!Z25+'Comm 95+% Furnace - NEW'!Z25+'Comm 95+% Furnace - Replace'!Z25+'Comm Custom'!Z25,0)</f>
        <v>0</v>
      </c>
      <c r="AA25" s="16">
        <f>ROUND(+'Res .95+% Res Furnace - NEW'!AA25+'Res .95+% Res Furnace - Replace'!AA25+'Programmable Tstats - Tier 1'!AA25+'Programmable Tstats - Tier 2'!AA25+'Comm 95+% Furnace - NEW'!AA25+'Comm 95+% Furnace - Replace'!AA25+'Comm Custom'!AA25,0)</f>
        <v>9234</v>
      </c>
      <c r="AB25" s="16">
        <f>ROUND(+'Res .95+% Res Furnace - NEW'!AB25+'Res .95+% Res Furnace - Replace'!AB25+'Programmable Tstats - Tier 1'!AB25+'Programmable Tstats - Tier 2'!AB25+'Comm 95+% Furnace - NEW'!AB25+'Comm 95+% Furnace - Replace'!AB25+'Comm Custom'!AB25,0)</f>
        <v>13920</v>
      </c>
      <c r="AE25" s="7">
        <f t="shared" si="9"/>
        <v>2036</v>
      </c>
      <c r="AF25" s="46">
        <f t="shared" si="0"/>
        <v>16372</v>
      </c>
      <c r="AG25" s="16">
        <f t="shared" si="1"/>
        <v>6782</v>
      </c>
      <c r="AH25" s="46">
        <f t="shared" si="22"/>
        <v>23154</v>
      </c>
      <c r="AJ25" s="32">
        <f t="shared" si="10"/>
        <v>0</v>
      </c>
      <c r="AK25" s="32">
        <f t="shared" si="10"/>
        <v>0</v>
      </c>
      <c r="AL25" s="32">
        <f t="shared" si="2"/>
        <v>0</v>
      </c>
      <c r="AN25" s="77">
        <f t="shared" si="11"/>
        <v>23154</v>
      </c>
      <c r="AQ25" s="7">
        <f t="shared" si="12"/>
        <v>2036</v>
      </c>
      <c r="AR25" s="46">
        <f t="shared" si="3"/>
        <v>16372</v>
      </c>
      <c r="AS25" s="46">
        <f t="shared" si="4"/>
        <v>6782</v>
      </c>
      <c r="AT25" s="91"/>
      <c r="AU25" s="16">
        <f>ROUND(+'Res .95+% Res Furnace - NEW'!AU25+'Res .95+% Res Furnace - Replace'!AU25+'Programmable Tstats - Tier 1'!AU25+'Programmable Tstats - Tier 2'!AU25+'Comm 95+% Furnace - NEW'!AU25+'Comm 95+% Furnace - Replace'!AU25+'Comm Custom'!AU25,0)</f>
        <v>4221</v>
      </c>
      <c r="AV25" s="53"/>
      <c r="AW25" s="16">
        <f>ROUND(+'Res .95+% Res Furnace - NEW'!AW25+'Res .95+% Res Furnace - Replace'!AW25+'Programmable Tstats - Tier 1'!AW25+'Programmable Tstats - Tier 2'!AW25+'Comm 95+% Furnace - NEW'!AW25+'Comm 95+% Furnace - Replace'!AW25+'Comm Custom'!AW25,0)</f>
        <v>8617</v>
      </c>
      <c r="AX25" s="91"/>
      <c r="AY25" s="92"/>
      <c r="AZ25" s="46">
        <f t="shared" si="13"/>
        <v>35992</v>
      </c>
      <c r="BA25" s="17"/>
      <c r="BB25" s="16">
        <f>ROUND(+'Res .95+% Res Furnace - NEW'!BB25+'Res .95+% Res Furnace - Replace'!BB25+'Programmable Tstats - Tier 1'!BB25+'Programmable Tstats - Tier 2'!BB25+'Comm 95+% Furnace - NEW'!BB25+'Comm 95+% Furnace - Replace'!BB25+'Comm Custom'!BB25,0)</f>
        <v>0</v>
      </c>
      <c r="BC25" s="16">
        <f>ROUND(+'Res .95+% Res Furnace - NEW'!BC25+'Res .95+% Res Furnace - Replace'!BC25+'Programmable Tstats - Tier 1'!BC25+'Programmable Tstats - Tier 2'!BC25+'Comm 95+% Furnace - NEW'!BC25+'Comm 95+% Furnace - Replace'!BC25+'Comm Custom'!BC25,0)</f>
        <v>0</v>
      </c>
      <c r="BD25" s="47">
        <f t="shared" si="14"/>
        <v>0</v>
      </c>
      <c r="BE25" s="46">
        <f t="shared" si="5"/>
        <v>35992</v>
      </c>
      <c r="BH25" s="7">
        <f t="shared" si="15"/>
        <v>2036</v>
      </c>
      <c r="BI25" s="16">
        <f>ROUND(+'Res .95+% Res Furnace - NEW'!BI25+'Res .95+% Res Furnace - Replace'!BI25+'Programmable Tstats - Tier 1'!BI25+'Programmable Tstats - Tier 2'!BI25+'Comm 95+% Furnace - NEW'!BI25+'Comm 95+% Furnace - Replace'!BI25+'Comm Custom'!BI25,0)</f>
        <v>0</v>
      </c>
      <c r="BJ25" s="16">
        <f>ROUND(+'Res .95+% Res Furnace - NEW'!BJ25+'Res .95+% Res Furnace - Replace'!BJ25+'Programmable Tstats - Tier 1'!BJ25+'Programmable Tstats - Tier 2'!BJ25+'Comm 95+% Furnace - NEW'!BJ25+'Comm 95+% Furnace - Replace'!BJ25+'Comm Custom'!BJ25,0)</f>
        <v>3462</v>
      </c>
      <c r="BK25" s="87"/>
      <c r="BL25" s="16">
        <f>ROUND(+'Res .95+% Res Furnace - NEW'!BL25+'Res .95+% Res Furnace - Replace'!BL25+'Programmable Tstats - Tier 1'!BL25+'Programmable Tstats - Tier 2'!BL25+'Comm 95+% Furnace - NEW'!BL25+'Comm 95+% Furnace - Replace'!BL25+'Comm Custom'!BL25,0)</f>
        <v>39591</v>
      </c>
      <c r="BM25" s="87"/>
      <c r="BN25" s="16">
        <f>ROUND(+'Res .95+% Res Furnace - NEW'!BN25+'Res .95+% Res Furnace - Replace'!BN25+'Programmable Tstats - Tier 1'!BN25+'Programmable Tstats - Tier 2'!BN25+'Comm 95+% Furnace - NEW'!BN25+'Comm 95+% Furnace - Replace'!BN25+'Comm Custom'!BN25,0)</f>
        <v>19254</v>
      </c>
      <c r="BO25" s="16"/>
      <c r="BP25" s="46">
        <f t="shared" si="6"/>
        <v>58845</v>
      </c>
      <c r="BR25" s="16">
        <f>ROUND(+'Res .95+% Res Furnace - NEW'!BR25+'Res .95+% Res Furnace - Replace'!BR25+'Programmable Tstats - Tier 1'!BR25+'Programmable Tstats - Tier 2'!BR25+'Comm 95+% Furnace - NEW'!BR25+'Comm 95+% Furnace - Replace'!BR25+'Comm Custom'!BR25,0)</f>
        <v>0</v>
      </c>
      <c r="BS25" s="46"/>
      <c r="BT25" s="46">
        <f t="shared" si="16"/>
        <v>58845</v>
      </c>
      <c r="BW25" s="7">
        <f t="shared" si="17"/>
        <v>2036</v>
      </c>
      <c r="BX25" s="46">
        <f t="shared" si="18"/>
        <v>16372</v>
      </c>
      <c r="BY25" s="16">
        <f t="shared" si="23"/>
        <v>6782</v>
      </c>
      <c r="BZ25" s="116">
        <f t="shared" si="19"/>
        <v>4221</v>
      </c>
      <c r="CA25" s="46">
        <f t="shared" si="20"/>
        <v>27375</v>
      </c>
      <c r="CC25" s="46">
        <f t="shared" si="24"/>
        <v>0</v>
      </c>
      <c r="CD25" s="46">
        <f t="shared" si="24"/>
        <v>0</v>
      </c>
      <c r="CE25" s="46">
        <f t="shared" si="25"/>
        <v>0</v>
      </c>
      <c r="CF25" s="46"/>
      <c r="CG25" s="46">
        <f t="shared" si="21"/>
        <v>27375</v>
      </c>
    </row>
    <row r="26" spans="1:106">
      <c r="A26" s="3" t="s">
        <v>18</v>
      </c>
      <c r="C26" s="15"/>
      <c r="F26" s="16"/>
      <c r="G26" s="16"/>
      <c r="H26" s="16"/>
      <c r="J26" s="2">
        <f t="shared" si="7"/>
        <v>12</v>
      </c>
      <c r="L26" s="7">
        <f t="shared" si="8"/>
        <v>2037</v>
      </c>
      <c r="M26" s="16">
        <f>ROUND(+'Res .95+% Res Furnace - NEW'!M26+'Res .95+% Res Furnace - Replace'!M26+'Programmable Tstats - Tier 1'!M26+'Programmable Tstats - Tier 2'!M26+'Comm 95+% Furnace - NEW'!M26+'Comm 95+% Furnace - Replace'!M26+'Comm Custom'!M26,0)</f>
        <v>3462</v>
      </c>
      <c r="N26" s="53"/>
      <c r="O26" s="16">
        <f>ROUND(+'Res .95+% Res Furnace - NEW'!O26+'Res .95+% Res Furnace - Replace'!O26+'Programmable Tstats - Tier 1'!O26+'Programmable Tstats - Tier 2'!O26+'Comm 95+% Furnace - NEW'!O26+'Comm 95+% Furnace - Replace'!O26+'Comm Custom'!O26,0)</f>
        <v>16860</v>
      </c>
      <c r="P26" s="53"/>
      <c r="Q26" s="16">
        <f>ROUND(+'Res .95+% Res Furnace - NEW'!Q26+'Res .95+% Res Furnace - Replace'!Q26+'Programmable Tstats - Tier 1'!Q26+'Programmable Tstats - Tier 2'!Q26+'Comm 95+% Furnace - NEW'!Q26+'Comm 95+% Furnace - Replace'!Q26+'Comm Custom'!Q26,0)</f>
        <v>0</v>
      </c>
      <c r="R26" s="16">
        <f>ROUND(+'Res .95+% Res Furnace - NEW'!R26+'Res .95+% Res Furnace - Replace'!R26+'Programmable Tstats - Tier 1'!R26+'Programmable Tstats - Tier 2'!R26+'Comm 95+% Furnace - NEW'!R26+'Comm 95+% Furnace - Replace'!R26+'Comm Custom'!R26,0)</f>
        <v>16860</v>
      </c>
      <c r="S26" s="252">
        <f>ROUND(+'Res .95+% Res Furnace - NEW'!S26+'Res .95+% Res Furnace - Replace'!S26+'Programmable Tstats - Tier 1'!S26+'Programmable Tstats - Tier 2'!S26+'Comm 95+% Furnace - NEW'!S26+'Comm 95+% Furnace - Replace'!S26+'Comm Custom'!S26,0)</f>
        <v>35</v>
      </c>
      <c r="T26" s="46"/>
      <c r="U26" s="16">
        <f>ROUND(+'Res .95+% Res Furnace - NEW'!U26+'Res .95+% Res Furnace - Replace'!U26+'Programmable Tstats - Tier 1'!U26+'Programmable Tstats - Tier 2'!U26+'Comm 95+% Furnace - NEW'!U26+'Comm 95+% Furnace - Replace'!U26+'Comm Custom'!U26,0)</f>
        <v>6851</v>
      </c>
      <c r="V26" s="16">
        <f>ROUND(+'Res .95+% Res Furnace - NEW'!V26+'Res .95+% Res Furnace - Replace'!V26+'Programmable Tstats - Tier 1'!V26+'Programmable Tstats - Tier 2'!V26+'Comm 95+% Furnace - NEW'!V26+'Comm 95+% Furnace - Replace'!V26+'Comm Custom'!V26,0)</f>
        <v>23711</v>
      </c>
      <c r="W26" s="45"/>
      <c r="X26" s="16">
        <f>ROUND(+'Res .95+% Res Furnace - NEW'!X26+'Res .95+% Res Furnace - Replace'!X26+'Programmable Tstats - Tier 1'!X26+'Programmable Tstats - Tier 2'!X26+'Comm 95+% Furnace - NEW'!X26+'Comm 95+% Furnace - Replace'!X26+'Comm Custom'!X26,0)</f>
        <v>9510</v>
      </c>
      <c r="Y26" s="16">
        <f>ROUND(+'Res .95+% Res Furnace - NEW'!Y26+'Res .95+% Res Furnace - Replace'!Y26+'Programmable Tstats - Tier 1'!Y26+'Programmable Tstats - Tier 2'!Y26+'Comm 95+% Furnace - NEW'!Y26+'Comm 95+% Furnace - Replace'!Y26+'Comm Custom'!Y26,0)</f>
        <v>0</v>
      </c>
      <c r="Z26" s="16">
        <f>ROUND(+'Res .95+% Res Furnace - NEW'!Z26+'Res .95+% Res Furnace - Replace'!Z26+'Programmable Tstats - Tier 1'!Z26+'Programmable Tstats - Tier 2'!Z26+'Comm 95+% Furnace - NEW'!Z26+'Comm 95+% Furnace - Replace'!Z26+'Comm Custom'!Z26,0)</f>
        <v>0</v>
      </c>
      <c r="AA26" s="16">
        <f>ROUND(+'Res .95+% Res Furnace - NEW'!AA26+'Res .95+% Res Furnace - Replace'!AA26+'Programmable Tstats - Tier 1'!AA26+'Programmable Tstats - Tier 2'!AA26+'Comm 95+% Furnace - NEW'!AA26+'Comm 95+% Furnace - Replace'!AA26+'Comm Custom'!AA26,0)</f>
        <v>9510</v>
      </c>
      <c r="AB26" s="16">
        <f>ROUND(+'Res .95+% Res Furnace - NEW'!AB26+'Res .95+% Res Furnace - Replace'!AB26+'Programmable Tstats - Tier 1'!AB26+'Programmable Tstats - Tier 2'!AB26+'Comm 95+% Furnace - NEW'!AB26+'Comm 95+% Furnace - Replace'!AB26+'Comm Custom'!AB26,0)</f>
        <v>14201</v>
      </c>
      <c r="AE26" s="7">
        <f t="shared" si="9"/>
        <v>2037</v>
      </c>
      <c r="AF26" s="46">
        <f t="shared" si="0"/>
        <v>16860</v>
      </c>
      <c r="AG26" s="16">
        <f t="shared" si="1"/>
        <v>6851</v>
      </c>
      <c r="AH26" s="46">
        <f t="shared" si="22"/>
        <v>23711</v>
      </c>
      <c r="AJ26" s="32">
        <f t="shared" si="10"/>
        <v>0</v>
      </c>
      <c r="AK26" s="32">
        <f t="shared" si="10"/>
        <v>0</v>
      </c>
      <c r="AL26" s="32">
        <f t="shared" si="2"/>
        <v>0</v>
      </c>
      <c r="AN26" s="77">
        <f t="shared" si="11"/>
        <v>23711</v>
      </c>
      <c r="AQ26" s="7">
        <f t="shared" si="12"/>
        <v>2037</v>
      </c>
      <c r="AR26" s="46">
        <f t="shared" si="3"/>
        <v>16860</v>
      </c>
      <c r="AS26" s="46">
        <f t="shared" si="4"/>
        <v>6851</v>
      </c>
      <c r="AT26" s="91"/>
      <c r="AU26" s="16">
        <f>ROUND(+'Res .95+% Res Furnace - NEW'!AU26+'Res .95+% Res Furnace - Replace'!AU26+'Programmable Tstats - Tier 1'!AU26+'Programmable Tstats - Tier 2'!AU26+'Comm 95+% Furnace - NEW'!AU26+'Comm 95+% Furnace - Replace'!AU26+'Comm Custom'!AU26,0)</f>
        <v>4324</v>
      </c>
      <c r="AV26" s="53"/>
      <c r="AW26" s="16">
        <f>ROUND(+'Res .95+% Res Furnace - NEW'!AW26+'Res .95+% Res Furnace - Replace'!AW26+'Programmable Tstats - Tier 1'!AW26+'Programmable Tstats - Tier 2'!AW26+'Comm 95+% Furnace - NEW'!AW26+'Comm 95+% Furnace - Replace'!AW26+'Comm Custom'!AW26,0)</f>
        <v>8761</v>
      </c>
      <c r="AX26" s="91"/>
      <c r="AY26" s="92"/>
      <c r="AZ26" s="46">
        <f t="shared" si="13"/>
        <v>36796</v>
      </c>
      <c r="BA26" s="17"/>
      <c r="BB26" s="16">
        <f>ROUND(+'Res .95+% Res Furnace - NEW'!BB26+'Res .95+% Res Furnace - Replace'!BB26+'Programmable Tstats - Tier 1'!BB26+'Programmable Tstats - Tier 2'!BB26+'Comm 95+% Furnace - NEW'!BB26+'Comm 95+% Furnace - Replace'!BB26+'Comm Custom'!BB26,0)</f>
        <v>0</v>
      </c>
      <c r="BC26" s="16">
        <f>ROUND(+'Res .95+% Res Furnace - NEW'!BC26+'Res .95+% Res Furnace - Replace'!BC26+'Programmable Tstats - Tier 1'!BC26+'Programmable Tstats - Tier 2'!BC26+'Comm 95+% Furnace - NEW'!BC26+'Comm 95+% Furnace - Replace'!BC26+'Comm Custom'!BC26,0)</f>
        <v>0</v>
      </c>
      <c r="BD26" s="47">
        <f t="shared" si="14"/>
        <v>0</v>
      </c>
      <c r="BE26" s="46">
        <f t="shared" si="5"/>
        <v>36796</v>
      </c>
      <c r="BH26" s="7">
        <f t="shared" si="15"/>
        <v>2037</v>
      </c>
      <c r="BI26" s="16">
        <f>ROUND(+'Res .95+% Res Furnace - NEW'!BI26+'Res .95+% Res Furnace - Replace'!BI26+'Programmable Tstats - Tier 1'!BI26+'Programmable Tstats - Tier 2'!BI26+'Comm 95+% Furnace - NEW'!BI26+'Comm 95+% Furnace - Replace'!BI26+'Comm Custom'!BI26,0)</f>
        <v>0</v>
      </c>
      <c r="BJ26" s="16">
        <f>ROUND(+'Res .95+% Res Furnace - NEW'!BJ26+'Res .95+% Res Furnace - Replace'!BJ26+'Programmable Tstats - Tier 1'!BJ26+'Programmable Tstats - Tier 2'!BJ26+'Comm 95+% Furnace - NEW'!BJ26+'Comm 95+% Furnace - Replace'!BJ26+'Comm Custom'!BJ26,0)</f>
        <v>3462</v>
      </c>
      <c r="BK26" s="87"/>
      <c r="BL26" s="16">
        <f>ROUND(+'Res .95+% Res Furnace - NEW'!BL26+'Res .95+% Res Furnace - Replace'!BL26+'Programmable Tstats - Tier 1'!BL26+'Programmable Tstats - Tier 2'!BL26+'Comm 95+% Furnace - NEW'!BL26+'Comm 95+% Furnace - Replace'!BL26+'Comm Custom'!BL26,0)</f>
        <v>40779</v>
      </c>
      <c r="BM26" s="87"/>
      <c r="BN26" s="16">
        <f>ROUND(+'Res .95+% Res Furnace - NEW'!BN26+'Res .95+% Res Furnace - Replace'!BN26+'Programmable Tstats - Tier 1'!BN26+'Programmable Tstats - Tier 2'!BN26+'Comm 95+% Furnace - NEW'!BN26+'Comm 95+% Furnace - Replace'!BN26+'Comm Custom'!BN26,0)</f>
        <v>19768</v>
      </c>
      <c r="BO26" s="16"/>
      <c r="BP26" s="46">
        <f t="shared" si="6"/>
        <v>60547</v>
      </c>
      <c r="BR26" s="16">
        <f>ROUND(+'Res .95+% Res Furnace - NEW'!BR26+'Res .95+% Res Furnace - Replace'!BR26+'Programmable Tstats - Tier 1'!BR26+'Programmable Tstats - Tier 2'!BR26+'Comm 95+% Furnace - NEW'!BR26+'Comm 95+% Furnace - Replace'!BR26+'Comm Custom'!BR26,0)</f>
        <v>0</v>
      </c>
      <c r="BS26" s="46"/>
      <c r="BT26" s="46">
        <f t="shared" si="16"/>
        <v>60547</v>
      </c>
      <c r="BW26" s="7">
        <f t="shared" si="17"/>
        <v>2037</v>
      </c>
      <c r="BX26" s="46">
        <f t="shared" si="18"/>
        <v>16860</v>
      </c>
      <c r="BY26" s="16">
        <f t="shared" si="23"/>
        <v>6851</v>
      </c>
      <c r="BZ26" s="116">
        <f t="shared" si="19"/>
        <v>4324</v>
      </c>
      <c r="CA26" s="46">
        <f t="shared" si="20"/>
        <v>28035</v>
      </c>
      <c r="CC26" s="46">
        <f t="shared" si="24"/>
        <v>0</v>
      </c>
      <c r="CD26" s="46">
        <f t="shared" si="24"/>
        <v>0</v>
      </c>
      <c r="CE26" s="46">
        <f t="shared" si="25"/>
        <v>0</v>
      </c>
      <c r="CF26" s="46"/>
      <c r="CG26" s="46">
        <f t="shared" si="21"/>
        <v>28035</v>
      </c>
    </row>
    <row r="27" spans="1:106">
      <c r="A27" s="3"/>
      <c r="C27" s="15"/>
      <c r="E27" s="3" t="s">
        <v>70</v>
      </c>
      <c r="F27" s="16"/>
      <c r="G27" s="16"/>
      <c r="H27" s="16"/>
      <c r="J27" s="2">
        <f t="shared" si="7"/>
        <v>13</v>
      </c>
      <c r="L27" s="7">
        <f t="shared" si="8"/>
        <v>2038</v>
      </c>
      <c r="M27" s="16">
        <f>ROUND(+'Res .95+% Res Furnace - NEW'!M27+'Res .95+% Res Furnace - Replace'!M27+'Programmable Tstats - Tier 1'!M27+'Programmable Tstats - Tier 2'!M27+'Comm 95+% Furnace - NEW'!M27+'Comm 95+% Furnace - Replace'!M27+'Comm Custom'!M27,0)</f>
        <v>3462</v>
      </c>
      <c r="N27" s="53"/>
      <c r="O27" s="16">
        <f>ROUND(+'Res .95+% Res Furnace - NEW'!O27+'Res .95+% Res Furnace - Replace'!O27+'Programmable Tstats - Tier 1'!O27+'Programmable Tstats - Tier 2'!O27+'Comm 95+% Furnace - NEW'!O27+'Comm 95+% Furnace - Replace'!O27+'Comm Custom'!O27,0)</f>
        <v>17369</v>
      </c>
      <c r="P27" s="53"/>
      <c r="Q27" s="16">
        <f>ROUND(+'Res .95+% Res Furnace - NEW'!Q27+'Res .95+% Res Furnace - Replace'!Q27+'Programmable Tstats - Tier 1'!Q27+'Programmable Tstats - Tier 2'!Q27+'Comm 95+% Furnace - NEW'!Q27+'Comm 95+% Furnace - Replace'!Q27+'Comm Custom'!Q27,0)</f>
        <v>0</v>
      </c>
      <c r="R27" s="16">
        <f>ROUND(+'Res .95+% Res Furnace - NEW'!R27+'Res .95+% Res Furnace - Replace'!R27+'Programmable Tstats - Tier 1'!R27+'Programmable Tstats - Tier 2'!R27+'Comm 95+% Furnace - NEW'!R27+'Comm 95+% Furnace - Replace'!R27+'Comm Custom'!R27,0)</f>
        <v>17369</v>
      </c>
      <c r="S27" s="252">
        <f>ROUND(+'Res .95+% Res Furnace - NEW'!S27+'Res .95+% Res Furnace - Replace'!S27+'Programmable Tstats - Tier 1'!S27+'Programmable Tstats - Tier 2'!S27+'Comm 95+% Furnace - NEW'!S27+'Comm 95+% Furnace - Replace'!S27+'Comm Custom'!S27,0)</f>
        <v>35</v>
      </c>
      <c r="T27" s="46"/>
      <c r="U27" s="16">
        <f>ROUND(+'Res .95+% Res Furnace - NEW'!U27+'Res .95+% Res Furnace - Replace'!U27+'Programmable Tstats - Tier 1'!U27+'Programmable Tstats - Tier 2'!U27+'Comm 95+% Furnace - NEW'!U27+'Comm 95+% Furnace - Replace'!U27+'Comm Custom'!U27,0)</f>
        <v>6920</v>
      </c>
      <c r="V27" s="16">
        <f>ROUND(+'Res .95+% Res Furnace - NEW'!V27+'Res .95+% Res Furnace - Replace'!V27+'Programmable Tstats - Tier 1'!V27+'Programmable Tstats - Tier 2'!V27+'Comm 95+% Furnace - NEW'!V27+'Comm 95+% Furnace - Replace'!V27+'Comm Custom'!V27,0)</f>
        <v>24289</v>
      </c>
      <c r="W27" s="45"/>
      <c r="X27" s="16">
        <f>ROUND(+'Res .95+% Res Furnace - NEW'!X27+'Res .95+% Res Furnace - Replace'!X27+'Programmable Tstats - Tier 1'!X27+'Programmable Tstats - Tier 2'!X27+'Comm 95+% Furnace - NEW'!X27+'Comm 95+% Furnace - Replace'!X27+'Comm Custom'!X27,0)</f>
        <v>9794</v>
      </c>
      <c r="Y27" s="16">
        <f>ROUND(+'Res .95+% Res Furnace - NEW'!Y27+'Res .95+% Res Furnace - Replace'!Y27+'Programmable Tstats - Tier 1'!Y27+'Programmable Tstats - Tier 2'!Y27+'Comm 95+% Furnace - NEW'!Y27+'Comm 95+% Furnace - Replace'!Y27+'Comm Custom'!Y27,0)</f>
        <v>0</v>
      </c>
      <c r="Z27" s="16">
        <f>ROUND(+'Res .95+% Res Furnace - NEW'!Z27+'Res .95+% Res Furnace - Replace'!Z27+'Programmable Tstats - Tier 1'!Z27+'Programmable Tstats - Tier 2'!Z27+'Comm 95+% Furnace - NEW'!Z27+'Comm 95+% Furnace - Replace'!Z27+'Comm Custom'!Z27,0)</f>
        <v>0</v>
      </c>
      <c r="AA27" s="16">
        <f>ROUND(+'Res .95+% Res Furnace - NEW'!AA27+'Res .95+% Res Furnace - Replace'!AA27+'Programmable Tstats - Tier 1'!AA27+'Programmable Tstats - Tier 2'!AA27+'Comm 95+% Furnace - NEW'!AA27+'Comm 95+% Furnace - Replace'!AA27+'Comm Custom'!AA27,0)</f>
        <v>9794</v>
      </c>
      <c r="AB27" s="16">
        <f>ROUND(+'Res .95+% Res Furnace - NEW'!AB27+'Res .95+% Res Furnace - Replace'!AB27+'Programmable Tstats - Tier 1'!AB27+'Programmable Tstats - Tier 2'!AB27+'Comm 95+% Furnace - NEW'!AB27+'Comm 95+% Furnace - Replace'!AB27+'Comm Custom'!AB27,0)</f>
        <v>14495</v>
      </c>
      <c r="AE27" s="7">
        <f t="shared" si="9"/>
        <v>2038</v>
      </c>
      <c r="AF27" s="46">
        <f t="shared" si="0"/>
        <v>17369</v>
      </c>
      <c r="AG27" s="16">
        <f t="shared" si="1"/>
        <v>6920</v>
      </c>
      <c r="AH27" s="46">
        <f t="shared" si="22"/>
        <v>24289</v>
      </c>
      <c r="AJ27" s="32">
        <f t="shared" si="10"/>
        <v>0</v>
      </c>
      <c r="AK27" s="32">
        <f t="shared" si="10"/>
        <v>0</v>
      </c>
      <c r="AL27" s="32">
        <f t="shared" si="2"/>
        <v>0</v>
      </c>
      <c r="AN27" s="77">
        <f t="shared" si="11"/>
        <v>24289</v>
      </c>
      <c r="AQ27" s="7">
        <f t="shared" si="12"/>
        <v>2038</v>
      </c>
      <c r="AR27" s="46">
        <f t="shared" si="3"/>
        <v>17369</v>
      </c>
      <c r="AS27" s="46">
        <f t="shared" si="4"/>
        <v>6920</v>
      </c>
      <c r="AT27" s="91"/>
      <c r="AU27" s="16">
        <f>ROUND(+'Res .95+% Res Furnace - NEW'!AU27+'Res .95+% Res Furnace - Replace'!AU27+'Programmable Tstats - Tier 1'!AU27+'Programmable Tstats - Tier 2'!AU27+'Comm 95+% Furnace - NEW'!AU27+'Comm 95+% Furnace - Replace'!AU27+'Comm Custom'!AU27,0)</f>
        <v>4427</v>
      </c>
      <c r="AV27" s="53"/>
      <c r="AW27" s="16">
        <f>ROUND(+'Res .95+% Res Furnace - NEW'!AW27+'Res .95+% Res Furnace - Replace'!AW27+'Programmable Tstats - Tier 1'!AW27+'Programmable Tstats - Tier 2'!AW27+'Comm 95+% Furnace - NEW'!AW27+'Comm 95+% Furnace - Replace'!AW27+'Comm Custom'!AW27,0)</f>
        <v>8911</v>
      </c>
      <c r="AX27" s="91"/>
      <c r="AY27" s="92"/>
      <c r="AZ27" s="46">
        <f t="shared" si="13"/>
        <v>37627</v>
      </c>
      <c r="BA27" s="17"/>
      <c r="BB27" s="16">
        <f>ROUND(+'Res .95+% Res Furnace - NEW'!BB27+'Res .95+% Res Furnace - Replace'!BB27+'Programmable Tstats - Tier 1'!BB27+'Programmable Tstats - Tier 2'!BB27+'Comm 95+% Furnace - NEW'!BB27+'Comm 95+% Furnace - Replace'!BB27+'Comm Custom'!BB27,0)</f>
        <v>0</v>
      </c>
      <c r="BC27" s="16">
        <f>ROUND(+'Res .95+% Res Furnace - NEW'!BC27+'Res .95+% Res Furnace - Replace'!BC27+'Programmable Tstats - Tier 1'!BC27+'Programmable Tstats - Tier 2'!BC27+'Comm 95+% Furnace - NEW'!BC27+'Comm 95+% Furnace - Replace'!BC27+'Comm Custom'!BC27,0)</f>
        <v>0</v>
      </c>
      <c r="BD27" s="47">
        <f t="shared" si="14"/>
        <v>0</v>
      </c>
      <c r="BE27" s="46">
        <f t="shared" si="5"/>
        <v>37627</v>
      </c>
      <c r="BH27" s="7">
        <f t="shared" si="15"/>
        <v>2038</v>
      </c>
      <c r="BI27" s="16">
        <f>ROUND(+'Res .95+% Res Furnace - NEW'!BI27+'Res .95+% Res Furnace - Replace'!BI27+'Programmable Tstats - Tier 1'!BI27+'Programmable Tstats - Tier 2'!BI27+'Comm 95+% Furnace - NEW'!BI27+'Comm 95+% Furnace - Replace'!BI27+'Comm Custom'!BI27,0)</f>
        <v>0</v>
      </c>
      <c r="BJ27" s="16">
        <f>ROUND(+'Res .95+% Res Furnace - NEW'!BJ27+'Res .95+% Res Furnace - Replace'!BJ27+'Programmable Tstats - Tier 1'!BJ27+'Programmable Tstats - Tier 2'!BJ27+'Comm 95+% Furnace - NEW'!BJ27+'Comm 95+% Furnace - Replace'!BJ27+'Comm Custom'!BJ27,0)</f>
        <v>3462</v>
      </c>
      <c r="BK27" s="87"/>
      <c r="BL27" s="16">
        <f>ROUND(+'Res .95+% Res Furnace - NEW'!BL27+'Res .95+% Res Furnace - Replace'!BL27+'Programmable Tstats - Tier 1'!BL27+'Programmable Tstats - Tier 2'!BL27+'Comm 95+% Furnace - NEW'!BL27+'Comm 95+% Furnace - Replace'!BL27+'Comm Custom'!BL27,0)</f>
        <v>42004</v>
      </c>
      <c r="BM27" s="87"/>
      <c r="BN27" s="16">
        <f>ROUND(+'Res .95+% Res Furnace - NEW'!BN27+'Res .95+% Res Furnace - Replace'!BN27+'Programmable Tstats - Tier 1'!BN27+'Programmable Tstats - Tier 2'!BN27+'Comm 95+% Furnace - NEW'!BN27+'Comm 95+% Furnace - Replace'!BN27+'Comm Custom'!BN27,0)</f>
        <v>20386</v>
      </c>
      <c r="BO27" s="16"/>
      <c r="BP27" s="46">
        <f t="shared" si="6"/>
        <v>62390</v>
      </c>
      <c r="BR27" s="16">
        <f>ROUND(+'Res .95+% Res Furnace - NEW'!BR27+'Res .95+% Res Furnace - Replace'!BR27+'Programmable Tstats - Tier 1'!BR27+'Programmable Tstats - Tier 2'!BR27+'Comm 95+% Furnace - NEW'!BR27+'Comm 95+% Furnace - Replace'!BR27+'Comm Custom'!BR27,0)</f>
        <v>0</v>
      </c>
      <c r="BS27" s="46"/>
      <c r="BT27" s="46">
        <f t="shared" si="16"/>
        <v>62390</v>
      </c>
      <c r="BW27" s="7">
        <f t="shared" si="17"/>
        <v>2038</v>
      </c>
      <c r="BX27" s="46">
        <f t="shared" si="18"/>
        <v>17369</v>
      </c>
      <c r="BY27" s="16">
        <f t="shared" si="23"/>
        <v>6920</v>
      </c>
      <c r="BZ27" s="116">
        <f t="shared" si="19"/>
        <v>4427</v>
      </c>
      <c r="CA27" s="46">
        <f t="shared" si="20"/>
        <v>28716</v>
      </c>
      <c r="CC27" s="46">
        <f t="shared" si="24"/>
        <v>0</v>
      </c>
      <c r="CD27" s="46">
        <f t="shared" si="24"/>
        <v>0</v>
      </c>
      <c r="CE27" s="46">
        <f t="shared" si="25"/>
        <v>0</v>
      </c>
      <c r="CF27" s="46"/>
      <c r="CG27" s="46">
        <f t="shared" si="21"/>
        <v>28716</v>
      </c>
    </row>
    <row r="28" spans="1:106">
      <c r="A28" s="3" t="s">
        <v>71</v>
      </c>
      <c r="C28" s="11"/>
      <c r="E28" s="3" t="s">
        <v>72</v>
      </c>
      <c r="F28" s="16"/>
      <c r="G28" s="16"/>
      <c r="H28" s="16"/>
      <c r="J28" s="2">
        <f t="shared" si="7"/>
        <v>14</v>
      </c>
      <c r="L28" s="7">
        <f t="shared" si="8"/>
        <v>2039</v>
      </c>
      <c r="M28" s="16">
        <f>ROUND(+'Res .95+% Res Furnace - NEW'!M28+'Res .95+% Res Furnace - Replace'!M28+'Programmable Tstats - Tier 1'!M28+'Programmable Tstats - Tier 2'!M28+'Comm 95+% Furnace - NEW'!M28+'Comm 95+% Furnace - Replace'!M28+'Comm Custom'!M28,0)</f>
        <v>3462</v>
      </c>
      <c r="N28" s="53"/>
      <c r="O28" s="16">
        <f>ROUND(+'Res .95+% Res Furnace - NEW'!O28+'Res .95+% Res Furnace - Replace'!O28+'Programmable Tstats - Tier 1'!O28+'Programmable Tstats - Tier 2'!O28+'Comm 95+% Furnace - NEW'!O28+'Comm 95+% Furnace - Replace'!O28+'Comm Custom'!O28,0)</f>
        <v>17888</v>
      </c>
      <c r="P28" s="53"/>
      <c r="Q28" s="16">
        <f>ROUND(+'Res .95+% Res Furnace - NEW'!Q28+'Res .95+% Res Furnace - Replace'!Q28+'Programmable Tstats - Tier 1'!Q28+'Programmable Tstats - Tier 2'!Q28+'Comm 95+% Furnace - NEW'!Q28+'Comm 95+% Furnace - Replace'!Q28+'Comm Custom'!Q28,0)</f>
        <v>0</v>
      </c>
      <c r="R28" s="16">
        <f>ROUND(+'Res .95+% Res Furnace - NEW'!R28+'Res .95+% Res Furnace - Replace'!R28+'Programmable Tstats - Tier 1'!R28+'Programmable Tstats - Tier 2'!R28+'Comm 95+% Furnace - NEW'!R28+'Comm 95+% Furnace - Replace'!R28+'Comm Custom'!R28,0)</f>
        <v>17888</v>
      </c>
      <c r="S28" s="252">
        <f>ROUND(+'Res .95+% Res Furnace - NEW'!S28+'Res .95+% Res Furnace - Replace'!S28+'Programmable Tstats - Tier 1'!S28+'Programmable Tstats - Tier 2'!S28+'Comm 95+% Furnace - NEW'!S28+'Comm 95+% Furnace - Replace'!S28+'Comm Custom'!S28,0)</f>
        <v>35</v>
      </c>
      <c r="T28" s="46"/>
      <c r="U28" s="16">
        <f>ROUND(+'Res .95+% Res Furnace - NEW'!U28+'Res .95+% Res Furnace - Replace'!U28+'Programmable Tstats - Tier 1'!U28+'Programmable Tstats - Tier 2'!U28+'Comm 95+% Furnace - NEW'!U28+'Comm 95+% Furnace - Replace'!U28+'Comm Custom'!U28,0)</f>
        <v>6989</v>
      </c>
      <c r="V28" s="16">
        <f>ROUND(+'Res .95+% Res Furnace - NEW'!V28+'Res .95+% Res Furnace - Replace'!V28+'Programmable Tstats - Tier 1'!V28+'Programmable Tstats - Tier 2'!V28+'Comm 95+% Furnace - NEW'!V28+'Comm 95+% Furnace - Replace'!V28+'Comm Custom'!V28,0)</f>
        <v>24877</v>
      </c>
      <c r="W28" s="45"/>
      <c r="X28" s="16">
        <f>ROUND(+'Res .95+% Res Furnace - NEW'!X28+'Res .95+% Res Furnace - Replace'!X28+'Programmable Tstats - Tier 1'!X28+'Programmable Tstats - Tier 2'!X28+'Comm 95+% Furnace - NEW'!X28+'Comm 95+% Furnace - Replace'!X28+'Comm Custom'!X28,0)</f>
        <v>10090</v>
      </c>
      <c r="Y28" s="16">
        <f>ROUND(+'Res .95+% Res Furnace - NEW'!Y28+'Res .95+% Res Furnace - Replace'!Y28+'Programmable Tstats - Tier 1'!Y28+'Programmable Tstats - Tier 2'!Y28+'Comm 95+% Furnace - NEW'!Y28+'Comm 95+% Furnace - Replace'!Y28+'Comm Custom'!Y28,0)</f>
        <v>0</v>
      </c>
      <c r="Z28" s="16">
        <f>ROUND(+'Res .95+% Res Furnace - NEW'!Z28+'Res .95+% Res Furnace - Replace'!Z28+'Programmable Tstats - Tier 1'!Z28+'Programmable Tstats - Tier 2'!Z28+'Comm 95+% Furnace - NEW'!Z28+'Comm 95+% Furnace - Replace'!Z28+'Comm Custom'!Z28,0)</f>
        <v>0</v>
      </c>
      <c r="AA28" s="16">
        <f>ROUND(+'Res .95+% Res Furnace - NEW'!AA28+'Res .95+% Res Furnace - Replace'!AA28+'Programmable Tstats - Tier 1'!AA28+'Programmable Tstats - Tier 2'!AA28+'Comm 95+% Furnace - NEW'!AA28+'Comm 95+% Furnace - Replace'!AA28+'Comm Custom'!AA28,0)</f>
        <v>10090</v>
      </c>
      <c r="AB28" s="16">
        <f>ROUND(+'Res .95+% Res Furnace - NEW'!AB28+'Res .95+% Res Furnace - Replace'!AB28+'Programmable Tstats - Tier 1'!AB28+'Programmable Tstats - Tier 2'!AB28+'Comm 95+% Furnace - NEW'!AB28+'Comm 95+% Furnace - Replace'!AB28+'Comm Custom'!AB28,0)</f>
        <v>14787</v>
      </c>
      <c r="AE28" s="7">
        <f t="shared" si="9"/>
        <v>2039</v>
      </c>
      <c r="AF28" s="46">
        <f t="shared" si="0"/>
        <v>17888</v>
      </c>
      <c r="AG28" s="16">
        <f t="shared" si="1"/>
        <v>6989</v>
      </c>
      <c r="AH28" s="46">
        <f t="shared" si="22"/>
        <v>24877</v>
      </c>
      <c r="AJ28" s="32">
        <f t="shared" si="10"/>
        <v>0</v>
      </c>
      <c r="AK28" s="32">
        <f t="shared" si="10"/>
        <v>0</v>
      </c>
      <c r="AL28" s="32">
        <f t="shared" si="2"/>
        <v>0</v>
      </c>
      <c r="AN28" s="77">
        <f t="shared" si="11"/>
        <v>24877</v>
      </c>
      <c r="AQ28" s="7">
        <f t="shared" si="12"/>
        <v>2039</v>
      </c>
      <c r="AR28" s="46">
        <f t="shared" si="3"/>
        <v>17888</v>
      </c>
      <c r="AS28" s="46">
        <f t="shared" si="4"/>
        <v>6989</v>
      </c>
      <c r="AT28" s="91"/>
      <c r="AU28" s="16">
        <f>ROUND(+'Res .95+% Res Furnace - NEW'!AU28+'Res .95+% Res Furnace - Replace'!AU28+'Programmable Tstats - Tier 1'!AU28+'Programmable Tstats - Tier 2'!AU28+'Comm 95+% Furnace - NEW'!AU28+'Comm 95+% Furnace - Replace'!AU28+'Comm Custom'!AU28,0)</f>
        <v>4633</v>
      </c>
      <c r="AV28" s="53"/>
      <c r="AW28" s="16">
        <f>ROUND(+'Res .95+% Res Furnace - NEW'!AW28+'Res .95+% Res Furnace - Replace'!AW28+'Programmable Tstats - Tier 1'!AW28+'Programmable Tstats - Tier 2'!AW28+'Comm 95+% Furnace - NEW'!AW28+'Comm 95+% Furnace - Replace'!AW28+'Comm Custom'!AW28,0)</f>
        <v>9061</v>
      </c>
      <c r="AX28" s="91"/>
      <c r="AY28" s="92"/>
      <c r="AZ28" s="46">
        <f t="shared" si="13"/>
        <v>38571</v>
      </c>
      <c r="BA28" s="17"/>
      <c r="BB28" s="16">
        <f>ROUND(+'Res .95+% Res Furnace - NEW'!BB28+'Res .95+% Res Furnace - Replace'!BB28+'Programmable Tstats - Tier 1'!BB28+'Programmable Tstats - Tier 2'!BB28+'Comm 95+% Furnace - NEW'!BB28+'Comm 95+% Furnace - Replace'!BB28+'Comm Custom'!BB28,0)</f>
        <v>0</v>
      </c>
      <c r="BC28" s="16">
        <f>ROUND(+'Res .95+% Res Furnace - NEW'!BC28+'Res .95+% Res Furnace - Replace'!BC28+'Programmable Tstats - Tier 1'!BC28+'Programmable Tstats - Tier 2'!BC28+'Comm 95+% Furnace - NEW'!BC28+'Comm 95+% Furnace - Replace'!BC28+'Comm Custom'!BC28,0)</f>
        <v>0</v>
      </c>
      <c r="BD28" s="47">
        <f t="shared" si="14"/>
        <v>0</v>
      </c>
      <c r="BE28" s="46">
        <f t="shared" si="5"/>
        <v>38571</v>
      </c>
      <c r="BH28" s="7">
        <f t="shared" si="15"/>
        <v>2039</v>
      </c>
      <c r="BI28" s="16">
        <f>ROUND(+'Res .95+% Res Furnace - NEW'!BI28+'Res .95+% Res Furnace - Replace'!BI28+'Programmable Tstats - Tier 1'!BI28+'Programmable Tstats - Tier 2'!BI28+'Comm 95+% Furnace - NEW'!BI28+'Comm 95+% Furnace - Replace'!BI28+'Comm Custom'!BI28,0)</f>
        <v>0</v>
      </c>
      <c r="BJ28" s="16">
        <f>ROUND(+'Res .95+% Res Furnace - NEW'!BJ28+'Res .95+% Res Furnace - Replace'!BJ28+'Programmable Tstats - Tier 1'!BJ28+'Programmable Tstats - Tier 2'!BJ28+'Comm 95+% Furnace - NEW'!BJ28+'Comm 95+% Furnace - Replace'!BJ28+'Comm Custom'!BJ28,0)</f>
        <v>3462</v>
      </c>
      <c r="BK28" s="87"/>
      <c r="BL28" s="16">
        <f>ROUND(+'Res .95+% Res Furnace - NEW'!BL28+'Res .95+% Res Furnace - Replace'!BL28+'Programmable Tstats - Tier 1'!BL28+'Programmable Tstats - Tier 2'!BL28+'Comm 95+% Furnace - NEW'!BL28+'Comm 95+% Furnace - Replace'!BL28+'Comm Custom'!BL28,0)</f>
        <v>43265</v>
      </c>
      <c r="BM28" s="87"/>
      <c r="BN28" s="16">
        <f>ROUND(+'Res .95+% Res Furnace - NEW'!BN28+'Res .95+% Res Furnace - Replace'!BN28+'Programmable Tstats - Tier 1'!BN28+'Programmable Tstats - Tier 2'!BN28+'Comm 95+% Furnace - NEW'!BN28+'Comm 95+% Furnace - Replace'!BN28+'Comm Custom'!BN28,0)</f>
        <v>21004</v>
      </c>
      <c r="BO28" s="16"/>
      <c r="BP28" s="46">
        <f t="shared" si="6"/>
        <v>64269</v>
      </c>
      <c r="BR28" s="16">
        <f>ROUND(+'Res .95+% Res Furnace - NEW'!BR28+'Res .95+% Res Furnace - Replace'!BR28+'Programmable Tstats - Tier 1'!BR28+'Programmable Tstats - Tier 2'!BR28+'Comm 95+% Furnace - NEW'!BR28+'Comm 95+% Furnace - Replace'!BR28+'Comm Custom'!BR28,0)</f>
        <v>0</v>
      </c>
      <c r="BS28" s="46"/>
      <c r="BT28" s="46">
        <f t="shared" si="16"/>
        <v>64269</v>
      </c>
      <c r="BW28" s="7">
        <f t="shared" si="17"/>
        <v>2039</v>
      </c>
      <c r="BX28" s="46">
        <f t="shared" si="18"/>
        <v>17888</v>
      </c>
      <c r="BY28" s="16">
        <f t="shared" si="23"/>
        <v>6989</v>
      </c>
      <c r="BZ28" s="116">
        <f t="shared" si="19"/>
        <v>4633</v>
      </c>
      <c r="CA28" s="46">
        <f t="shared" si="20"/>
        <v>29510</v>
      </c>
      <c r="CC28" s="46">
        <f t="shared" si="24"/>
        <v>0</v>
      </c>
      <c r="CD28" s="46">
        <f t="shared" si="24"/>
        <v>0</v>
      </c>
      <c r="CE28" s="46">
        <f t="shared" si="25"/>
        <v>0</v>
      </c>
      <c r="CF28" s="46"/>
      <c r="CG28" s="46">
        <f t="shared" si="21"/>
        <v>29510</v>
      </c>
    </row>
    <row r="29" spans="1:106">
      <c r="A29" s="3" t="s">
        <v>47</v>
      </c>
      <c r="C29" s="15"/>
      <c r="E29" s="3"/>
      <c r="F29" s="16"/>
      <c r="G29" s="16"/>
      <c r="H29" s="16"/>
      <c r="J29" s="2">
        <f t="shared" si="7"/>
        <v>15</v>
      </c>
      <c r="L29" s="7">
        <f t="shared" si="8"/>
        <v>2040</v>
      </c>
      <c r="M29" s="16">
        <f>ROUND(+'Res .95+% Res Furnace - NEW'!M29+'Res .95+% Res Furnace - Replace'!M29+'Programmable Tstats - Tier 1'!M29+'Programmable Tstats - Tier 2'!M29+'Comm 95+% Furnace - NEW'!M29+'Comm 95+% Furnace - Replace'!M29+'Comm Custom'!M29,0)</f>
        <v>3462</v>
      </c>
      <c r="N29" s="53"/>
      <c r="O29" s="16">
        <f>ROUND(+'Res .95+% Res Furnace - NEW'!O29+'Res .95+% Res Furnace - Replace'!O29+'Programmable Tstats - Tier 1'!O29+'Programmable Tstats - Tier 2'!O29+'Comm 95+% Furnace - NEW'!O29+'Comm 95+% Furnace - Replace'!O29+'Comm Custom'!O29,0)</f>
        <v>18425</v>
      </c>
      <c r="P29" s="53"/>
      <c r="Q29" s="16">
        <f>ROUND(+'Res .95+% Res Furnace - NEW'!Q29+'Res .95+% Res Furnace - Replace'!Q29+'Programmable Tstats - Tier 1'!Q29+'Programmable Tstats - Tier 2'!Q29+'Comm 95+% Furnace - NEW'!Q29+'Comm 95+% Furnace - Replace'!Q29+'Comm Custom'!Q29,0)</f>
        <v>0</v>
      </c>
      <c r="R29" s="16">
        <f>ROUND(+'Res .95+% Res Furnace - NEW'!R29+'Res .95+% Res Furnace - Replace'!R29+'Programmable Tstats - Tier 1'!R29+'Programmable Tstats - Tier 2'!R29+'Comm 95+% Furnace - NEW'!R29+'Comm 95+% Furnace - Replace'!R29+'Comm Custom'!R29,0)</f>
        <v>18425</v>
      </c>
      <c r="S29" s="252">
        <f>ROUND(+'Res .95+% Res Furnace - NEW'!S29+'Res .95+% Res Furnace - Replace'!S29+'Programmable Tstats - Tier 1'!S29+'Programmable Tstats - Tier 2'!S29+'Comm 95+% Furnace - NEW'!S29+'Comm 95+% Furnace - Replace'!S29+'Comm Custom'!S29,0)</f>
        <v>35</v>
      </c>
      <c r="T29" s="46"/>
      <c r="U29" s="16">
        <f>ROUND(+'Res .95+% Res Furnace - NEW'!U29+'Res .95+% Res Furnace - Replace'!U29+'Programmable Tstats - Tier 1'!U29+'Programmable Tstats - Tier 2'!U29+'Comm 95+% Furnace - NEW'!U29+'Comm 95+% Furnace - Replace'!U29+'Comm Custom'!U29,0)</f>
        <v>7058</v>
      </c>
      <c r="V29" s="16">
        <f>ROUND(+'Res .95+% Res Furnace - NEW'!V29+'Res .95+% Res Furnace - Replace'!V29+'Programmable Tstats - Tier 1'!V29+'Programmable Tstats - Tier 2'!V29+'Comm 95+% Furnace - NEW'!V29+'Comm 95+% Furnace - Replace'!V29+'Comm Custom'!V29,0)</f>
        <v>25483</v>
      </c>
      <c r="W29" s="45"/>
      <c r="X29" s="16">
        <f>ROUND(+'Res .95+% Res Furnace - NEW'!X29+'Res .95+% Res Furnace - Replace'!X29+'Programmable Tstats - Tier 1'!X29+'Programmable Tstats - Tier 2'!X29+'Comm 95+% Furnace - NEW'!X29+'Comm 95+% Furnace - Replace'!X29+'Comm Custom'!X29,0)</f>
        <v>10392</v>
      </c>
      <c r="Y29" s="16">
        <f>ROUND(+'Res .95+% Res Furnace - NEW'!Y29+'Res .95+% Res Furnace - Replace'!Y29+'Programmable Tstats - Tier 1'!Y29+'Programmable Tstats - Tier 2'!Y29+'Comm 95+% Furnace - NEW'!Y29+'Comm 95+% Furnace - Replace'!Y29+'Comm Custom'!Y29,0)</f>
        <v>0</v>
      </c>
      <c r="Z29" s="16">
        <f>ROUND(+'Res .95+% Res Furnace - NEW'!Z29+'Res .95+% Res Furnace - Replace'!Z29+'Programmable Tstats - Tier 1'!Z29+'Programmable Tstats - Tier 2'!Z29+'Comm 95+% Furnace - NEW'!Z29+'Comm 95+% Furnace - Replace'!Z29+'Comm Custom'!Z29,0)</f>
        <v>0</v>
      </c>
      <c r="AA29" s="16">
        <f>ROUND(+'Res .95+% Res Furnace - NEW'!AA29+'Res .95+% Res Furnace - Replace'!AA29+'Programmable Tstats - Tier 1'!AA29+'Programmable Tstats - Tier 2'!AA29+'Comm 95+% Furnace - NEW'!AA29+'Comm 95+% Furnace - Replace'!AA29+'Comm Custom'!AA29,0)</f>
        <v>10392</v>
      </c>
      <c r="AB29" s="16">
        <f>ROUND(+'Res .95+% Res Furnace - NEW'!AB29+'Res .95+% Res Furnace - Replace'!AB29+'Programmable Tstats - Tier 1'!AB29+'Programmable Tstats - Tier 2'!AB29+'Comm 95+% Furnace - NEW'!AB29+'Comm 95+% Furnace - Replace'!AB29+'Comm Custom'!AB29,0)</f>
        <v>15091</v>
      </c>
      <c r="AE29" s="7">
        <f t="shared" si="9"/>
        <v>2040</v>
      </c>
      <c r="AF29" s="46">
        <f t="shared" si="0"/>
        <v>18425</v>
      </c>
      <c r="AG29" s="16">
        <f t="shared" si="1"/>
        <v>7058</v>
      </c>
      <c r="AH29" s="46">
        <f t="shared" si="22"/>
        <v>25483</v>
      </c>
      <c r="AJ29" s="32">
        <f t="shared" si="10"/>
        <v>0</v>
      </c>
      <c r="AK29" s="32">
        <f t="shared" si="10"/>
        <v>0</v>
      </c>
      <c r="AL29" s="32">
        <f t="shared" si="2"/>
        <v>0</v>
      </c>
      <c r="AN29" s="77">
        <f t="shared" si="11"/>
        <v>25483</v>
      </c>
      <c r="AQ29" s="7">
        <f t="shared" si="12"/>
        <v>2040</v>
      </c>
      <c r="AR29" s="49">
        <f t="shared" si="3"/>
        <v>18425</v>
      </c>
      <c r="AS29" s="46">
        <f t="shared" si="4"/>
        <v>7058</v>
      </c>
      <c r="AT29" s="91"/>
      <c r="AU29" s="16">
        <f>ROUND(+'Res .95+% Res Furnace - NEW'!AU29+'Res .95+% Res Furnace - Replace'!AU29+'Programmable Tstats - Tier 1'!AU29+'Programmable Tstats - Tier 2'!AU29+'Comm 95+% Furnace - NEW'!AU29+'Comm 95+% Furnace - Replace'!AU29+'Comm Custom'!AU29,0)</f>
        <v>4736</v>
      </c>
      <c r="AV29" s="53"/>
      <c r="AW29" s="16">
        <f>ROUND(+'Res .95+% Res Furnace - NEW'!AW29+'Res .95+% Res Furnace - Replace'!AW29+'Programmable Tstats - Tier 1'!AW29+'Programmable Tstats - Tier 2'!AW29+'Comm 95+% Furnace - NEW'!AW29+'Comm 95+% Furnace - Replace'!AW29+'Comm Custom'!AW29,0)</f>
        <v>9216</v>
      </c>
      <c r="AX29" s="91"/>
      <c r="AY29" s="92"/>
      <c r="AZ29" s="49">
        <f t="shared" si="13"/>
        <v>39435</v>
      </c>
      <c r="BA29" s="17"/>
      <c r="BB29" s="16">
        <f>ROUND(+'Res .95+% Res Furnace - NEW'!BB29+'Res .95+% Res Furnace - Replace'!BB29+'Programmable Tstats - Tier 1'!BB29+'Programmable Tstats - Tier 2'!BB29+'Comm 95+% Furnace - NEW'!BB29+'Comm 95+% Furnace - Replace'!BB29+'Comm Custom'!BB29,0)</f>
        <v>0</v>
      </c>
      <c r="BC29" s="16">
        <f>ROUND(+'Res .95+% Res Furnace - NEW'!BC29+'Res .95+% Res Furnace - Replace'!BC29+'Programmable Tstats - Tier 1'!BC29+'Programmable Tstats - Tier 2'!BC29+'Comm 95+% Furnace - NEW'!BC29+'Comm 95+% Furnace - Replace'!BC29+'Comm Custom'!BC29,0)</f>
        <v>0</v>
      </c>
      <c r="BD29" s="47">
        <f t="shared" si="14"/>
        <v>0</v>
      </c>
      <c r="BE29" s="49">
        <f t="shared" si="5"/>
        <v>39435</v>
      </c>
      <c r="BH29" s="7">
        <f t="shared" si="15"/>
        <v>2040</v>
      </c>
      <c r="BI29" s="16">
        <f>ROUND(+'Res .95+% Res Furnace - NEW'!BI29+'Res .95+% Res Furnace - Replace'!BI29+'Programmable Tstats - Tier 1'!BI29+'Programmable Tstats - Tier 2'!BI29+'Comm 95+% Furnace - NEW'!BI29+'Comm 95+% Furnace - Replace'!BI29+'Comm Custom'!BI29,0)</f>
        <v>0</v>
      </c>
      <c r="BJ29" s="16">
        <f>ROUND(+'Res .95+% Res Furnace - NEW'!BJ29+'Res .95+% Res Furnace - Replace'!BJ29+'Programmable Tstats - Tier 1'!BJ29+'Programmable Tstats - Tier 2'!BJ29+'Comm 95+% Furnace - NEW'!BJ29+'Comm 95+% Furnace - Replace'!BJ29+'Comm Custom'!BJ29,0)</f>
        <v>3462</v>
      </c>
      <c r="BK29" s="87"/>
      <c r="BL29" s="16">
        <f>ROUND(+'Res .95+% Res Furnace - NEW'!BL29+'Res .95+% Res Furnace - Replace'!BL29+'Programmable Tstats - Tier 1'!BL29+'Programmable Tstats - Tier 2'!BL29+'Comm 95+% Furnace - NEW'!BL29+'Comm 95+% Furnace - Replace'!BL29+'Comm Custom'!BL29,0)</f>
        <v>44563</v>
      </c>
      <c r="BM29" s="87"/>
      <c r="BN29" s="16">
        <f>ROUND(+'Res .95+% Res Furnace - NEW'!BN29+'Res .95+% Res Furnace - Replace'!BN29+'Programmable Tstats - Tier 1'!BN29+'Programmable Tstats - Tier 2'!BN29+'Comm 95+% Furnace - NEW'!BN29+'Comm 95+% Furnace - Replace'!BN29+'Comm Custom'!BN29,0)</f>
        <v>21622</v>
      </c>
      <c r="BO29" s="16"/>
      <c r="BP29" s="46">
        <f t="shared" si="6"/>
        <v>66185</v>
      </c>
      <c r="BR29" s="16">
        <f>ROUND(+'Res .95+% Res Furnace - NEW'!BR29+'Res .95+% Res Furnace - Replace'!BR29+'Programmable Tstats - Tier 1'!BR29+'Programmable Tstats - Tier 2'!BR29+'Comm 95+% Furnace - NEW'!BR29+'Comm 95+% Furnace - Replace'!BR29+'Comm Custom'!BR29,0)</f>
        <v>0</v>
      </c>
      <c r="BS29" s="46"/>
      <c r="BT29" s="46">
        <f t="shared" si="16"/>
        <v>66185</v>
      </c>
      <c r="BW29" s="7">
        <f t="shared" si="17"/>
        <v>2040</v>
      </c>
      <c r="BX29" s="46">
        <f t="shared" si="18"/>
        <v>18425</v>
      </c>
      <c r="BY29" s="16">
        <f t="shared" si="23"/>
        <v>7058</v>
      </c>
      <c r="BZ29" s="116">
        <f t="shared" si="19"/>
        <v>4736</v>
      </c>
      <c r="CA29" s="46">
        <f t="shared" si="20"/>
        <v>30219</v>
      </c>
      <c r="CC29" s="46">
        <f t="shared" si="24"/>
        <v>0</v>
      </c>
      <c r="CD29" s="46">
        <f t="shared" si="24"/>
        <v>0</v>
      </c>
      <c r="CE29" s="46">
        <f t="shared" si="25"/>
        <v>0</v>
      </c>
      <c r="CF29" s="46"/>
      <c r="CG29" s="46">
        <f t="shared" si="21"/>
        <v>30219</v>
      </c>
    </row>
    <row r="30" spans="1:106">
      <c r="E30" s="3" t="s">
        <v>73</v>
      </c>
      <c r="F30" s="254">
        <f>+'Res .95+% Res Furnace - NEW'!F30+'Res .95+% Res Furnace - Replace'!F30+'Programmable Tstats - Tier 1'!F30+'Programmable Tstats - Tier 2'!F30+'Comm 95+% Furnace - NEW'!F30+'Comm 95+% Furnace - Replace'!F30+'Comm Custom'!F30</f>
        <v>356</v>
      </c>
      <c r="G30" s="254"/>
      <c r="H30" s="254"/>
      <c r="J30" s="2">
        <f t="shared" si="7"/>
        <v>16</v>
      </c>
      <c r="L30" s="7">
        <f t="shared" si="8"/>
        <v>2041</v>
      </c>
      <c r="M30" s="16">
        <f>ROUND(+'Res .95+% Res Furnace - NEW'!M30+'Res .95+% Res Furnace - Replace'!M30+'Programmable Tstats - Tier 1'!M30+'Programmable Tstats - Tier 2'!M30+'Comm 95+% Furnace - NEW'!M30+'Comm 95+% Furnace - Replace'!M30+'Comm Custom'!M30,0)</f>
        <v>3462</v>
      </c>
      <c r="N30" s="53"/>
      <c r="O30" s="16">
        <f>ROUND(+'Res .95+% Res Furnace - NEW'!O30+'Res .95+% Res Furnace - Replace'!O30+'Programmable Tstats - Tier 1'!O30+'Programmable Tstats - Tier 2'!O30+'Comm 95+% Furnace - NEW'!O30+'Comm 95+% Furnace - Replace'!O30+'Comm Custom'!O30,0)</f>
        <v>18978</v>
      </c>
      <c r="P30" s="53"/>
      <c r="Q30" s="16">
        <f>ROUND(+'Res .95+% Res Furnace - NEW'!Q30+'Res .95+% Res Furnace - Replace'!Q30+'Programmable Tstats - Tier 1'!Q30+'Programmable Tstats - Tier 2'!Q30+'Comm 95+% Furnace - NEW'!Q30+'Comm 95+% Furnace - Replace'!Q30+'Comm Custom'!Q30,0)</f>
        <v>0</v>
      </c>
      <c r="R30" s="16">
        <f>ROUND(+'Res .95+% Res Furnace - NEW'!R30+'Res .95+% Res Furnace - Replace'!R30+'Programmable Tstats - Tier 1'!R30+'Programmable Tstats - Tier 2'!R30+'Comm 95+% Furnace - NEW'!R30+'Comm 95+% Furnace - Replace'!R30+'Comm Custom'!R30,0)</f>
        <v>18978</v>
      </c>
      <c r="S30" s="252">
        <f>ROUND(+'Res .95+% Res Furnace - NEW'!S30+'Res .95+% Res Furnace - Replace'!S30+'Programmable Tstats - Tier 1'!S30+'Programmable Tstats - Tier 2'!S30+'Comm 95+% Furnace - NEW'!S30+'Comm 95+% Furnace - Replace'!S30+'Comm Custom'!S30,0)</f>
        <v>35</v>
      </c>
      <c r="T30" s="46"/>
      <c r="U30" s="16">
        <f>ROUND(+'Res .95+% Res Furnace - NEW'!U30+'Res .95+% Res Furnace - Replace'!U30+'Programmable Tstats - Tier 1'!U30+'Programmable Tstats - Tier 2'!U30+'Comm 95+% Furnace - NEW'!U30+'Comm 95+% Furnace - Replace'!U30+'Comm Custom'!U30,0)</f>
        <v>7128</v>
      </c>
      <c r="V30" s="16">
        <f>ROUND(+'Res .95+% Res Furnace - NEW'!V30+'Res .95+% Res Furnace - Replace'!V30+'Programmable Tstats - Tier 1'!V30+'Programmable Tstats - Tier 2'!V30+'Comm 95+% Furnace - NEW'!V30+'Comm 95+% Furnace - Replace'!V30+'Comm Custom'!V30,0)</f>
        <v>26106</v>
      </c>
      <c r="W30" s="45"/>
      <c r="X30" s="16">
        <f>ROUND(+'Res .95+% Res Furnace - NEW'!X30+'Res .95+% Res Furnace - Replace'!X30+'Programmable Tstats - Tier 1'!X30+'Programmable Tstats - Tier 2'!X30+'Comm 95+% Furnace - NEW'!X30+'Comm 95+% Furnace - Replace'!X30+'Comm Custom'!X30,0)</f>
        <v>10704</v>
      </c>
      <c r="Y30" s="16">
        <f>ROUND(+'Res .95+% Res Furnace - NEW'!Y30+'Res .95+% Res Furnace - Replace'!Y30+'Programmable Tstats - Tier 1'!Y30+'Programmable Tstats - Tier 2'!Y30+'Comm 95+% Furnace - NEW'!Y30+'Comm 95+% Furnace - Replace'!Y30+'Comm Custom'!Y30,0)</f>
        <v>0</v>
      </c>
      <c r="Z30" s="16">
        <f>ROUND(+'Res .95+% Res Furnace - NEW'!Z30+'Res .95+% Res Furnace - Replace'!Z30+'Programmable Tstats - Tier 1'!Z30+'Programmable Tstats - Tier 2'!Z30+'Comm 95+% Furnace - NEW'!Z30+'Comm 95+% Furnace - Replace'!Z30+'Comm Custom'!Z30,0)</f>
        <v>0</v>
      </c>
      <c r="AA30" s="16">
        <f>ROUND(+'Res .95+% Res Furnace - NEW'!AA30+'Res .95+% Res Furnace - Replace'!AA30+'Programmable Tstats - Tier 1'!AA30+'Programmable Tstats - Tier 2'!AA30+'Comm 95+% Furnace - NEW'!AA30+'Comm 95+% Furnace - Replace'!AA30+'Comm Custom'!AA30,0)</f>
        <v>10704</v>
      </c>
      <c r="AB30" s="16">
        <f>ROUND(+'Res .95+% Res Furnace - NEW'!AB30+'Res .95+% Res Furnace - Replace'!AB30+'Programmable Tstats - Tier 1'!AB30+'Programmable Tstats - Tier 2'!AB30+'Comm 95+% Furnace - NEW'!AB30+'Comm 95+% Furnace - Replace'!AB30+'Comm Custom'!AB30,0)</f>
        <v>15402</v>
      </c>
      <c r="AE30" s="7">
        <f t="shared" si="9"/>
        <v>2041</v>
      </c>
      <c r="AF30" s="46">
        <f t="shared" si="0"/>
        <v>18978</v>
      </c>
      <c r="AG30" s="16">
        <f t="shared" si="1"/>
        <v>7128</v>
      </c>
      <c r="AH30" s="46">
        <f t="shared" si="22"/>
        <v>26106</v>
      </c>
      <c r="AJ30" s="32">
        <f t="shared" si="10"/>
        <v>0</v>
      </c>
      <c r="AK30" s="32">
        <f t="shared" si="10"/>
        <v>0</v>
      </c>
      <c r="AL30" s="32">
        <f t="shared" si="2"/>
        <v>0</v>
      </c>
      <c r="AN30" s="77">
        <f t="shared" si="11"/>
        <v>26106</v>
      </c>
      <c r="AQ30" s="7">
        <f t="shared" si="12"/>
        <v>2041</v>
      </c>
      <c r="AR30" s="49">
        <f t="shared" si="3"/>
        <v>18978</v>
      </c>
      <c r="AS30" s="46">
        <f t="shared" si="4"/>
        <v>7128</v>
      </c>
      <c r="AT30" s="91"/>
      <c r="AU30" s="16">
        <f>ROUND(+'Res .95+% Res Furnace - NEW'!AU30+'Res .95+% Res Furnace - Replace'!AU30+'Programmable Tstats - Tier 1'!AU30+'Programmable Tstats - Tier 2'!AU30+'Comm 95+% Furnace - NEW'!AU30+'Comm 95+% Furnace - Replace'!AU30+'Comm Custom'!AU30,0)</f>
        <v>4839</v>
      </c>
      <c r="AV30" s="53"/>
      <c r="AW30" s="16">
        <f>ROUND(+'Res .95+% Res Furnace - NEW'!AW30+'Res .95+% Res Furnace - Replace'!AW30+'Programmable Tstats - Tier 1'!AW30+'Programmable Tstats - Tier 2'!AW30+'Comm 95+% Furnace - NEW'!AW30+'Comm 95+% Furnace - Replace'!AW30+'Comm Custom'!AW30,0)</f>
        <v>9372</v>
      </c>
      <c r="AX30" s="91"/>
      <c r="AY30" s="92"/>
      <c r="AZ30" s="49">
        <f t="shared" si="13"/>
        <v>40317</v>
      </c>
      <c r="BA30" s="17"/>
      <c r="BB30" s="16">
        <f>ROUND(+'Res .95+% Res Furnace - NEW'!BB30+'Res .95+% Res Furnace - Replace'!BB30+'Programmable Tstats - Tier 1'!BB30+'Programmable Tstats - Tier 2'!BB30+'Comm 95+% Furnace - NEW'!BB30+'Comm 95+% Furnace - Replace'!BB30+'Comm Custom'!BB30,0)</f>
        <v>0</v>
      </c>
      <c r="BC30" s="16">
        <f>ROUND(+'Res .95+% Res Furnace - NEW'!BC30+'Res .95+% Res Furnace - Replace'!BC30+'Programmable Tstats - Tier 1'!BC30+'Programmable Tstats - Tier 2'!BC30+'Comm 95+% Furnace - NEW'!BC30+'Comm 95+% Furnace - Replace'!BC30+'Comm Custom'!BC30,0)</f>
        <v>0</v>
      </c>
      <c r="BD30" s="47">
        <f t="shared" si="14"/>
        <v>0</v>
      </c>
      <c r="BE30" s="49">
        <f t="shared" si="5"/>
        <v>40317</v>
      </c>
      <c r="BH30" s="7">
        <f t="shared" si="15"/>
        <v>2041</v>
      </c>
      <c r="BI30" s="16">
        <f>ROUND(+'Res .95+% Res Furnace - NEW'!BI30+'Res .95+% Res Furnace - Replace'!BI30+'Programmable Tstats - Tier 1'!BI30+'Programmable Tstats - Tier 2'!BI30+'Comm 95+% Furnace - NEW'!BI30+'Comm 95+% Furnace - Replace'!BI30+'Comm Custom'!BI30,0)</f>
        <v>0</v>
      </c>
      <c r="BJ30" s="16">
        <f>ROUND(+'Res .95+% Res Furnace - NEW'!BJ30+'Res .95+% Res Furnace - Replace'!BJ30+'Programmable Tstats - Tier 1'!BJ30+'Programmable Tstats - Tier 2'!BJ30+'Comm 95+% Furnace - NEW'!BJ30+'Comm 95+% Furnace - Replace'!BJ30+'Comm Custom'!BJ30,0)</f>
        <v>3462</v>
      </c>
      <c r="BK30" s="87"/>
      <c r="BL30" s="16">
        <f>ROUND(+'Res .95+% Res Furnace - NEW'!BL30+'Res .95+% Res Furnace - Replace'!BL30+'Programmable Tstats - Tier 1'!BL30+'Programmable Tstats - Tier 2'!BL30+'Comm 95+% Furnace - NEW'!BL30+'Comm 95+% Furnace - Replace'!BL30+'Comm Custom'!BL30,0)</f>
        <v>45897</v>
      </c>
      <c r="BM30" s="87"/>
      <c r="BN30" s="16">
        <f>ROUND(+'Res .95+% Res Furnace - NEW'!BN30+'Res .95+% Res Furnace - Replace'!BN30+'Programmable Tstats - Tier 1'!BN30+'Programmable Tstats - Tier 2'!BN30+'Comm 95+% Furnace - NEW'!BN30+'Comm 95+% Furnace - Replace'!BN30+'Comm Custom'!BN30,0)</f>
        <v>22342</v>
      </c>
      <c r="BO30" s="16"/>
      <c r="BP30" s="46">
        <f t="shared" si="6"/>
        <v>68239</v>
      </c>
      <c r="BR30" s="16">
        <f>ROUND(+'Res .95+% Res Furnace - NEW'!BR30+'Res .95+% Res Furnace - Replace'!BR30+'Programmable Tstats - Tier 1'!BR30+'Programmable Tstats - Tier 2'!BR30+'Comm 95+% Furnace - NEW'!BR30+'Comm 95+% Furnace - Replace'!BR30+'Comm Custom'!BR30,0)</f>
        <v>0</v>
      </c>
      <c r="BS30" s="46"/>
      <c r="BT30" s="46">
        <f t="shared" si="16"/>
        <v>68239</v>
      </c>
      <c r="BW30" s="7">
        <f t="shared" si="17"/>
        <v>2041</v>
      </c>
      <c r="BX30" s="46">
        <f t="shared" si="18"/>
        <v>18978</v>
      </c>
      <c r="BY30" s="16">
        <f t="shared" si="23"/>
        <v>7128</v>
      </c>
      <c r="BZ30" s="116">
        <f t="shared" si="19"/>
        <v>4839</v>
      </c>
      <c r="CA30" s="46">
        <f t="shared" si="20"/>
        <v>30945</v>
      </c>
      <c r="CC30" s="46">
        <f t="shared" si="24"/>
        <v>0</v>
      </c>
      <c r="CD30" s="46">
        <f t="shared" si="24"/>
        <v>0</v>
      </c>
      <c r="CE30" s="46">
        <f t="shared" si="25"/>
        <v>0</v>
      </c>
      <c r="CF30" s="46"/>
      <c r="CG30" s="46">
        <f t="shared" si="21"/>
        <v>30945</v>
      </c>
    </row>
    <row r="31" spans="1:106">
      <c r="A31" s="2" t="s">
        <v>74</v>
      </c>
      <c r="C31" s="13"/>
      <c r="F31" s="16"/>
      <c r="G31" s="16"/>
      <c r="H31" s="16"/>
      <c r="J31" s="2">
        <f t="shared" si="7"/>
        <v>17</v>
      </c>
      <c r="L31" s="7">
        <f t="shared" si="8"/>
        <v>2042</v>
      </c>
      <c r="M31" s="16">
        <f>ROUND(+'Res .95+% Res Furnace - NEW'!M31+'Res .95+% Res Furnace - Replace'!M31+'Programmable Tstats - Tier 1'!M31+'Programmable Tstats - Tier 2'!M31+'Comm 95+% Furnace - NEW'!M31+'Comm 95+% Furnace - Replace'!M31+'Comm Custom'!M31,0)</f>
        <v>3462</v>
      </c>
      <c r="N31" s="53"/>
      <c r="O31" s="16">
        <f>ROUND(+'Res .95+% Res Furnace - NEW'!O31+'Res .95+% Res Furnace - Replace'!O31+'Programmable Tstats - Tier 1'!O31+'Programmable Tstats - Tier 2'!O31+'Comm 95+% Furnace - NEW'!O31+'Comm 95+% Furnace - Replace'!O31+'Comm Custom'!O31,0)</f>
        <v>19546</v>
      </c>
      <c r="P31" s="53"/>
      <c r="Q31" s="16">
        <f>ROUND(+'Res .95+% Res Furnace - NEW'!Q31+'Res .95+% Res Furnace - Replace'!Q31+'Programmable Tstats - Tier 1'!Q31+'Programmable Tstats - Tier 2'!Q31+'Comm 95+% Furnace - NEW'!Q31+'Comm 95+% Furnace - Replace'!Q31+'Comm Custom'!Q31,0)</f>
        <v>0</v>
      </c>
      <c r="R31" s="16">
        <f>ROUND(+'Res .95+% Res Furnace - NEW'!R31+'Res .95+% Res Furnace - Replace'!R31+'Programmable Tstats - Tier 1'!R31+'Programmable Tstats - Tier 2'!R31+'Comm 95+% Furnace - NEW'!R31+'Comm 95+% Furnace - Replace'!R31+'Comm Custom'!R31,0)</f>
        <v>19546</v>
      </c>
      <c r="S31" s="252">
        <f>ROUND(+'Res .95+% Res Furnace - NEW'!S31+'Res .95+% Res Furnace - Replace'!S31+'Programmable Tstats - Tier 1'!S31+'Programmable Tstats - Tier 2'!S31+'Comm 95+% Furnace - NEW'!S31+'Comm 95+% Furnace - Replace'!S31+'Comm Custom'!S31,0)</f>
        <v>35</v>
      </c>
      <c r="T31" s="46"/>
      <c r="U31" s="16">
        <f>ROUND(+'Res .95+% Res Furnace - NEW'!U31+'Res .95+% Res Furnace - Replace'!U31+'Programmable Tstats - Tier 1'!U31+'Programmable Tstats - Tier 2'!U31+'Comm 95+% Furnace - NEW'!U31+'Comm 95+% Furnace - Replace'!U31+'Comm Custom'!U31,0)</f>
        <v>7197</v>
      </c>
      <c r="V31" s="16">
        <f>ROUND(+'Res .95+% Res Furnace - NEW'!V31+'Res .95+% Res Furnace - Replace'!V31+'Programmable Tstats - Tier 1'!V31+'Programmable Tstats - Tier 2'!V31+'Comm 95+% Furnace - NEW'!V31+'Comm 95+% Furnace - Replace'!V31+'Comm Custom'!V31,0)</f>
        <v>26743</v>
      </c>
      <c r="W31" s="45"/>
      <c r="X31" s="16">
        <f>ROUND(+'Res .95+% Res Furnace - NEW'!X31+'Res .95+% Res Furnace - Replace'!X31+'Programmable Tstats - Tier 1'!X31+'Programmable Tstats - Tier 2'!X31+'Comm 95+% Furnace - NEW'!X31+'Comm 95+% Furnace - Replace'!X31+'Comm Custom'!X31,0)</f>
        <v>11025</v>
      </c>
      <c r="Y31" s="16">
        <f>ROUND(+'Res .95+% Res Furnace - NEW'!Y31+'Res .95+% Res Furnace - Replace'!Y31+'Programmable Tstats - Tier 1'!Y31+'Programmable Tstats - Tier 2'!Y31+'Comm 95+% Furnace - NEW'!Y31+'Comm 95+% Furnace - Replace'!Y31+'Comm Custom'!Y31,0)</f>
        <v>0</v>
      </c>
      <c r="Z31" s="16">
        <f>ROUND(+'Res .95+% Res Furnace - NEW'!Z31+'Res .95+% Res Furnace - Replace'!Z31+'Programmable Tstats - Tier 1'!Z31+'Programmable Tstats - Tier 2'!Z31+'Comm 95+% Furnace - NEW'!Z31+'Comm 95+% Furnace - Replace'!Z31+'Comm Custom'!Z31,0)</f>
        <v>0</v>
      </c>
      <c r="AA31" s="16">
        <f>ROUND(+'Res .95+% Res Furnace - NEW'!AA31+'Res .95+% Res Furnace - Replace'!AA31+'Programmable Tstats - Tier 1'!AA31+'Programmable Tstats - Tier 2'!AA31+'Comm 95+% Furnace - NEW'!AA31+'Comm 95+% Furnace - Replace'!AA31+'Comm Custom'!AA31,0)</f>
        <v>11025</v>
      </c>
      <c r="AB31" s="16">
        <f>ROUND(+'Res .95+% Res Furnace - NEW'!AB31+'Res .95+% Res Furnace - Replace'!AB31+'Programmable Tstats - Tier 1'!AB31+'Programmable Tstats - Tier 2'!AB31+'Comm 95+% Furnace - NEW'!AB31+'Comm 95+% Furnace - Replace'!AB31+'Comm Custom'!AB31,0)</f>
        <v>15718</v>
      </c>
      <c r="AE31" s="7">
        <f t="shared" si="9"/>
        <v>2042</v>
      </c>
      <c r="AF31" s="46">
        <f t="shared" si="0"/>
        <v>19546</v>
      </c>
      <c r="AG31" s="16">
        <f t="shared" si="1"/>
        <v>7197</v>
      </c>
      <c r="AH31" s="46">
        <f t="shared" si="22"/>
        <v>26743</v>
      </c>
      <c r="AJ31" s="32">
        <f t="shared" si="10"/>
        <v>0</v>
      </c>
      <c r="AK31" s="32">
        <f t="shared" si="10"/>
        <v>0</v>
      </c>
      <c r="AL31" s="32">
        <f t="shared" si="2"/>
        <v>0</v>
      </c>
      <c r="AN31" s="77">
        <f t="shared" si="11"/>
        <v>26743</v>
      </c>
      <c r="AQ31" s="7">
        <f t="shared" si="12"/>
        <v>2042</v>
      </c>
      <c r="AR31" s="49">
        <f t="shared" si="3"/>
        <v>19546</v>
      </c>
      <c r="AS31" s="46">
        <f t="shared" si="4"/>
        <v>7197</v>
      </c>
      <c r="AT31" s="91"/>
      <c r="AU31" s="16">
        <f>ROUND(+'Res .95+% Res Furnace - NEW'!AU31+'Res .95+% Res Furnace - Replace'!AU31+'Programmable Tstats - Tier 1'!AU31+'Programmable Tstats - Tier 2'!AU31+'Comm 95+% Furnace - NEW'!AU31+'Comm 95+% Furnace - Replace'!AU31+'Comm Custom'!AU31,0)</f>
        <v>5045</v>
      </c>
      <c r="AV31" s="53"/>
      <c r="AW31" s="16">
        <f>ROUND(+'Res .95+% Res Furnace - NEW'!AW31+'Res .95+% Res Furnace - Replace'!AW31+'Programmable Tstats - Tier 1'!AW31+'Programmable Tstats - Tier 2'!AW31+'Comm 95+% Furnace - NEW'!AW31+'Comm 95+% Furnace - Replace'!AW31+'Comm Custom'!AW31,0)</f>
        <v>9528</v>
      </c>
      <c r="AX31" s="91"/>
      <c r="AY31" s="92"/>
      <c r="AZ31" s="49">
        <f t="shared" si="13"/>
        <v>41316</v>
      </c>
      <c r="BA31" s="17"/>
      <c r="BB31" s="16">
        <f>ROUND(+'Res .95+% Res Furnace - NEW'!BB31+'Res .95+% Res Furnace - Replace'!BB31+'Programmable Tstats - Tier 1'!BB31+'Programmable Tstats - Tier 2'!BB31+'Comm 95+% Furnace - NEW'!BB31+'Comm 95+% Furnace - Replace'!BB31+'Comm Custom'!BB31,0)</f>
        <v>0</v>
      </c>
      <c r="BC31" s="16">
        <f>ROUND(+'Res .95+% Res Furnace - NEW'!BC31+'Res .95+% Res Furnace - Replace'!BC31+'Programmable Tstats - Tier 1'!BC31+'Programmable Tstats - Tier 2'!BC31+'Comm 95+% Furnace - NEW'!BC31+'Comm 95+% Furnace - Replace'!BC31+'Comm Custom'!BC31,0)</f>
        <v>0</v>
      </c>
      <c r="BD31" s="47">
        <f t="shared" si="14"/>
        <v>0</v>
      </c>
      <c r="BE31" s="49">
        <f t="shared" si="5"/>
        <v>41316</v>
      </c>
      <c r="BH31" s="7">
        <f t="shared" si="15"/>
        <v>2042</v>
      </c>
      <c r="BI31" s="16">
        <f>ROUND(+'Res .95+% Res Furnace - NEW'!BI31+'Res .95+% Res Furnace - Replace'!BI31+'Programmable Tstats - Tier 1'!BI31+'Programmable Tstats - Tier 2'!BI31+'Comm 95+% Furnace - NEW'!BI31+'Comm 95+% Furnace - Replace'!BI31+'Comm Custom'!BI31,0)</f>
        <v>0</v>
      </c>
      <c r="BJ31" s="16">
        <f>ROUND(+'Res .95+% Res Furnace - NEW'!BJ31+'Res .95+% Res Furnace - Replace'!BJ31+'Programmable Tstats - Tier 1'!BJ31+'Programmable Tstats - Tier 2'!BJ31+'Comm 95+% Furnace - NEW'!BJ31+'Comm 95+% Furnace - Replace'!BJ31+'Comm Custom'!BJ31,0)</f>
        <v>3462</v>
      </c>
      <c r="BK31" s="87"/>
      <c r="BL31" s="16">
        <f>ROUND(+'Res .95+% Res Furnace - NEW'!BL31+'Res .95+% Res Furnace - Replace'!BL31+'Programmable Tstats - Tier 1'!BL31+'Programmable Tstats - Tier 2'!BL31+'Comm 95+% Furnace - NEW'!BL31+'Comm 95+% Furnace - Replace'!BL31+'Comm Custom'!BL31,0)</f>
        <v>47276</v>
      </c>
      <c r="BM31" s="87"/>
      <c r="BN31" s="16">
        <f>ROUND(+'Res .95+% Res Furnace - NEW'!BN31+'Res .95+% Res Furnace - Replace'!BN31+'Programmable Tstats - Tier 1'!BN31+'Programmable Tstats - Tier 2'!BN31+'Comm 95+% Furnace - NEW'!BN31+'Comm 95+% Furnace - Replace'!BN31+'Comm Custom'!BN31,0)</f>
        <v>22960</v>
      </c>
      <c r="BO31" s="16"/>
      <c r="BP31" s="46">
        <f t="shared" si="6"/>
        <v>70236</v>
      </c>
      <c r="BR31" s="16">
        <f>ROUND(+'Res .95+% Res Furnace - NEW'!BR31+'Res .95+% Res Furnace - Replace'!BR31+'Programmable Tstats - Tier 1'!BR31+'Programmable Tstats - Tier 2'!BR31+'Comm 95+% Furnace - NEW'!BR31+'Comm 95+% Furnace - Replace'!BR31+'Comm Custom'!BR31,0)</f>
        <v>0</v>
      </c>
      <c r="BS31" s="46"/>
      <c r="BT31" s="46">
        <f t="shared" si="16"/>
        <v>70236</v>
      </c>
      <c r="BW31" s="7">
        <f t="shared" si="17"/>
        <v>2042</v>
      </c>
      <c r="BX31" s="46">
        <f t="shared" si="18"/>
        <v>19546</v>
      </c>
      <c r="BY31" s="16">
        <f t="shared" si="23"/>
        <v>7197</v>
      </c>
      <c r="BZ31" s="116">
        <f t="shared" si="19"/>
        <v>5045</v>
      </c>
      <c r="CA31" s="46">
        <f t="shared" si="20"/>
        <v>31788</v>
      </c>
      <c r="CC31" s="46">
        <f t="shared" si="24"/>
        <v>0</v>
      </c>
      <c r="CD31" s="46">
        <f t="shared" si="24"/>
        <v>0</v>
      </c>
      <c r="CE31" s="46">
        <f t="shared" si="25"/>
        <v>0</v>
      </c>
      <c r="CF31" s="46"/>
      <c r="CG31" s="46">
        <f t="shared" si="21"/>
        <v>31788</v>
      </c>
    </row>
    <row r="32" spans="1:106">
      <c r="E32" s="48" t="s">
        <v>103</v>
      </c>
      <c r="F32" s="255">
        <f>+'Res .95+% Res Furnace - NEW'!F32+'Res .95+% Res Furnace - Replace'!F32+'Programmable Tstats - Tier 1'!F32+'Programmable Tstats - Tier 2'!F32+'Comm 95+% Furnace - NEW'!F32+'Comm 95+% Furnace - Replace'!F32+'Comm Custom'!F32</f>
        <v>4322</v>
      </c>
      <c r="G32" s="255"/>
      <c r="H32" s="255"/>
      <c r="J32" s="2">
        <f t="shared" si="7"/>
        <v>18</v>
      </c>
      <c r="L32" s="7">
        <f t="shared" si="8"/>
        <v>2043</v>
      </c>
      <c r="M32" s="16">
        <f>ROUND(+'Res .95+% Res Furnace - NEW'!M32+'Res .95+% Res Furnace - Replace'!M32+'Programmable Tstats - Tier 1'!M32+'Programmable Tstats - Tier 2'!M32+'Comm 95+% Furnace - NEW'!M32+'Comm 95+% Furnace - Replace'!M32+'Comm Custom'!M32,0)</f>
        <v>3462</v>
      </c>
      <c r="N32" s="53"/>
      <c r="O32" s="16">
        <f>ROUND(+'Res .95+% Res Furnace - NEW'!O32+'Res .95+% Res Furnace - Replace'!O32+'Programmable Tstats - Tier 1'!O32+'Programmable Tstats - Tier 2'!O32+'Comm 95+% Furnace - NEW'!O32+'Comm 95+% Furnace - Replace'!O32+'Comm Custom'!O32,0)</f>
        <v>20135</v>
      </c>
      <c r="P32" s="53"/>
      <c r="Q32" s="16">
        <f>ROUND(+'Res .95+% Res Furnace - NEW'!Q32+'Res .95+% Res Furnace - Replace'!Q32+'Programmable Tstats - Tier 1'!Q32+'Programmable Tstats - Tier 2'!Q32+'Comm 95+% Furnace - NEW'!Q32+'Comm 95+% Furnace - Replace'!Q32+'Comm Custom'!Q32,0)</f>
        <v>0</v>
      </c>
      <c r="R32" s="16">
        <f>ROUND(+'Res .95+% Res Furnace - NEW'!R32+'Res .95+% Res Furnace - Replace'!R32+'Programmable Tstats - Tier 1'!R32+'Programmable Tstats - Tier 2'!R32+'Comm 95+% Furnace - NEW'!R32+'Comm 95+% Furnace - Replace'!R32+'Comm Custom'!R32,0)</f>
        <v>20135</v>
      </c>
      <c r="S32" s="252">
        <f>ROUND(+'Res .95+% Res Furnace - NEW'!S32+'Res .95+% Res Furnace - Replace'!S32+'Programmable Tstats - Tier 1'!S32+'Programmable Tstats - Tier 2'!S32+'Comm 95+% Furnace - NEW'!S32+'Comm 95+% Furnace - Replace'!S32+'Comm Custom'!S32,0)</f>
        <v>35</v>
      </c>
      <c r="T32" s="46"/>
      <c r="U32" s="16">
        <f>ROUND(+'Res .95+% Res Furnace - NEW'!U32+'Res .95+% Res Furnace - Replace'!U32+'Programmable Tstats - Tier 1'!U32+'Programmable Tstats - Tier 2'!U32+'Comm 95+% Furnace - NEW'!U32+'Comm 95+% Furnace - Replace'!U32+'Comm Custom'!U32,0)</f>
        <v>7266</v>
      </c>
      <c r="V32" s="16">
        <f>ROUND(+'Res .95+% Res Furnace - NEW'!V32+'Res .95+% Res Furnace - Replace'!V32+'Programmable Tstats - Tier 1'!V32+'Programmable Tstats - Tier 2'!V32+'Comm 95+% Furnace - NEW'!V32+'Comm 95+% Furnace - Replace'!V32+'Comm Custom'!V32,0)</f>
        <v>27401</v>
      </c>
      <c r="W32" s="45"/>
      <c r="X32" s="16">
        <f>ROUND(+'Res .95+% Res Furnace - NEW'!X32+'Res .95+% Res Furnace - Replace'!X32+'Programmable Tstats - Tier 1'!X32+'Programmable Tstats - Tier 2'!X32+'Comm 95+% Furnace - NEW'!X32+'Comm 95+% Furnace - Replace'!X32+'Comm Custom'!X32,0)</f>
        <v>11356</v>
      </c>
      <c r="Y32" s="16">
        <f>ROUND(+'Res .95+% Res Furnace - NEW'!Y32+'Res .95+% Res Furnace - Replace'!Y32+'Programmable Tstats - Tier 1'!Y32+'Programmable Tstats - Tier 2'!Y32+'Comm 95+% Furnace - NEW'!Y32+'Comm 95+% Furnace - Replace'!Y32+'Comm Custom'!Y32,0)</f>
        <v>0</v>
      </c>
      <c r="Z32" s="16">
        <f>ROUND(+'Res .95+% Res Furnace - NEW'!Z32+'Res .95+% Res Furnace - Replace'!Z32+'Programmable Tstats - Tier 1'!Z32+'Programmable Tstats - Tier 2'!Z32+'Comm 95+% Furnace - NEW'!Z32+'Comm 95+% Furnace - Replace'!Z32+'Comm Custom'!Z32,0)</f>
        <v>0</v>
      </c>
      <c r="AA32" s="16">
        <f>ROUND(+'Res .95+% Res Furnace - NEW'!AA32+'Res .95+% Res Furnace - Replace'!AA32+'Programmable Tstats - Tier 1'!AA32+'Programmable Tstats - Tier 2'!AA32+'Comm 95+% Furnace - NEW'!AA32+'Comm 95+% Furnace - Replace'!AA32+'Comm Custom'!AA32,0)</f>
        <v>11356</v>
      </c>
      <c r="AB32" s="16">
        <f>ROUND(+'Res .95+% Res Furnace - NEW'!AB32+'Res .95+% Res Furnace - Replace'!AB32+'Programmable Tstats - Tier 1'!AB32+'Programmable Tstats - Tier 2'!AB32+'Comm 95+% Furnace - NEW'!AB32+'Comm 95+% Furnace - Replace'!AB32+'Comm Custom'!AB32,0)</f>
        <v>16045</v>
      </c>
      <c r="AE32" s="7">
        <f t="shared" si="9"/>
        <v>2043</v>
      </c>
      <c r="AF32" s="46">
        <f t="shared" si="0"/>
        <v>20135</v>
      </c>
      <c r="AG32" s="16">
        <f t="shared" si="1"/>
        <v>7266</v>
      </c>
      <c r="AH32" s="46">
        <f t="shared" si="22"/>
        <v>27401</v>
      </c>
      <c r="AJ32" s="32">
        <f t="shared" si="10"/>
        <v>0</v>
      </c>
      <c r="AK32" s="32">
        <f t="shared" si="10"/>
        <v>0</v>
      </c>
      <c r="AL32" s="32">
        <f t="shared" si="2"/>
        <v>0</v>
      </c>
      <c r="AN32" s="77">
        <f t="shared" si="11"/>
        <v>27401</v>
      </c>
      <c r="AQ32" s="7">
        <f t="shared" si="12"/>
        <v>2043</v>
      </c>
      <c r="AR32" s="49">
        <f t="shared" si="3"/>
        <v>20135</v>
      </c>
      <c r="AS32" s="46">
        <f t="shared" si="4"/>
        <v>7266</v>
      </c>
      <c r="AT32" s="91"/>
      <c r="AU32" s="16">
        <f>ROUND(+'Res .95+% Res Furnace - NEW'!AU32+'Res .95+% Res Furnace - Replace'!AU32+'Programmable Tstats - Tier 1'!AU32+'Programmable Tstats - Tier 2'!AU32+'Comm 95+% Furnace - NEW'!AU32+'Comm 95+% Furnace - Replace'!AU32+'Comm Custom'!AU32,0)</f>
        <v>5148</v>
      </c>
      <c r="AV32" s="53"/>
      <c r="AW32" s="16">
        <f>ROUND(+'Res .95+% Res Furnace - NEW'!AW32+'Res .95+% Res Furnace - Replace'!AW32+'Programmable Tstats - Tier 1'!AW32+'Programmable Tstats - Tier 2'!AW32+'Comm 95+% Furnace - NEW'!AW32+'Comm 95+% Furnace - Replace'!AW32+'Comm Custom'!AW32,0)</f>
        <v>9690</v>
      </c>
      <c r="AX32" s="91"/>
      <c r="AY32" s="92"/>
      <c r="AZ32" s="49">
        <f t="shared" si="13"/>
        <v>42239</v>
      </c>
      <c r="BA32" s="17"/>
      <c r="BB32" s="16">
        <f>ROUND(+'Res .95+% Res Furnace - NEW'!BB32+'Res .95+% Res Furnace - Replace'!BB32+'Programmable Tstats - Tier 1'!BB32+'Programmable Tstats - Tier 2'!BB32+'Comm 95+% Furnace - NEW'!BB32+'Comm 95+% Furnace - Replace'!BB32+'Comm Custom'!BB32,0)</f>
        <v>0</v>
      </c>
      <c r="BC32" s="16">
        <f>ROUND(+'Res .95+% Res Furnace - NEW'!BC32+'Res .95+% Res Furnace - Replace'!BC32+'Programmable Tstats - Tier 1'!BC32+'Programmable Tstats - Tier 2'!BC32+'Comm 95+% Furnace - NEW'!BC32+'Comm 95+% Furnace - Replace'!BC32+'Comm Custom'!BC32,0)</f>
        <v>0</v>
      </c>
      <c r="BD32" s="47">
        <f t="shared" si="14"/>
        <v>0</v>
      </c>
      <c r="BE32" s="49">
        <f t="shared" si="5"/>
        <v>42239</v>
      </c>
      <c r="BH32" s="7">
        <f t="shared" si="15"/>
        <v>2043</v>
      </c>
      <c r="BI32" s="16">
        <f>ROUND(+'Res .95+% Res Furnace - NEW'!BI32+'Res .95+% Res Furnace - Replace'!BI32+'Programmable Tstats - Tier 1'!BI32+'Programmable Tstats - Tier 2'!BI32+'Comm 95+% Furnace - NEW'!BI32+'Comm 95+% Furnace - Replace'!BI32+'Comm Custom'!BI32,0)</f>
        <v>0</v>
      </c>
      <c r="BJ32" s="16">
        <f>ROUND(+'Res .95+% Res Furnace - NEW'!BJ32+'Res .95+% Res Furnace - Replace'!BJ32+'Programmable Tstats - Tier 1'!BJ32+'Programmable Tstats - Tier 2'!BJ32+'Comm 95+% Furnace - NEW'!BJ32+'Comm 95+% Furnace - Replace'!BJ32+'Comm Custom'!BJ32,0)</f>
        <v>3462</v>
      </c>
      <c r="BK32" s="87"/>
      <c r="BL32" s="16">
        <f>ROUND(+'Res .95+% Res Furnace - NEW'!BL32+'Res .95+% Res Furnace - Replace'!BL32+'Programmable Tstats - Tier 1'!BL32+'Programmable Tstats - Tier 2'!BL32+'Comm 95+% Furnace - NEW'!BL32+'Comm 95+% Furnace - Replace'!BL32+'Comm Custom'!BL32,0)</f>
        <v>48695</v>
      </c>
      <c r="BM32" s="87"/>
      <c r="BN32" s="16">
        <f>ROUND(+'Res .95+% Res Furnace - NEW'!BN32+'Res .95+% Res Furnace - Replace'!BN32+'Programmable Tstats - Tier 1'!BN32+'Programmable Tstats - Tier 2'!BN32+'Comm 95+% Furnace - NEW'!BN32+'Comm 95+% Furnace - Replace'!BN32+'Comm Custom'!BN32,0)</f>
        <v>23681</v>
      </c>
      <c r="BO32" s="16"/>
      <c r="BP32" s="46">
        <f t="shared" si="6"/>
        <v>72376</v>
      </c>
      <c r="BR32" s="16">
        <f>ROUND(+'Res .95+% Res Furnace - NEW'!BR32+'Res .95+% Res Furnace - Replace'!BR32+'Programmable Tstats - Tier 1'!BR32+'Programmable Tstats - Tier 2'!BR32+'Comm 95+% Furnace - NEW'!BR32+'Comm 95+% Furnace - Replace'!BR32+'Comm Custom'!BR32,0)</f>
        <v>0</v>
      </c>
      <c r="BS32" s="46"/>
      <c r="BT32" s="46">
        <f t="shared" si="16"/>
        <v>72376</v>
      </c>
      <c r="BW32" s="7">
        <f t="shared" si="17"/>
        <v>2043</v>
      </c>
      <c r="BX32" s="46">
        <f t="shared" si="18"/>
        <v>20135</v>
      </c>
      <c r="BY32" s="16">
        <f t="shared" si="23"/>
        <v>7266</v>
      </c>
      <c r="BZ32" s="116">
        <f t="shared" si="19"/>
        <v>5148</v>
      </c>
      <c r="CA32" s="46">
        <f t="shared" si="20"/>
        <v>32549</v>
      </c>
      <c r="CC32" s="46">
        <f t="shared" si="24"/>
        <v>0</v>
      </c>
      <c r="CD32" s="46">
        <f t="shared" si="24"/>
        <v>0</v>
      </c>
      <c r="CE32" s="46">
        <f t="shared" si="25"/>
        <v>0</v>
      </c>
      <c r="CF32" s="46"/>
      <c r="CG32" s="46">
        <f t="shared" si="21"/>
        <v>32549</v>
      </c>
    </row>
    <row r="33" spans="1:87">
      <c r="A33" s="2" t="s">
        <v>75</v>
      </c>
      <c r="C33" s="11"/>
      <c r="F33" s="16"/>
      <c r="G33" s="16"/>
      <c r="H33" s="16"/>
      <c r="J33" s="2">
        <f t="shared" si="7"/>
        <v>19</v>
      </c>
      <c r="L33" s="7">
        <f t="shared" si="8"/>
        <v>2044</v>
      </c>
      <c r="M33" s="16">
        <f>ROUND(+'Res .95+% Res Furnace - NEW'!M33+'Res .95+% Res Furnace - Replace'!M33+'Programmable Tstats - Tier 1'!M33+'Programmable Tstats - Tier 2'!M33+'Comm 95+% Furnace - NEW'!M33+'Comm 95+% Furnace - Replace'!M33+'Comm Custom'!M33,0)</f>
        <v>3462</v>
      </c>
      <c r="N33" s="53"/>
      <c r="O33" s="16">
        <f>ROUND(+'Res .95+% Res Furnace - NEW'!O33+'Res .95+% Res Furnace - Replace'!O33+'Programmable Tstats - Tier 1'!O33+'Programmable Tstats - Tier 2'!O33+'Comm 95+% Furnace - NEW'!O33+'Comm 95+% Furnace - Replace'!O33+'Comm Custom'!O33,0)</f>
        <v>20738</v>
      </c>
      <c r="P33" s="53"/>
      <c r="Q33" s="16">
        <f>ROUND(+'Res .95+% Res Furnace - NEW'!Q33+'Res .95+% Res Furnace - Replace'!Q33+'Programmable Tstats - Tier 1'!Q33+'Programmable Tstats - Tier 2'!Q33+'Comm 95+% Furnace - NEW'!Q33+'Comm 95+% Furnace - Replace'!Q33+'Comm Custom'!Q33,0)</f>
        <v>0</v>
      </c>
      <c r="R33" s="16">
        <f>ROUND(+'Res .95+% Res Furnace - NEW'!R33+'Res .95+% Res Furnace - Replace'!R33+'Programmable Tstats - Tier 1'!R33+'Programmable Tstats - Tier 2'!R33+'Comm 95+% Furnace - NEW'!R33+'Comm 95+% Furnace - Replace'!R33+'Comm Custom'!R33,0)</f>
        <v>20738</v>
      </c>
      <c r="S33" s="252">
        <f>ROUND(+'Res .95+% Res Furnace - NEW'!S33+'Res .95+% Res Furnace - Replace'!S33+'Programmable Tstats - Tier 1'!S33+'Programmable Tstats - Tier 2'!S33+'Comm 95+% Furnace - NEW'!S33+'Comm 95+% Furnace - Replace'!S33+'Comm Custom'!S33,0)</f>
        <v>35</v>
      </c>
      <c r="T33" s="46"/>
      <c r="U33" s="16">
        <f>ROUND(+'Res .95+% Res Furnace - NEW'!U33+'Res .95+% Res Furnace - Replace'!U33+'Programmable Tstats - Tier 1'!U33+'Programmable Tstats - Tier 2'!U33+'Comm 95+% Furnace - NEW'!U33+'Comm 95+% Furnace - Replace'!U33+'Comm Custom'!U33,0)</f>
        <v>7335</v>
      </c>
      <c r="V33" s="16">
        <f>ROUND(+'Res .95+% Res Furnace - NEW'!V33+'Res .95+% Res Furnace - Replace'!V33+'Programmable Tstats - Tier 1'!V33+'Programmable Tstats - Tier 2'!V33+'Comm 95+% Furnace - NEW'!V33+'Comm 95+% Furnace - Replace'!V33+'Comm Custom'!V33,0)</f>
        <v>28073</v>
      </c>
      <c r="W33" s="45"/>
      <c r="X33" s="16">
        <f>ROUND(+'Res .95+% Res Furnace - NEW'!X33+'Res .95+% Res Furnace - Replace'!X33+'Programmable Tstats - Tier 1'!X33+'Programmable Tstats - Tier 2'!X33+'Comm 95+% Furnace - NEW'!X33+'Comm 95+% Furnace - Replace'!X33+'Comm Custom'!X33,0)</f>
        <v>11697</v>
      </c>
      <c r="Y33" s="16">
        <f>ROUND(+'Res .95+% Res Furnace - NEW'!Y33+'Res .95+% Res Furnace - Replace'!Y33+'Programmable Tstats - Tier 1'!Y33+'Programmable Tstats - Tier 2'!Y33+'Comm 95+% Furnace - NEW'!Y33+'Comm 95+% Furnace - Replace'!Y33+'Comm Custom'!Y33,0)</f>
        <v>0</v>
      </c>
      <c r="Z33" s="16">
        <f>ROUND(+'Res .95+% Res Furnace - NEW'!Z33+'Res .95+% Res Furnace - Replace'!Z33+'Programmable Tstats - Tier 1'!Z33+'Programmable Tstats - Tier 2'!Z33+'Comm 95+% Furnace - NEW'!Z33+'Comm 95+% Furnace - Replace'!Z33+'Comm Custom'!Z33,0)</f>
        <v>0</v>
      </c>
      <c r="AA33" s="16">
        <f>ROUND(+'Res .95+% Res Furnace - NEW'!AA33+'Res .95+% Res Furnace - Replace'!AA33+'Programmable Tstats - Tier 1'!AA33+'Programmable Tstats - Tier 2'!AA33+'Comm 95+% Furnace - NEW'!AA33+'Comm 95+% Furnace - Replace'!AA33+'Comm Custom'!AA33,0)</f>
        <v>11697</v>
      </c>
      <c r="AB33" s="16">
        <f>ROUND(+'Res .95+% Res Furnace - NEW'!AB33+'Res .95+% Res Furnace - Replace'!AB33+'Programmable Tstats - Tier 1'!AB33+'Programmable Tstats - Tier 2'!AB33+'Comm 95+% Furnace - NEW'!AB33+'Comm 95+% Furnace - Replace'!AB33+'Comm Custom'!AB33,0)</f>
        <v>16376</v>
      </c>
      <c r="AE33" s="7">
        <f t="shared" si="9"/>
        <v>2044</v>
      </c>
      <c r="AF33" s="46">
        <f t="shared" si="0"/>
        <v>20738</v>
      </c>
      <c r="AG33" s="16">
        <f t="shared" si="1"/>
        <v>7335</v>
      </c>
      <c r="AH33" s="46">
        <f t="shared" si="22"/>
        <v>28073</v>
      </c>
      <c r="AJ33" s="32">
        <f t="shared" si="10"/>
        <v>0</v>
      </c>
      <c r="AK33" s="32">
        <f t="shared" si="10"/>
        <v>0</v>
      </c>
      <c r="AL33" s="32">
        <f t="shared" si="2"/>
        <v>0</v>
      </c>
      <c r="AN33" s="77">
        <f t="shared" si="11"/>
        <v>28073</v>
      </c>
      <c r="AQ33" s="7">
        <f t="shared" si="12"/>
        <v>2044</v>
      </c>
      <c r="AR33" s="49">
        <f t="shared" si="3"/>
        <v>20738</v>
      </c>
      <c r="AS33" s="46">
        <f t="shared" si="4"/>
        <v>7335</v>
      </c>
      <c r="AT33" s="91"/>
      <c r="AU33" s="16">
        <f>ROUND(+'Res .95+% Res Furnace - NEW'!AU33+'Res .95+% Res Furnace - Replace'!AU33+'Programmable Tstats - Tier 1'!AU33+'Programmable Tstats - Tier 2'!AU33+'Comm 95+% Furnace - NEW'!AU33+'Comm 95+% Furnace - Replace'!AU33+'Comm Custom'!AU33,0)</f>
        <v>5354</v>
      </c>
      <c r="AV33" s="53"/>
      <c r="AW33" s="16">
        <f>ROUND(+'Res .95+% Res Furnace - NEW'!AW33+'Res .95+% Res Furnace - Replace'!AW33+'Programmable Tstats - Tier 1'!AW33+'Programmable Tstats - Tier 2'!AW33+'Comm 95+% Furnace - NEW'!AW33+'Comm 95+% Furnace - Replace'!AW33+'Comm Custom'!AW33,0)</f>
        <v>9852</v>
      </c>
      <c r="AX33" s="91"/>
      <c r="AY33" s="92"/>
      <c r="AZ33" s="49">
        <f t="shared" si="13"/>
        <v>43279</v>
      </c>
      <c r="BA33" s="17"/>
      <c r="BB33" s="16">
        <f>ROUND(+'Res .95+% Res Furnace - NEW'!BB33+'Res .95+% Res Furnace - Replace'!BB33+'Programmable Tstats - Tier 1'!BB33+'Programmable Tstats - Tier 2'!BB33+'Comm 95+% Furnace - NEW'!BB33+'Comm 95+% Furnace - Replace'!BB33+'Comm Custom'!BB33,0)</f>
        <v>0</v>
      </c>
      <c r="BC33" s="16">
        <f>ROUND(+'Res .95+% Res Furnace - NEW'!BC33+'Res .95+% Res Furnace - Replace'!BC33+'Programmable Tstats - Tier 1'!BC33+'Programmable Tstats - Tier 2'!BC33+'Comm 95+% Furnace - NEW'!BC33+'Comm 95+% Furnace - Replace'!BC33+'Comm Custom'!BC33,0)</f>
        <v>0</v>
      </c>
      <c r="BD33" s="47">
        <f t="shared" si="14"/>
        <v>0</v>
      </c>
      <c r="BE33" s="49">
        <f t="shared" si="5"/>
        <v>43279</v>
      </c>
      <c r="BH33" s="7">
        <f t="shared" si="15"/>
        <v>2044</v>
      </c>
      <c r="BI33" s="16">
        <f>ROUND(+'Res .95+% Res Furnace - NEW'!BI33+'Res .95+% Res Furnace - Replace'!BI33+'Programmable Tstats - Tier 1'!BI33+'Programmable Tstats - Tier 2'!BI33+'Comm 95+% Furnace - NEW'!BI33+'Comm 95+% Furnace - Replace'!BI33+'Comm Custom'!BI33,0)</f>
        <v>0</v>
      </c>
      <c r="BJ33" s="16">
        <f>ROUND(+'Res .95+% Res Furnace - NEW'!BJ33+'Res .95+% Res Furnace - Replace'!BJ33+'Programmable Tstats - Tier 1'!BJ33+'Programmable Tstats - Tier 2'!BJ33+'Comm 95+% Furnace - NEW'!BJ33+'Comm 95+% Furnace - Replace'!BJ33+'Comm Custom'!BJ33,0)</f>
        <v>3462</v>
      </c>
      <c r="BK33" s="87"/>
      <c r="BL33" s="16">
        <f>ROUND(+'Res .95+% Res Furnace - NEW'!BL33+'Res .95+% Res Furnace - Replace'!BL33+'Programmable Tstats - Tier 1'!BL33+'Programmable Tstats - Tier 2'!BL33+'Comm 95+% Furnace - NEW'!BL33+'Comm 95+% Furnace - Replace'!BL33+'Comm Custom'!BL33,0)</f>
        <v>50156</v>
      </c>
      <c r="BM33" s="87"/>
      <c r="BN33" s="16">
        <f>ROUND(+'Res .95+% Res Furnace - NEW'!BN33+'Res .95+% Res Furnace - Replace'!BN33+'Programmable Tstats - Tier 1'!BN33+'Programmable Tstats - Tier 2'!BN33+'Comm 95+% Furnace - NEW'!BN33+'Comm 95+% Furnace - Replace'!BN33+'Comm Custom'!BN33,0)</f>
        <v>24402</v>
      </c>
      <c r="BO33" s="16"/>
      <c r="BP33" s="46">
        <f t="shared" si="6"/>
        <v>74558</v>
      </c>
      <c r="BR33" s="16">
        <f>ROUND(+'Res .95+% Res Furnace - NEW'!BR33+'Res .95+% Res Furnace - Replace'!BR33+'Programmable Tstats - Tier 1'!BR33+'Programmable Tstats - Tier 2'!BR33+'Comm 95+% Furnace - NEW'!BR33+'Comm 95+% Furnace - Replace'!BR33+'Comm Custom'!BR33,0)</f>
        <v>0</v>
      </c>
      <c r="BS33" s="46"/>
      <c r="BT33" s="46">
        <f t="shared" si="16"/>
        <v>74558</v>
      </c>
      <c r="BW33" s="7">
        <f t="shared" si="17"/>
        <v>2044</v>
      </c>
      <c r="BX33" s="46">
        <f t="shared" si="18"/>
        <v>20738</v>
      </c>
      <c r="BY33" s="16">
        <f t="shared" si="23"/>
        <v>7335</v>
      </c>
      <c r="BZ33" s="116">
        <f t="shared" si="19"/>
        <v>5354</v>
      </c>
      <c r="CA33" s="46">
        <f t="shared" si="20"/>
        <v>33427</v>
      </c>
      <c r="CC33" s="46">
        <f t="shared" si="24"/>
        <v>0</v>
      </c>
      <c r="CD33" s="46">
        <f t="shared" si="24"/>
        <v>0</v>
      </c>
      <c r="CE33" s="46">
        <f t="shared" si="25"/>
        <v>0</v>
      </c>
      <c r="CF33" s="46"/>
      <c r="CG33" s="46">
        <f t="shared" si="21"/>
        <v>33427</v>
      </c>
    </row>
    <row r="34" spans="1:87">
      <c r="A34" s="3" t="s">
        <v>18</v>
      </c>
      <c r="C34" s="15"/>
      <c r="E34" s="2" t="s">
        <v>76</v>
      </c>
      <c r="F34" s="135"/>
      <c r="G34" s="135"/>
      <c r="H34" s="135"/>
      <c r="J34" s="2">
        <f t="shared" si="7"/>
        <v>20</v>
      </c>
      <c r="L34" s="7">
        <f t="shared" si="8"/>
        <v>2045</v>
      </c>
      <c r="M34" s="16">
        <f>ROUND(+'Res .95+% Res Furnace - NEW'!M34+'Res .95+% Res Furnace - Replace'!M34+'Programmable Tstats - Tier 1'!M34+'Programmable Tstats - Tier 2'!M34+'Comm 95+% Furnace - NEW'!M34+'Comm 95+% Furnace - Replace'!M34+'Comm Custom'!M34,0)</f>
        <v>0</v>
      </c>
      <c r="N34" s="95"/>
      <c r="O34" s="16">
        <f>ROUND(+'Res .95+% Res Furnace - NEW'!O34+'Res .95+% Res Furnace - Replace'!O34+'Programmable Tstats - Tier 1'!O34+'Programmable Tstats - Tier 2'!O34+'Comm 95+% Furnace - NEW'!O34+'Comm 95+% Furnace - Replace'!O34+'Comm Custom'!O34,0)</f>
        <v>0</v>
      </c>
      <c r="P34" s="95"/>
      <c r="Q34" s="16">
        <f>ROUND(+'Res .95+% Res Furnace - NEW'!Q34+'Res .95+% Res Furnace - Replace'!Q34+'Programmable Tstats - Tier 1'!Q34+'Programmable Tstats - Tier 2'!Q34+'Comm 95+% Furnace - NEW'!Q34+'Comm 95+% Furnace - Replace'!Q34+'Comm Custom'!Q34,0)</f>
        <v>0</v>
      </c>
      <c r="R34" s="16">
        <f>ROUND(+'Res .95+% Res Furnace - NEW'!R34+'Res .95+% Res Furnace - Replace'!R34+'Programmable Tstats - Tier 1'!R34+'Programmable Tstats - Tier 2'!R34+'Comm 95+% Furnace - NEW'!R34+'Comm 95+% Furnace - Replace'!R34+'Comm Custom'!R34,0)</f>
        <v>0</v>
      </c>
      <c r="S34" s="252">
        <f>ROUND(+'Res .95+% Res Furnace - NEW'!S34+'Res .95+% Res Furnace - Replace'!S34+'Programmable Tstats - Tier 1'!S34+'Programmable Tstats - Tier 2'!S34+'Comm 95+% Furnace - NEW'!S34+'Comm 95+% Furnace - Replace'!S34+'Comm Custom'!S34,0)</f>
        <v>0</v>
      </c>
      <c r="T34" s="49"/>
      <c r="U34" s="16">
        <f>ROUND(+'Res .95+% Res Furnace - NEW'!U34+'Res .95+% Res Furnace - Replace'!U34+'Programmable Tstats - Tier 1'!U34+'Programmable Tstats - Tier 2'!U34+'Comm 95+% Furnace - NEW'!U34+'Comm 95+% Furnace - Replace'!U34+'Comm Custom'!U34,0)</f>
        <v>0</v>
      </c>
      <c r="V34" s="16">
        <f>ROUND(+'Res .95+% Res Furnace - NEW'!V34+'Res .95+% Res Furnace - Replace'!V34+'Programmable Tstats - Tier 1'!V34+'Programmable Tstats - Tier 2'!V34+'Comm 95+% Furnace - NEW'!V34+'Comm 95+% Furnace - Replace'!V34+'Comm Custom'!V34,0)</f>
        <v>0</v>
      </c>
      <c r="W34" s="87"/>
      <c r="X34" s="16">
        <f>ROUND(+'Res .95+% Res Furnace - NEW'!X34+'Res .95+% Res Furnace - Replace'!X34+'Programmable Tstats - Tier 1'!X34+'Programmable Tstats - Tier 2'!X34+'Comm 95+% Furnace - NEW'!X34+'Comm 95+% Furnace - Replace'!X34+'Comm Custom'!X34,0)</f>
        <v>0</v>
      </c>
      <c r="Y34" s="16">
        <f>ROUND(+'Res .95+% Res Furnace - NEW'!Y34+'Res .95+% Res Furnace - Replace'!Y34+'Programmable Tstats - Tier 1'!Y34+'Programmable Tstats - Tier 2'!Y34+'Comm 95+% Furnace - NEW'!Y34+'Comm 95+% Furnace - Replace'!Y34+'Comm Custom'!Y34,0)</f>
        <v>0</v>
      </c>
      <c r="Z34" s="16">
        <f>ROUND(+'Res .95+% Res Furnace - NEW'!Z34+'Res .95+% Res Furnace - Replace'!Z34+'Programmable Tstats - Tier 1'!Z34+'Programmable Tstats - Tier 2'!Z34+'Comm 95+% Furnace - NEW'!Z34+'Comm 95+% Furnace - Replace'!Z34+'Comm Custom'!Z34,0)</f>
        <v>0</v>
      </c>
      <c r="AA34" s="16">
        <f>ROUND(+'Res .95+% Res Furnace - NEW'!AA34+'Res .95+% Res Furnace - Replace'!AA34+'Programmable Tstats - Tier 1'!AA34+'Programmable Tstats - Tier 2'!AA34+'Comm 95+% Furnace - NEW'!AA34+'Comm 95+% Furnace - Replace'!AA34+'Comm Custom'!AA34,0)</f>
        <v>0</v>
      </c>
      <c r="AB34" s="16">
        <f>ROUND(+'Res .95+% Res Furnace - NEW'!AB34+'Res .95+% Res Furnace - Replace'!AB34+'Programmable Tstats - Tier 1'!AB34+'Programmable Tstats - Tier 2'!AB34+'Comm 95+% Furnace - NEW'!AB34+'Comm 95+% Furnace - Replace'!AB34+'Comm Custom'!AB34,0)</f>
        <v>0</v>
      </c>
      <c r="AE34" s="7">
        <f t="shared" si="9"/>
        <v>2045</v>
      </c>
      <c r="AF34" s="49">
        <f t="shared" si="0"/>
        <v>0</v>
      </c>
      <c r="AG34" s="16">
        <f t="shared" si="1"/>
        <v>0</v>
      </c>
      <c r="AH34" s="49">
        <f t="shared" si="22"/>
        <v>0</v>
      </c>
      <c r="AJ34" s="32">
        <f t="shared" si="10"/>
        <v>0</v>
      </c>
      <c r="AK34" s="32">
        <f t="shared" si="10"/>
        <v>0</v>
      </c>
      <c r="AL34" s="32">
        <f t="shared" si="2"/>
        <v>0</v>
      </c>
      <c r="AN34" s="179">
        <f t="shared" si="11"/>
        <v>0</v>
      </c>
      <c r="AQ34" s="7">
        <f t="shared" si="12"/>
        <v>2045</v>
      </c>
      <c r="AR34" s="49">
        <f t="shared" si="3"/>
        <v>0</v>
      </c>
      <c r="AS34" s="49">
        <f t="shared" si="4"/>
        <v>0</v>
      </c>
      <c r="AT34" s="98"/>
      <c r="AU34" s="16">
        <f>ROUND(+'Res .95+% Res Furnace - NEW'!AU34+'Res .95+% Res Furnace - Replace'!AU34+'Programmable Tstats - Tier 1'!AU34+'Programmable Tstats - Tier 2'!AU34+'Comm 95+% Furnace - NEW'!AU34+'Comm 95+% Furnace - Replace'!AU34+'Comm Custom'!AU34,0)</f>
        <v>0</v>
      </c>
      <c r="AV34" s="95"/>
      <c r="AW34" s="16">
        <f>ROUND(+'Res .95+% Res Furnace - NEW'!AW34+'Res .95+% Res Furnace - Replace'!AW34+'Programmable Tstats - Tier 1'!AW34+'Programmable Tstats - Tier 2'!AW34+'Comm 95+% Furnace - NEW'!AW34+'Comm 95+% Furnace - Replace'!AW34+'Comm Custom'!AW34,0)</f>
        <v>0</v>
      </c>
      <c r="AX34" s="98"/>
      <c r="AY34" s="180"/>
      <c r="AZ34" s="49">
        <f t="shared" si="13"/>
        <v>0</v>
      </c>
      <c r="BA34" s="17"/>
      <c r="BB34" s="16">
        <f>ROUND(+'Res .95+% Res Furnace - NEW'!BB34+'Res .95+% Res Furnace - Replace'!BB34+'Programmable Tstats - Tier 1'!BB34+'Programmable Tstats - Tier 2'!BB34+'Comm 95+% Furnace - NEW'!BB34+'Comm 95+% Furnace - Replace'!BB34+'Comm Custom'!BB34,0)</f>
        <v>0</v>
      </c>
      <c r="BC34" s="16">
        <f>ROUND(+'Res .95+% Res Furnace - NEW'!BC34+'Res .95+% Res Furnace - Replace'!BC34+'Programmable Tstats - Tier 1'!BC34+'Programmable Tstats - Tier 2'!BC34+'Comm 95+% Furnace - NEW'!BC34+'Comm 95+% Furnace - Replace'!BC34+'Comm Custom'!BC34,0)</f>
        <v>0</v>
      </c>
      <c r="BD34" s="181">
        <f t="shared" si="14"/>
        <v>0</v>
      </c>
      <c r="BE34" s="49">
        <f t="shared" si="5"/>
        <v>0</v>
      </c>
      <c r="BH34" s="7">
        <f t="shared" si="15"/>
        <v>2045</v>
      </c>
      <c r="BI34" s="16">
        <f>ROUND(+'Res .95+% Res Furnace - NEW'!BI34+'Res .95+% Res Furnace - Replace'!BI34+'Programmable Tstats - Tier 1'!BI34+'Programmable Tstats - Tier 2'!BI34+'Comm 95+% Furnace - NEW'!BI34+'Comm 95+% Furnace - Replace'!BI34+'Comm Custom'!BI34,0)</f>
        <v>0</v>
      </c>
      <c r="BJ34" s="16">
        <f>ROUND(+'Res .95+% Res Furnace - NEW'!BJ34+'Res .95+% Res Furnace - Replace'!BJ34+'Programmable Tstats - Tier 1'!BJ34+'Programmable Tstats - Tier 2'!BJ34+'Comm 95+% Furnace - NEW'!BJ34+'Comm 95+% Furnace - Replace'!BJ34+'Comm Custom'!BJ34,0)</f>
        <v>0</v>
      </c>
      <c r="BK34" s="87"/>
      <c r="BL34" s="16">
        <f>ROUND(+'Res .95+% Res Furnace - NEW'!BL34+'Res .95+% Res Furnace - Replace'!BL34+'Programmable Tstats - Tier 1'!BL34+'Programmable Tstats - Tier 2'!BL34+'Comm 95+% Furnace - NEW'!BL34+'Comm 95+% Furnace - Replace'!BL34+'Comm Custom'!BL34,0)</f>
        <v>0</v>
      </c>
      <c r="BM34" s="87"/>
      <c r="BN34" s="16">
        <f>ROUND(+'Res .95+% Res Furnace - NEW'!BN34+'Res .95+% Res Furnace - Replace'!BN34+'Programmable Tstats - Tier 1'!BN34+'Programmable Tstats - Tier 2'!BN34+'Comm 95+% Furnace - NEW'!BN34+'Comm 95+% Furnace - Replace'!BN34+'Comm Custom'!BN34,0)</f>
        <v>0</v>
      </c>
      <c r="BO34" s="16"/>
      <c r="BP34" s="49">
        <f t="shared" si="6"/>
        <v>0</v>
      </c>
      <c r="BR34" s="16">
        <f>ROUND(+'Res .95+% Res Furnace - NEW'!BR34+'Res .95+% Res Furnace - Replace'!BR34+'Programmable Tstats - Tier 1'!BR34+'Programmable Tstats - Tier 2'!BR34+'Comm 95+% Furnace - NEW'!BR34+'Comm 95+% Furnace - Replace'!BR34+'Comm Custom'!BR34,0)</f>
        <v>0</v>
      </c>
      <c r="BS34" s="49"/>
      <c r="BT34" s="49">
        <f t="shared" si="16"/>
        <v>0</v>
      </c>
      <c r="BW34" s="7">
        <f t="shared" si="17"/>
        <v>2045</v>
      </c>
      <c r="BX34" s="49">
        <f t="shared" si="18"/>
        <v>0</v>
      </c>
      <c r="BY34" s="16">
        <f t="shared" si="23"/>
        <v>0</v>
      </c>
      <c r="BZ34" s="116">
        <f t="shared" si="19"/>
        <v>0</v>
      </c>
      <c r="CA34" s="49">
        <f t="shared" si="20"/>
        <v>0</v>
      </c>
      <c r="CC34" s="49">
        <f t="shared" si="24"/>
        <v>0</v>
      </c>
      <c r="CD34" s="49">
        <f t="shared" si="24"/>
        <v>0</v>
      </c>
      <c r="CE34" s="49">
        <f t="shared" si="25"/>
        <v>0</v>
      </c>
      <c r="CF34" s="49"/>
      <c r="CG34" s="49">
        <f t="shared" si="21"/>
        <v>0</v>
      </c>
    </row>
    <row r="35" spans="1:87">
      <c r="A35" s="3"/>
      <c r="C35" s="15"/>
      <c r="E35" s="3"/>
      <c r="F35" s="22"/>
      <c r="G35" s="50"/>
      <c r="H35" s="50"/>
      <c r="J35" s="2">
        <f t="shared" si="7"/>
        <v>21</v>
      </c>
      <c r="L35" s="7">
        <f t="shared" si="8"/>
        <v>2046</v>
      </c>
      <c r="M35" s="16">
        <f>ROUND(+'Res .95+% Res Furnace - NEW'!M35+'Res .95+% Res Furnace - Replace'!M35+'Programmable Tstats - Tier 1'!M35+'Programmable Tstats - Tier 2'!M35+'Comm 95+% Furnace - NEW'!M35+'Comm 95+% Furnace - Replace'!M35+'Comm Custom'!M35,0)</f>
        <v>0</v>
      </c>
      <c r="N35" s="95"/>
      <c r="O35" s="16">
        <f>ROUND(+'Res .95+% Res Furnace - NEW'!O35+'Res .95+% Res Furnace - Replace'!O35+'Programmable Tstats - Tier 1'!O35+'Programmable Tstats - Tier 2'!O35+'Comm 95+% Furnace - NEW'!O35+'Comm 95+% Furnace - Replace'!O35+'Comm Custom'!O35,0)</f>
        <v>0</v>
      </c>
      <c r="P35" s="95"/>
      <c r="Q35" s="16">
        <f>ROUND(+'Res .95+% Res Furnace - NEW'!Q35+'Res .95+% Res Furnace - Replace'!Q35+'Programmable Tstats - Tier 1'!Q35+'Programmable Tstats - Tier 2'!Q35+'Comm 95+% Furnace - NEW'!Q35+'Comm 95+% Furnace - Replace'!Q35+'Comm Custom'!Q35,0)</f>
        <v>0</v>
      </c>
      <c r="R35" s="16">
        <f>ROUND(+'Res .95+% Res Furnace - NEW'!R35+'Res .95+% Res Furnace - Replace'!R35+'Programmable Tstats - Tier 1'!R35+'Programmable Tstats - Tier 2'!R35+'Comm 95+% Furnace - NEW'!R35+'Comm 95+% Furnace - Replace'!R35+'Comm Custom'!R35,0)</f>
        <v>0</v>
      </c>
      <c r="S35" s="252">
        <f>ROUND(+'Res .95+% Res Furnace - NEW'!S35+'Res .95+% Res Furnace - Replace'!S35+'Programmable Tstats - Tier 1'!S35+'Programmable Tstats - Tier 2'!S35+'Comm 95+% Furnace - NEW'!S35+'Comm 95+% Furnace - Replace'!S35+'Comm Custom'!S35,0)</f>
        <v>0</v>
      </c>
      <c r="T35" s="49"/>
      <c r="U35" s="16">
        <f>ROUND(+'Res .95+% Res Furnace - NEW'!U35+'Res .95+% Res Furnace - Replace'!U35+'Programmable Tstats - Tier 1'!U35+'Programmable Tstats - Tier 2'!U35+'Comm 95+% Furnace - NEW'!U35+'Comm 95+% Furnace - Replace'!U35+'Comm Custom'!U35,0)</f>
        <v>0</v>
      </c>
      <c r="V35" s="16">
        <f>ROUND(+'Res .95+% Res Furnace - NEW'!V35+'Res .95+% Res Furnace - Replace'!V35+'Programmable Tstats - Tier 1'!V35+'Programmable Tstats - Tier 2'!V35+'Comm 95+% Furnace - NEW'!V35+'Comm 95+% Furnace - Replace'!V35+'Comm Custom'!V35,0)</f>
        <v>0</v>
      </c>
      <c r="W35" s="87"/>
      <c r="X35" s="16">
        <f>ROUND(+'Res .95+% Res Furnace - NEW'!X35+'Res .95+% Res Furnace - Replace'!X35+'Programmable Tstats - Tier 1'!X35+'Programmable Tstats - Tier 2'!X35+'Comm 95+% Furnace - NEW'!X35+'Comm 95+% Furnace - Replace'!X35+'Comm Custom'!X35,0)</f>
        <v>0</v>
      </c>
      <c r="Y35" s="16">
        <f>ROUND(+'Res .95+% Res Furnace - NEW'!Y35+'Res .95+% Res Furnace - Replace'!Y35+'Programmable Tstats - Tier 1'!Y35+'Programmable Tstats - Tier 2'!Y35+'Comm 95+% Furnace - NEW'!Y35+'Comm 95+% Furnace - Replace'!Y35+'Comm Custom'!Y35,0)</f>
        <v>0</v>
      </c>
      <c r="Z35" s="16">
        <f>ROUND(+'Res .95+% Res Furnace - NEW'!Z35+'Res .95+% Res Furnace - Replace'!Z35+'Programmable Tstats - Tier 1'!Z35+'Programmable Tstats - Tier 2'!Z35+'Comm 95+% Furnace - NEW'!Z35+'Comm 95+% Furnace - Replace'!Z35+'Comm Custom'!Z35,0)</f>
        <v>0</v>
      </c>
      <c r="AA35" s="16">
        <f>ROUND(+'Res .95+% Res Furnace - NEW'!AA35+'Res .95+% Res Furnace - Replace'!AA35+'Programmable Tstats - Tier 1'!AA35+'Programmable Tstats - Tier 2'!AA35+'Comm 95+% Furnace - NEW'!AA35+'Comm 95+% Furnace - Replace'!AA35+'Comm Custom'!AA35,0)</f>
        <v>0</v>
      </c>
      <c r="AB35" s="16">
        <f>ROUND(+'Res .95+% Res Furnace - NEW'!AB35+'Res .95+% Res Furnace - Replace'!AB35+'Programmable Tstats - Tier 1'!AB35+'Programmable Tstats - Tier 2'!AB35+'Comm 95+% Furnace - NEW'!AB35+'Comm 95+% Furnace - Replace'!AB35+'Comm Custom'!AB35,0)</f>
        <v>0</v>
      </c>
      <c r="AE35" s="7">
        <f t="shared" si="9"/>
        <v>2046</v>
      </c>
      <c r="AF35" s="49">
        <f t="shared" ref="AF35:AF36" si="26">+R35</f>
        <v>0</v>
      </c>
      <c r="AG35" s="16">
        <f t="shared" ref="AG35:AG36" si="27">+U35</f>
        <v>0</v>
      </c>
      <c r="AH35" s="49">
        <f t="shared" ref="AH35:AH36" si="28">+AG35+AF35</f>
        <v>0</v>
      </c>
      <c r="AJ35" s="32">
        <f t="shared" ref="AJ35:AJ36" si="29">ROUND(Y35,0)</f>
        <v>0</v>
      </c>
      <c r="AK35" s="32">
        <f t="shared" ref="AK35:AK36" si="30">ROUND(Z35,0)</f>
        <v>0</v>
      </c>
      <c r="AL35" s="32">
        <f t="shared" ref="AL35:AL36" si="31">SUM(AJ35:AK35)</f>
        <v>0</v>
      </c>
      <c r="AN35" s="179">
        <f t="shared" ref="AN35:AN36" si="32">+AH35-AL35</f>
        <v>0</v>
      </c>
      <c r="AQ35" s="7">
        <f t="shared" si="12"/>
        <v>2046</v>
      </c>
      <c r="AR35" s="49">
        <f t="shared" ref="AR35:AR36" si="33">AF35</f>
        <v>0</v>
      </c>
      <c r="AS35" s="49">
        <f t="shared" ref="AS35:AS36" si="34">+AG35</f>
        <v>0</v>
      </c>
      <c r="AT35" s="98"/>
      <c r="AU35" s="16">
        <f>ROUND(+'Res .95+% Res Furnace - NEW'!AU35+'Res .95+% Res Furnace - Replace'!AU35+'Programmable Tstats - Tier 1'!AU35+'Programmable Tstats - Tier 2'!AU35+'Comm 95+% Furnace - NEW'!AU35+'Comm 95+% Furnace - Replace'!AU35+'Comm Custom'!AU35,0)</f>
        <v>0</v>
      </c>
      <c r="AV35" s="95"/>
      <c r="AW35" s="16">
        <f>ROUND(+'Res .95+% Res Furnace - NEW'!AW35+'Res .95+% Res Furnace - Replace'!AW35+'Programmable Tstats - Tier 1'!AW35+'Programmable Tstats - Tier 2'!AW35+'Comm 95+% Furnace - NEW'!AW35+'Comm 95+% Furnace - Replace'!AW35+'Comm Custom'!AW35,0)</f>
        <v>0</v>
      </c>
      <c r="AX35" s="98"/>
      <c r="AY35" s="180"/>
      <c r="AZ35" s="49">
        <f t="shared" ref="AZ35:AZ36" si="35">ROUND(AR35+AS35+AU35+AW35+AY35,0)</f>
        <v>0</v>
      </c>
      <c r="BA35" s="17"/>
      <c r="BB35" s="16">
        <f>ROUND(+'Res .95+% Res Furnace - NEW'!BB35+'Res .95+% Res Furnace - Replace'!BB35+'Programmable Tstats - Tier 1'!BB35+'Programmable Tstats - Tier 2'!BB35+'Comm 95+% Furnace - NEW'!BB35+'Comm 95+% Furnace - Replace'!BB35+'Comm Custom'!BB35,0)</f>
        <v>0</v>
      </c>
      <c r="BC35" s="16">
        <f>ROUND(+'Res .95+% Res Furnace - NEW'!BC35+'Res .95+% Res Furnace - Replace'!BC35+'Programmable Tstats - Tier 1'!BC35+'Programmable Tstats - Tier 2'!BC35+'Comm 95+% Furnace - NEW'!BC35+'Comm 95+% Furnace - Replace'!BC35+'Comm Custom'!BC35,0)</f>
        <v>0</v>
      </c>
      <c r="BD35" s="181">
        <f t="shared" ref="BD35:BD36" si="36">BB35+BC35</f>
        <v>0</v>
      </c>
      <c r="BE35" s="49">
        <f t="shared" ref="BE35:BE36" si="37">AZ35-BD35</f>
        <v>0</v>
      </c>
      <c r="BH35" s="7">
        <f t="shared" si="15"/>
        <v>2046</v>
      </c>
      <c r="BI35" s="16">
        <f>ROUND(+'Res .95+% Res Furnace - NEW'!BI35+'Res .95+% Res Furnace - Replace'!BI35+'Programmable Tstats - Tier 1'!BI35+'Programmable Tstats - Tier 2'!BI35+'Comm 95+% Furnace - NEW'!BI35+'Comm 95+% Furnace - Replace'!BI35+'Comm Custom'!BI35,0)</f>
        <v>0</v>
      </c>
      <c r="BJ35" s="16">
        <f>ROUND(+'Res .95+% Res Furnace - NEW'!BJ35+'Res .95+% Res Furnace - Replace'!BJ35+'Programmable Tstats - Tier 1'!BJ35+'Programmable Tstats - Tier 2'!BJ35+'Comm 95+% Furnace - NEW'!BJ35+'Comm 95+% Furnace - Replace'!BJ35+'Comm Custom'!BJ35,0)</f>
        <v>0</v>
      </c>
      <c r="BK35" s="87"/>
      <c r="BL35" s="16">
        <f>ROUND(+'Res .95+% Res Furnace - NEW'!BL35+'Res .95+% Res Furnace - Replace'!BL35+'Programmable Tstats - Tier 1'!BL35+'Programmable Tstats - Tier 2'!BL35+'Comm 95+% Furnace - NEW'!BL35+'Comm 95+% Furnace - Replace'!BL35+'Comm Custom'!BL35,0)</f>
        <v>0</v>
      </c>
      <c r="BM35" s="87"/>
      <c r="BN35" s="16">
        <f>ROUND(+'Res .95+% Res Furnace - NEW'!BN35+'Res .95+% Res Furnace - Replace'!BN35+'Programmable Tstats - Tier 1'!BN35+'Programmable Tstats - Tier 2'!BN35+'Comm 95+% Furnace - NEW'!BN35+'Comm 95+% Furnace - Replace'!BN35+'Comm Custom'!BN35,0)</f>
        <v>0</v>
      </c>
      <c r="BO35" s="16"/>
      <c r="BP35" s="49">
        <f t="shared" ref="BP35:BP36" si="38">BI35+BL35+BN35+BO35</f>
        <v>0</v>
      </c>
      <c r="BR35" s="16">
        <f>ROUND(+'Res .95+% Res Furnace - NEW'!BR35+'Res .95+% Res Furnace - Replace'!BR35+'Programmable Tstats - Tier 1'!BR35+'Programmable Tstats - Tier 2'!BR35+'Comm 95+% Furnace - NEW'!BR35+'Comm 95+% Furnace - Replace'!BR35+'Comm Custom'!BR35,0)</f>
        <v>0</v>
      </c>
      <c r="BS35" s="49"/>
      <c r="BT35" s="49">
        <f t="shared" ref="BT35:BT36" si="39">BP35-BR35</f>
        <v>0</v>
      </c>
      <c r="BW35" s="7">
        <f t="shared" si="17"/>
        <v>2046</v>
      </c>
      <c r="BX35" s="49">
        <f t="shared" si="18"/>
        <v>0</v>
      </c>
      <c r="BY35" s="16">
        <f t="shared" ref="BY35:BY36" si="40">U35</f>
        <v>0</v>
      </c>
      <c r="BZ35" s="116">
        <f t="shared" ref="BZ35:BZ36" si="41">AU35</f>
        <v>0</v>
      </c>
      <c r="CA35" s="49">
        <f t="shared" ref="CA35:CA36" si="42">SUM(BX35:BZ35)</f>
        <v>0</v>
      </c>
      <c r="CC35" s="49">
        <f t="shared" ref="CC35:CC36" si="43">BB35</f>
        <v>0</v>
      </c>
      <c r="CD35" s="49">
        <f t="shared" ref="CD35:CD36" si="44">BC35</f>
        <v>0</v>
      </c>
      <c r="CE35" s="49">
        <f t="shared" ref="CE35:CE36" si="45">SUM(CC35:CD35)</f>
        <v>0</v>
      </c>
      <c r="CF35" s="49"/>
      <c r="CG35" s="49">
        <f t="shared" ref="CG35:CG36" si="46">CA35-CE35</f>
        <v>0</v>
      </c>
    </row>
    <row r="36" spans="1:87">
      <c r="A36" s="3" t="s">
        <v>77</v>
      </c>
      <c r="C36" s="11"/>
      <c r="E36" s="3" t="s">
        <v>91</v>
      </c>
      <c r="F36" s="27"/>
      <c r="H36" s="30"/>
      <c r="J36" s="2">
        <f t="shared" si="7"/>
        <v>22</v>
      </c>
      <c r="L36" s="7">
        <f t="shared" si="8"/>
        <v>2047</v>
      </c>
      <c r="M36" s="16">
        <f>ROUND(+'Res .95+% Res Furnace - NEW'!M36+'Res .95+% Res Furnace - Replace'!M36+'Programmable Tstats - Tier 1'!M36+'Programmable Tstats - Tier 2'!M36+'Comm 95+% Furnace - NEW'!M36+'Comm 95+% Furnace - Replace'!M36+'Comm Custom'!M36,0)</f>
        <v>0</v>
      </c>
      <c r="N36" s="95"/>
      <c r="O36" s="16">
        <f>ROUND(+'Res .95+% Res Furnace - NEW'!O36+'Res .95+% Res Furnace - Replace'!O36+'Programmable Tstats - Tier 1'!O36+'Programmable Tstats - Tier 2'!O36+'Comm 95+% Furnace - NEW'!O36+'Comm 95+% Furnace - Replace'!O36+'Comm Custom'!O36,0)</f>
        <v>0</v>
      </c>
      <c r="P36" s="95"/>
      <c r="Q36" s="16">
        <f>ROUND(+'Res .95+% Res Furnace - NEW'!Q36+'Res .95+% Res Furnace - Replace'!Q36+'Programmable Tstats - Tier 1'!Q36+'Programmable Tstats - Tier 2'!Q36+'Comm 95+% Furnace - NEW'!Q36+'Comm 95+% Furnace - Replace'!Q36+'Comm Custom'!Q36,0)</f>
        <v>0</v>
      </c>
      <c r="R36" s="16">
        <f>ROUND(+'Res .95+% Res Furnace - NEW'!R36+'Res .95+% Res Furnace - Replace'!R36+'Programmable Tstats - Tier 1'!R36+'Programmable Tstats - Tier 2'!R36+'Comm 95+% Furnace - NEW'!R36+'Comm 95+% Furnace - Replace'!R36+'Comm Custom'!R36,0)</f>
        <v>0</v>
      </c>
      <c r="S36" s="252">
        <f>ROUND(+'Res .95+% Res Furnace - NEW'!S36+'Res .95+% Res Furnace - Replace'!S36+'Programmable Tstats - Tier 1'!S36+'Programmable Tstats - Tier 2'!S36+'Comm 95+% Furnace - NEW'!S36+'Comm 95+% Furnace - Replace'!S36+'Comm Custom'!S36,0)</f>
        <v>0</v>
      </c>
      <c r="T36" s="49"/>
      <c r="U36" s="16">
        <f>ROUND(+'Res .95+% Res Furnace - NEW'!U36+'Res .95+% Res Furnace - Replace'!U36+'Programmable Tstats - Tier 1'!U36+'Programmable Tstats - Tier 2'!U36+'Comm 95+% Furnace - NEW'!U36+'Comm 95+% Furnace - Replace'!U36+'Comm Custom'!U36,0)</f>
        <v>0</v>
      </c>
      <c r="V36" s="16">
        <f>ROUND(+'Res .95+% Res Furnace - NEW'!V36+'Res .95+% Res Furnace - Replace'!V36+'Programmable Tstats - Tier 1'!V36+'Programmable Tstats - Tier 2'!V36+'Comm 95+% Furnace - NEW'!V36+'Comm 95+% Furnace - Replace'!V36+'Comm Custom'!V36,0)</f>
        <v>0</v>
      </c>
      <c r="W36" s="87"/>
      <c r="X36" s="16">
        <f>ROUND(+'Res .95+% Res Furnace - NEW'!X36+'Res .95+% Res Furnace - Replace'!X36+'Programmable Tstats - Tier 1'!X36+'Programmable Tstats - Tier 2'!X36+'Comm 95+% Furnace - NEW'!X36+'Comm 95+% Furnace - Replace'!X36+'Comm Custom'!X36,0)</f>
        <v>0</v>
      </c>
      <c r="Y36" s="16">
        <f>ROUND(+'Res .95+% Res Furnace - NEW'!Y36+'Res .95+% Res Furnace - Replace'!Y36+'Programmable Tstats - Tier 1'!Y36+'Programmable Tstats - Tier 2'!Y36+'Comm 95+% Furnace - NEW'!Y36+'Comm 95+% Furnace - Replace'!Y36+'Comm Custom'!Y36,0)</f>
        <v>0</v>
      </c>
      <c r="Z36" s="16">
        <f>ROUND(+'Res .95+% Res Furnace - NEW'!Z36+'Res .95+% Res Furnace - Replace'!Z36+'Programmable Tstats - Tier 1'!Z36+'Programmable Tstats - Tier 2'!Z36+'Comm 95+% Furnace - NEW'!Z36+'Comm 95+% Furnace - Replace'!Z36+'Comm Custom'!Z36,0)</f>
        <v>0</v>
      </c>
      <c r="AA36" s="16">
        <f>ROUND(+'Res .95+% Res Furnace - NEW'!AA36+'Res .95+% Res Furnace - Replace'!AA36+'Programmable Tstats - Tier 1'!AA36+'Programmable Tstats - Tier 2'!AA36+'Comm 95+% Furnace - NEW'!AA36+'Comm 95+% Furnace - Replace'!AA36+'Comm Custom'!AA36,0)</f>
        <v>0</v>
      </c>
      <c r="AB36" s="16">
        <f>ROUND(+'Res .95+% Res Furnace - NEW'!AB36+'Res .95+% Res Furnace - Replace'!AB36+'Programmable Tstats - Tier 1'!AB36+'Programmable Tstats - Tier 2'!AB36+'Comm 95+% Furnace - NEW'!AB36+'Comm 95+% Furnace - Replace'!AB36+'Comm Custom'!AB36,0)</f>
        <v>0</v>
      </c>
      <c r="AE36" s="7">
        <f t="shared" si="9"/>
        <v>2047</v>
      </c>
      <c r="AF36" s="49">
        <f t="shared" si="26"/>
        <v>0</v>
      </c>
      <c r="AG36" s="16">
        <f t="shared" si="27"/>
        <v>0</v>
      </c>
      <c r="AH36" s="49">
        <f t="shared" si="28"/>
        <v>0</v>
      </c>
      <c r="AJ36" s="32">
        <f t="shared" si="29"/>
        <v>0</v>
      </c>
      <c r="AK36" s="32">
        <f t="shared" si="30"/>
        <v>0</v>
      </c>
      <c r="AL36" s="32">
        <f t="shared" si="31"/>
        <v>0</v>
      </c>
      <c r="AN36" s="179">
        <f t="shared" si="32"/>
        <v>0</v>
      </c>
      <c r="AQ36" s="7">
        <f t="shared" si="12"/>
        <v>2047</v>
      </c>
      <c r="AR36" s="49">
        <f t="shared" si="33"/>
        <v>0</v>
      </c>
      <c r="AS36" s="49">
        <f t="shared" si="34"/>
        <v>0</v>
      </c>
      <c r="AT36" s="98"/>
      <c r="AU36" s="16">
        <f>ROUND(+'Res .95+% Res Furnace - NEW'!AU36+'Res .95+% Res Furnace - Replace'!AU36+'Programmable Tstats - Tier 1'!AU36+'Programmable Tstats - Tier 2'!AU36+'Comm 95+% Furnace - NEW'!AU36+'Comm 95+% Furnace - Replace'!AU36+'Comm Custom'!AU36,0)</f>
        <v>0</v>
      </c>
      <c r="AV36" s="95"/>
      <c r="AW36" s="16">
        <f>ROUND(+'Res .95+% Res Furnace - NEW'!AW36+'Res .95+% Res Furnace - Replace'!AW36+'Programmable Tstats - Tier 1'!AW36+'Programmable Tstats - Tier 2'!AW36+'Comm 95+% Furnace - NEW'!AW36+'Comm 95+% Furnace - Replace'!AW36+'Comm Custom'!AW36,0)</f>
        <v>0</v>
      </c>
      <c r="AX36" s="98"/>
      <c r="AY36" s="180"/>
      <c r="AZ36" s="49">
        <f t="shared" si="35"/>
        <v>0</v>
      </c>
      <c r="BA36" s="17"/>
      <c r="BB36" s="16">
        <f>ROUND(+'Res .95+% Res Furnace - NEW'!BB36+'Res .95+% Res Furnace - Replace'!BB36+'Programmable Tstats - Tier 1'!BB36+'Programmable Tstats - Tier 2'!BB36+'Comm 95+% Furnace - NEW'!BB36+'Comm 95+% Furnace - Replace'!BB36+'Comm Custom'!BB36,0)</f>
        <v>0</v>
      </c>
      <c r="BC36" s="16">
        <f>ROUND(+'Res .95+% Res Furnace - NEW'!BC36+'Res .95+% Res Furnace - Replace'!BC36+'Programmable Tstats - Tier 1'!BC36+'Programmable Tstats - Tier 2'!BC36+'Comm 95+% Furnace - NEW'!BC36+'Comm 95+% Furnace - Replace'!BC36+'Comm Custom'!BC36,0)</f>
        <v>0</v>
      </c>
      <c r="BD36" s="181">
        <f t="shared" si="36"/>
        <v>0</v>
      </c>
      <c r="BE36" s="49">
        <f t="shared" si="37"/>
        <v>0</v>
      </c>
      <c r="BH36" s="7">
        <f t="shared" si="15"/>
        <v>2047</v>
      </c>
      <c r="BI36" s="16">
        <f>ROUND(+'Res .95+% Res Furnace - NEW'!BI36+'Res .95+% Res Furnace - Replace'!BI36+'Programmable Tstats - Tier 1'!BI36+'Programmable Tstats - Tier 2'!BI36+'Comm 95+% Furnace - NEW'!BI36+'Comm 95+% Furnace - Replace'!BI36+'Comm Custom'!BI36,0)</f>
        <v>0</v>
      </c>
      <c r="BJ36" s="16">
        <f>ROUND(+'Res .95+% Res Furnace - NEW'!BJ36+'Res .95+% Res Furnace - Replace'!BJ36+'Programmable Tstats - Tier 1'!BJ36+'Programmable Tstats - Tier 2'!BJ36+'Comm 95+% Furnace - NEW'!BJ36+'Comm 95+% Furnace - Replace'!BJ36+'Comm Custom'!BJ36,0)</f>
        <v>0</v>
      </c>
      <c r="BK36" s="87"/>
      <c r="BL36" s="16">
        <f>ROUND(+'Res .95+% Res Furnace - NEW'!BL36+'Res .95+% Res Furnace - Replace'!BL36+'Programmable Tstats - Tier 1'!BL36+'Programmable Tstats - Tier 2'!BL36+'Comm 95+% Furnace - NEW'!BL36+'Comm 95+% Furnace - Replace'!BL36+'Comm Custom'!BL36,0)</f>
        <v>0</v>
      </c>
      <c r="BM36" s="87"/>
      <c r="BN36" s="16">
        <f>ROUND(+'Res .95+% Res Furnace - NEW'!BN36+'Res .95+% Res Furnace - Replace'!BN36+'Programmable Tstats - Tier 1'!BN36+'Programmable Tstats - Tier 2'!BN36+'Comm 95+% Furnace - NEW'!BN36+'Comm 95+% Furnace - Replace'!BN36+'Comm Custom'!BN36,0)</f>
        <v>0</v>
      </c>
      <c r="BO36" s="16"/>
      <c r="BP36" s="49">
        <f t="shared" si="38"/>
        <v>0</v>
      </c>
      <c r="BR36" s="16">
        <f>ROUND(+'Res .95+% Res Furnace - NEW'!BR36+'Res .95+% Res Furnace - Replace'!BR36+'Programmable Tstats - Tier 1'!BR36+'Programmable Tstats - Tier 2'!BR36+'Comm 95+% Furnace - NEW'!BR36+'Comm 95+% Furnace - Replace'!BR36+'Comm Custom'!BR36,0)</f>
        <v>0</v>
      </c>
      <c r="BS36" s="49"/>
      <c r="BT36" s="49">
        <f t="shared" si="39"/>
        <v>0</v>
      </c>
      <c r="BW36" s="7">
        <f t="shared" si="17"/>
        <v>2047</v>
      </c>
      <c r="BX36" s="49">
        <f t="shared" si="18"/>
        <v>0</v>
      </c>
      <c r="BY36" s="16">
        <f t="shared" si="40"/>
        <v>0</v>
      </c>
      <c r="BZ36" s="116">
        <f t="shared" si="41"/>
        <v>0</v>
      </c>
      <c r="CA36" s="49">
        <f t="shared" si="42"/>
        <v>0</v>
      </c>
      <c r="CC36" s="49">
        <f t="shared" si="43"/>
        <v>0</v>
      </c>
      <c r="CD36" s="49">
        <f t="shared" si="44"/>
        <v>0</v>
      </c>
      <c r="CE36" s="49">
        <f t="shared" si="45"/>
        <v>0</v>
      </c>
      <c r="CF36" s="49"/>
      <c r="CG36" s="49">
        <f t="shared" si="46"/>
        <v>0</v>
      </c>
    </row>
    <row r="37" spans="1:87">
      <c r="A37" s="2" t="s">
        <v>47</v>
      </c>
      <c r="C37" s="15"/>
      <c r="F37" s="16"/>
      <c r="M37" s="70"/>
      <c r="V37" s="70"/>
      <c r="AA37" s="70"/>
      <c r="AB37" s="70"/>
      <c r="AH37" s="70"/>
      <c r="AL37" s="70"/>
      <c r="AN37" s="70"/>
      <c r="AZ37" s="246"/>
      <c r="BD37" s="70"/>
      <c r="BJ37" s="70"/>
      <c r="BP37" s="70"/>
      <c r="BR37" s="70"/>
      <c r="BT37" s="70"/>
      <c r="CA37" s="70"/>
      <c r="CE37" s="70"/>
      <c r="CG37" s="70"/>
    </row>
    <row r="38" spans="1:87">
      <c r="C38" s="15"/>
      <c r="E38" s="51" t="s">
        <v>98</v>
      </c>
      <c r="H38" s="128"/>
      <c r="J38" s="24"/>
      <c r="K38" s="2" t="s">
        <v>212</v>
      </c>
      <c r="M38" s="16">
        <f>SUM(M14:M36)</f>
        <v>77840</v>
      </c>
      <c r="N38" s="2"/>
      <c r="R38" s="24"/>
      <c r="S38" s="12"/>
      <c r="T38" s="18"/>
      <c r="V38" s="12">
        <f>SUM(V14:V36)</f>
        <v>500925</v>
      </c>
      <c r="X38" s="12"/>
      <c r="Y38" s="12"/>
      <c r="Z38" s="12"/>
      <c r="AA38" s="12">
        <f>SUM(AA14:AA36)</f>
        <v>279726</v>
      </c>
      <c r="AB38" s="12">
        <f>SUM(AB14:AB36)</f>
        <v>221199</v>
      </c>
      <c r="AD38" s="3" t="s">
        <v>78</v>
      </c>
      <c r="AE38" s="16"/>
      <c r="AF38" s="12"/>
      <c r="AG38" s="12"/>
      <c r="AH38" s="12">
        <f>SUM(AH14:AH36)</f>
        <v>500925</v>
      </c>
      <c r="AL38" s="12">
        <f>SUM(AL14:AL36)</f>
        <v>80770</v>
      </c>
      <c r="AN38" s="12">
        <f>SUM(AN14:AN36)</f>
        <v>420155</v>
      </c>
      <c r="AP38" s="3" t="s">
        <v>78</v>
      </c>
      <c r="AQ38" s="16"/>
      <c r="AR38" s="12"/>
      <c r="AS38" s="12"/>
      <c r="AU38" s="46"/>
      <c r="AW38" s="46"/>
      <c r="AY38" s="46"/>
      <c r="AZ38" s="94">
        <f>SUM(AZ14:AZ36)</f>
        <v>772241</v>
      </c>
      <c r="BB38" s="12"/>
      <c r="BC38" s="12"/>
      <c r="BD38" s="12">
        <f>SUM(BD14:BD36)</f>
        <v>159971</v>
      </c>
      <c r="BE38" s="12">
        <f>SUM(BE14:BE36)</f>
        <v>612270</v>
      </c>
      <c r="BG38" s="3" t="s">
        <v>212</v>
      </c>
      <c r="BI38" s="12"/>
      <c r="BJ38" s="16">
        <f>SUM(BJ14:BJ36)</f>
        <v>77840</v>
      </c>
      <c r="BK38" s="18"/>
      <c r="BL38" s="12"/>
      <c r="BN38" s="12"/>
      <c r="BO38" s="12"/>
      <c r="BP38" s="12">
        <f>SUM(BP14:BP36)</f>
        <v>1292337</v>
      </c>
      <c r="BR38" s="12">
        <f>SUM(BR14:BR36)</f>
        <v>139577</v>
      </c>
      <c r="BS38" s="12"/>
      <c r="BT38" s="12">
        <f>SUM(BT14:BT36)</f>
        <v>1152760</v>
      </c>
      <c r="BX38" s="12"/>
      <c r="BY38" s="16"/>
      <c r="BZ38" s="3" t="s">
        <v>212</v>
      </c>
      <c r="CA38" s="12">
        <f>SUM(CA14:CA36)</f>
        <v>584169</v>
      </c>
      <c r="CC38" s="12"/>
      <c r="CD38" s="12"/>
      <c r="CE38" s="12">
        <f>SUM(CE14:CE36)</f>
        <v>159971</v>
      </c>
      <c r="CF38" s="12"/>
      <c r="CG38" s="12">
        <f>SUM(CG14:CG36)</f>
        <v>424198</v>
      </c>
    </row>
    <row r="39" spans="1:87">
      <c r="A39" s="3" t="s">
        <v>79</v>
      </c>
      <c r="C39" s="13">
        <f>+'Gas Input Table Summary'!$D$26</f>
        <v>9.8699999999999996E-2</v>
      </c>
      <c r="E39" s="119" t="s">
        <v>227</v>
      </c>
      <c r="M39" s="16"/>
      <c r="N39" s="2"/>
      <c r="R39" s="24"/>
      <c r="S39" s="52"/>
      <c r="T39" s="5" t="s">
        <v>80</v>
      </c>
      <c r="V39" s="52">
        <f>ROUND(V14+NPV($C$41,V15:V36),0)</f>
        <v>279299</v>
      </c>
      <c r="X39" s="12"/>
      <c r="Y39" s="12"/>
      <c r="Z39" s="12"/>
      <c r="AA39" s="12">
        <f>ROUND(AA14+NPV($C$41,AA15:AA36),0)</f>
        <v>190422</v>
      </c>
      <c r="AB39" s="12">
        <f>ROUND(AB14+NPV($C$41,AB15:AB36),0)</f>
        <v>88877</v>
      </c>
      <c r="AF39" s="12"/>
      <c r="AG39" s="3" t="s">
        <v>80</v>
      </c>
      <c r="AH39" s="12">
        <f>ROUND(AH14+NPV($C$41,AH15:AH36),0)</f>
        <v>279299</v>
      </c>
      <c r="AL39" s="12">
        <f>ROUND(AL14+NPV($C$41,AL15:AL36),0)</f>
        <v>80770</v>
      </c>
      <c r="AN39" s="12">
        <f>+AH39-AL39</f>
        <v>198529</v>
      </c>
      <c r="AR39" s="12"/>
      <c r="AS39" s="12"/>
      <c r="AU39" s="46"/>
      <c r="AW39" s="3" t="s">
        <v>80</v>
      </c>
      <c r="AY39" s="46"/>
      <c r="AZ39" s="12">
        <f>ROUND(AZ14+NPV($C$43,AZ15:AZ36),0)</f>
        <v>624613</v>
      </c>
      <c r="BB39" s="12"/>
      <c r="BC39" s="12"/>
      <c r="BD39" s="12">
        <f>ROUND(BD14+NPV($C$43,BD15:BD36),0)</f>
        <v>159971</v>
      </c>
      <c r="BE39" s="12">
        <f>AZ39-BD39</f>
        <v>464642</v>
      </c>
      <c r="BG39" s="7"/>
      <c r="BI39" s="12"/>
      <c r="BL39" s="12"/>
      <c r="BN39" s="12" t="s">
        <v>205</v>
      </c>
      <c r="BO39" s="12"/>
      <c r="BP39" s="12">
        <f>ROUND(BP14+NPV($C$39,BP15:BP36),0)</f>
        <v>612940</v>
      </c>
      <c r="BR39" s="12">
        <f>ROUND(BR14+NPV($C$39,BR15:BR36),0)</f>
        <v>139577</v>
      </c>
      <c r="BS39" s="12"/>
      <c r="BT39" s="16">
        <f>ROUND(BT14+NPV($C$39,BT15:BT36),0)</f>
        <v>473363</v>
      </c>
      <c r="BV39" s="7"/>
      <c r="BX39" s="12"/>
      <c r="BZ39" s="12" t="s">
        <v>205</v>
      </c>
      <c r="CA39" s="12">
        <f>ROUND(CA14+NPV($C$41,CA15:CA36),0)</f>
        <v>323783</v>
      </c>
      <c r="CC39" s="12"/>
      <c r="CD39" s="12"/>
      <c r="CE39" s="12">
        <f>ROUND(CE14+NPV($C$41,CE15:CE36),0)</f>
        <v>159971</v>
      </c>
      <c r="CF39" s="12"/>
      <c r="CG39" s="16">
        <f>ROUND(CG14+NPV($C$41,CG15:CG36),0)</f>
        <v>163812</v>
      </c>
    </row>
    <row r="40" spans="1:87">
      <c r="A40" s="3"/>
      <c r="C40" s="13"/>
      <c r="F40" s="16"/>
      <c r="M40" s="16"/>
      <c r="N40" s="2"/>
      <c r="R40" s="24"/>
      <c r="T40" s="18"/>
      <c r="V40" s="16"/>
      <c r="X40" s="3" t="s">
        <v>81</v>
      </c>
      <c r="Z40" s="16"/>
      <c r="AA40" s="16"/>
      <c r="AB40" s="16"/>
      <c r="AF40" s="16"/>
      <c r="AH40" s="16"/>
      <c r="AI40" s="16"/>
      <c r="AR40" s="16"/>
      <c r="AY40" s="16"/>
      <c r="AZ40" s="16"/>
      <c r="BA40" s="16"/>
      <c r="BB40" s="16"/>
      <c r="BC40" s="16"/>
      <c r="BD40" s="16"/>
      <c r="BE40" s="16"/>
      <c r="BF40" s="16"/>
      <c r="BG40" s="7"/>
      <c r="BI40" s="12"/>
      <c r="BP40" s="16"/>
      <c r="BS40" s="16"/>
      <c r="BU40" s="16"/>
      <c r="BV40" s="7"/>
      <c r="BX40" s="12"/>
      <c r="CA40" s="16"/>
      <c r="CF40" s="16"/>
    </row>
    <row r="41" spans="1:87">
      <c r="A41" s="3" t="s">
        <v>82</v>
      </c>
      <c r="C41" s="13">
        <f>+'Gas Input Table Summary'!$D$27</f>
        <v>7.0099999999999996E-2</v>
      </c>
      <c r="E41" s="39" t="s">
        <v>88</v>
      </c>
      <c r="F41" s="40" t="s">
        <v>89</v>
      </c>
      <c r="G41" s="41" t="s">
        <v>90</v>
      </c>
      <c r="K41" s="3" t="s">
        <v>83</v>
      </c>
      <c r="M41" s="16"/>
      <c r="N41" s="12">
        <f>AB39</f>
        <v>88877</v>
      </c>
      <c r="Q41" s="12"/>
      <c r="R41" s="24"/>
      <c r="T41" s="18"/>
      <c r="U41" s="18"/>
      <c r="V41" s="16"/>
      <c r="X41" s="3" t="s">
        <v>81</v>
      </c>
      <c r="Z41" s="16"/>
      <c r="AA41" s="16"/>
      <c r="AB41" s="16"/>
      <c r="AD41" s="3" t="s">
        <v>83</v>
      </c>
      <c r="AF41" s="16"/>
      <c r="AG41" s="12">
        <f>AN39</f>
        <v>198529</v>
      </c>
      <c r="AH41" s="12"/>
      <c r="AI41" s="16"/>
      <c r="AM41" s="16"/>
      <c r="AP41" s="3" t="s">
        <v>83</v>
      </c>
      <c r="AR41" s="16"/>
      <c r="AS41" s="12">
        <f>BE39</f>
        <v>464642</v>
      </c>
      <c r="AU41" s="12"/>
      <c r="AW41" s="12"/>
      <c r="AY41" s="16"/>
      <c r="AZ41" s="16"/>
      <c r="BA41" s="25"/>
      <c r="BB41" s="16"/>
      <c r="BC41" s="16"/>
      <c r="BD41" s="16"/>
      <c r="BF41" s="16"/>
      <c r="BG41" s="3" t="s">
        <v>83</v>
      </c>
      <c r="BJ41" s="12">
        <f>BT39</f>
        <v>473363</v>
      </c>
      <c r="BK41" s="12"/>
      <c r="BP41" s="16"/>
      <c r="BS41" s="16"/>
      <c r="BT41" s="16"/>
      <c r="BU41" s="16"/>
      <c r="BV41" s="3" t="s">
        <v>83</v>
      </c>
      <c r="BY41" s="12">
        <f>CG39</f>
        <v>163812</v>
      </c>
      <c r="BZ41" s="12"/>
      <c r="CA41" s="16"/>
      <c r="CF41" s="16"/>
      <c r="CG41" s="16"/>
    </row>
    <row r="42" spans="1:87" ht="13.5" thickBot="1">
      <c r="E42" s="121" t="s">
        <v>5</v>
      </c>
      <c r="F42" s="122">
        <f>N41</f>
        <v>88877</v>
      </c>
      <c r="G42" s="123">
        <f>N42</f>
        <v>1.47</v>
      </c>
      <c r="K42" s="3" t="s">
        <v>84</v>
      </c>
      <c r="N42" s="90">
        <f>ROUND(V39/AA39,2)</f>
        <v>1.47</v>
      </c>
      <c r="Q42" s="18"/>
      <c r="R42" s="24"/>
      <c r="AB42" s="16"/>
      <c r="AD42" s="3" t="s">
        <v>84</v>
      </c>
      <c r="AF42" s="18"/>
      <c r="AG42" s="35">
        <f>ROUND(AH39/AL39,2)</f>
        <v>3.46</v>
      </c>
      <c r="AH42" s="18"/>
      <c r="AP42" s="3" t="s">
        <v>84</v>
      </c>
      <c r="AR42" s="18"/>
      <c r="AS42" s="35">
        <f>ROUND(AZ39/BD39,2)</f>
        <v>3.9</v>
      </c>
      <c r="AU42" s="18"/>
      <c r="AW42" s="18"/>
      <c r="AZ42" s="2"/>
      <c r="BD42" s="16"/>
      <c r="BG42" s="3" t="s">
        <v>84</v>
      </c>
      <c r="BJ42" s="35">
        <f>ROUND(BP39/BR39,20)</f>
        <v>4.3914111923884303</v>
      </c>
      <c r="BK42" s="18"/>
      <c r="BV42" s="3" t="s">
        <v>84</v>
      </c>
      <c r="BY42" s="35">
        <f>ROUND(CA39/CE39,2)</f>
        <v>2.02</v>
      </c>
      <c r="BZ42" s="18"/>
    </row>
    <row r="43" spans="1:87" ht="13.5" thickTop="1">
      <c r="A43" s="2" t="s">
        <v>85</v>
      </c>
      <c r="C43" s="13">
        <f>+'Gas Input Table Summary'!$D$28</f>
        <v>2.29E-2</v>
      </c>
      <c r="E43" s="37" t="s">
        <v>6</v>
      </c>
      <c r="F43" s="12">
        <f>AG41</f>
        <v>198529</v>
      </c>
      <c r="G43" s="120">
        <f>AG42</f>
        <v>3.46</v>
      </c>
      <c r="J43" s="74"/>
      <c r="K43" s="75"/>
      <c r="L43" s="74"/>
      <c r="M43" s="74"/>
      <c r="N43" s="74"/>
      <c r="O43" s="74"/>
      <c r="Q43" s="74"/>
      <c r="R43" s="76"/>
      <c r="S43" s="74"/>
      <c r="T43" s="74"/>
      <c r="U43" s="74"/>
      <c r="V43" s="74"/>
      <c r="W43" s="74"/>
      <c r="X43" s="74"/>
      <c r="AB43" s="16"/>
      <c r="AD43" s="3"/>
      <c r="AM43" s="26"/>
      <c r="AN43" s="3"/>
      <c r="AP43" s="3"/>
      <c r="AZ43" s="2"/>
      <c r="BB43" s="26"/>
      <c r="BE43" s="3"/>
      <c r="BG43" s="7"/>
      <c r="BV43" s="7"/>
      <c r="CI43" s="17"/>
    </row>
    <row r="44" spans="1:87">
      <c r="E44" s="38" t="s">
        <v>7</v>
      </c>
      <c r="F44" s="12">
        <f>AS41</f>
        <v>464642</v>
      </c>
      <c r="G44" s="120">
        <f>AS42</f>
        <v>3.9</v>
      </c>
      <c r="J44" s="57" t="s">
        <v>125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AB44" s="16"/>
      <c r="AZ44" s="2"/>
      <c r="BD44" s="7"/>
      <c r="BV44" s="57" t="s">
        <v>125</v>
      </c>
      <c r="BW44" s="58"/>
      <c r="BX44" s="66"/>
      <c r="BY44" s="66"/>
      <c r="BZ44" s="67"/>
      <c r="CI44" s="17"/>
    </row>
    <row r="45" spans="1:87">
      <c r="A45" s="3" t="s">
        <v>86</v>
      </c>
      <c r="C45" s="136">
        <f>+'Gas Input Table Summary'!$D$29</f>
        <v>2025</v>
      </c>
      <c r="E45" s="37" t="s">
        <v>8</v>
      </c>
      <c r="F45" s="12">
        <f>BJ41</f>
        <v>473363</v>
      </c>
      <c r="G45" s="120">
        <f>BJ42</f>
        <v>4.3914111923884303</v>
      </c>
      <c r="J45" s="68" t="s">
        <v>48</v>
      </c>
      <c r="K45" s="69" t="s">
        <v>122</v>
      </c>
      <c r="L45" s="70"/>
      <c r="M45" s="70"/>
      <c r="N45" s="70"/>
      <c r="O45" s="70"/>
      <c r="P45" s="70"/>
      <c r="Q45" s="70"/>
      <c r="R45" s="70"/>
      <c r="S45" s="70"/>
      <c r="T45" s="71" t="s">
        <v>56</v>
      </c>
      <c r="U45" s="69" t="s">
        <v>143</v>
      </c>
      <c r="V45" s="70"/>
      <c r="W45" s="70"/>
      <c r="X45" s="72"/>
      <c r="AB45" s="16"/>
      <c r="AD45" s="57" t="s">
        <v>125</v>
      </c>
      <c r="AE45" s="58"/>
      <c r="AF45" s="66"/>
      <c r="AG45" s="66"/>
      <c r="AH45" s="67"/>
      <c r="AI45" s="67"/>
      <c r="AJ45" s="67"/>
      <c r="AK45" s="67"/>
      <c r="AN45" s="3"/>
      <c r="AP45" s="57" t="s">
        <v>125</v>
      </c>
      <c r="AQ45" s="58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7"/>
      <c r="BG45" s="57" t="s">
        <v>125</v>
      </c>
      <c r="BH45" s="58"/>
      <c r="BI45" s="66"/>
      <c r="BJ45" s="66"/>
      <c r="BK45" s="66"/>
      <c r="BL45" s="66"/>
      <c r="BM45" s="66"/>
      <c r="BN45" s="66"/>
      <c r="BO45" s="249"/>
      <c r="BP45" s="66"/>
      <c r="BQ45" s="66"/>
      <c r="BR45" s="66"/>
      <c r="BS45" s="66"/>
      <c r="BT45" s="67"/>
      <c r="BV45" s="85" t="s">
        <v>48</v>
      </c>
      <c r="BW45" s="118" t="s">
        <v>163</v>
      </c>
      <c r="BX45" s="70"/>
      <c r="BY45" s="70"/>
      <c r="BZ45" s="72"/>
      <c r="CA45" s="56" t="s">
        <v>81</v>
      </c>
      <c r="CB45" s="56"/>
      <c r="CC45" s="56"/>
      <c r="CD45" s="56"/>
      <c r="CE45" s="56"/>
      <c r="CI45" s="17"/>
    </row>
    <row r="46" spans="1:87">
      <c r="C46" s="7"/>
      <c r="E46" s="124" t="s">
        <v>218</v>
      </c>
      <c r="F46" s="125">
        <f>BY41</f>
        <v>163812</v>
      </c>
      <c r="G46" s="126">
        <f>BY42</f>
        <v>2.02</v>
      </c>
      <c r="J46" s="38" t="s">
        <v>49</v>
      </c>
      <c r="K46" s="48" t="s">
        <v>140</v>
      </c>
      <c r="N46" s="2"/>
      <c r="T46" s="5" t="s">
        <v>57</v>
      </c>
      <c r="U46" s="48" t="s">
        <v>144</v>
      </c>
      <c r="X46" s="60"/>
      <c r="AB46" s="5"/>
      <c r="AD46" s="68" t="s">
        <v>48</v>
      </c>
      <c r="AE46" s="69" t="s">
        <v>163</v>
      </c>
      <c r="AF46" s="70"/>
      <c r="AG46" s="70"/>
      <c r="AH46" s="70"/>
      <c r="AI46" s="70"/>
      <c r="AJ46" s="70"/>
      <c r="AK46" s="72"/>
      <c r="AN46" s="3"/>
      <c r="AP46" s="82" t="s">
        <v>48</v>
      </c>
      <c r="AQ46" s="69" t="s">
        <v>163</v>
      </c>
      <c r="AR46" s="70"/>
      <c r="AS46" s="70"/>
      <c r="AU46" s="70"/>
      <c r="AW46" s="5" t="s">
        <v>55</v>
      </c>
      <c r="AZ46" s="48" t="s">
        <v>153</v>
      </c>
      <c r="BD46" s="70"/>
      <c r="BE46" s="72"/>
      <c r="BG46" s="85" t="s">
        <v>48</v>
      </c>
      <c r="BH46" s="69" t="s">
        <v>157</v>
      </c>
      <c r="BI46" s="70"/>
      <c r="BJ46" s="70"/>
      <c r="BK46" s="70"/>
      <c r="BL46" s="246" t="s">
        <v>54</v>
      </c>
      <c r="BM46" s="69" t="s">
        <v>158</v>
      </c>
      <c r="BN46" s="70"/>
      <c r="BO46" s="70"/>
      <c r="BP46" s="70"/>
      <c r="BQ46" s="70"/>
      <c r="BR46" s="70"/>
      <c r="BS46" s="70"/>
      <c r="BT46" s="72"/>
      <c r="BV46" s="86" t="s">
        <v>49</v>
      </c>
      <c r="BW46" s="119" t="s">
        <v>164</v>
      </c>
      <c r="BZ46" s="60"/>
      <c r="CI46" s="17"/>
    </row>
    <row r="47" spans="1:87">
      <c r="A47" s="3" t="s">
        <v>87</v>
      </c>
      <c r="C47" s="136">
        <f>+'Total Program Inputs'!C6</f>
        <v>2025</v>
      </c>
      <c r="J47" s="38" t="s">
        <v>50</v>
      </c>
      <c r="K47" s="19" t="s">
        <v>121</v>
      </c>
      <c r="N47" s="2"/>
      <c r="T47" s="5" t="s">
        <v>58</v>
      </c>
      <c r="U47" s="48" t="s">
        <v>160</v>
      </c>
      <c r="X47" s="60"/>
      <c r="AB47" s="12"/>
      <c r="AD47" s="38" t="s">
        <v>49</v>
      </c>
      <c r="AE47" s="19" t="s">
        <v>164</v>
      </c>
      <c r="AK47" s="60"/>
      <c r="AP47" s="83" t="s">
        <v>54</v>
      </c>
      <c r="AQ47" s="48" t="s">
        <v>164</v>
      </c>
      <c r="AW47" s="5" t="s">
        <v>56</v>
      </c>
      <c r="AZ47" s="19" t="s">
        <v>154</v>
      </c>
      <c r="BE47" s="60"/>
      <c r="BG47" s="86" t="s">
        <v>49</v>
      </c>
      <c r="BH47" s="48" t="s">
        <v>126</v>
      </c>
      <c r="BL47" s="7" t="s">
        <v>55</v>
      </c>
      <c r="BM47" s="19" t="s">
        <v>167</v>
      </c>
      <c r="BO47" s="56"/>
      <c r="BP47" s="56"/>
      <c r="BQ47" s="56"/>
      <c r="BR47" s="56"/>
      <c r="BT47" s="60"/>
      <c r="BV47" s="86" t="s">
        <v>50</v>
      </c>
      <c r="BW47" s="119" t="s">
        <v>220</v>
      </c>
      <c r="BZ47" s="60"/>
      <c r="CI47" s="17"/>
    </row>
    <row r="48" spans="1:87">
      <c r="A48" s="127"/>
      <c r="C48" s="7"/>
      <c r="J48" s="38" t="s">
        <v>51</v>
      </c>
      <c r="K48" s="48" t="s">
        <v>139</v>
      </c>
      <c r="N48" s="2"/>
      <c r="T48" s="5" t="s">
        <v>59</v>
      </c>
      <c r="U48" s="19" t="s">
        <v>161</v>
      </c>
      <c r="X48" s="60"/>
      <c r="AB48" s="16"/>
      <c r="AD48" s="38" t="s">
        <v>50</v>
      </c>
      <c r="AE48" s="19" t="s">
        <v>165</v>
      </c>
      <c r="AK48" s="60"/>
      <c r="AP48" s="83" t="s">
        <v>50</v>
      </c>
      <c r="AQ48" s="48" t="s">
        <v>201</v>
      </c>
      <c r="AW48" s="5" t="s">
        <v>57</v>
      </c>
      <c r="AZ48" s="19" t="s">
        <v>155</v>
      </c>
      <c r="BE48" s="60"/>
      <c r="BG48" s="86" t="s">
        <v>50</v>
      </c>
      <c r="BH48" s="19" t="s">
        <v>130</v>
      </c>
      <c r="BL48" s="7" t="s">
        <v>56</v>
      </c>
      <c r="BM48" s="19" t="s">
        <v>159</v>
      </c>
      <c r="BT48" s="60"/>
      <c r="BV48" s="86" t="s">
        <v>51</v>
      </c>
      <c r="BW48" s="119" t="s">
        <v>128</v>
      </c>
      <c r="BZ48" s="60"/>
      <c r="CI48" s="17"/>
    </row>
    <row r="49" spans="1:108">
      <c r="A49" s="127"/>
      <c r="C49" s="7"/>
      <c r="J49" s="38" t="s">
        <v>52</v>
      </c>
      <c r="K49" s="19" t="s">
        <v>141</v>
      </c>
      <c r="N49" s="2"/>
      <c r="O49" s="24"/>
      <c r="T49" s="5" t="s">
        <v>60</v>
      </c>
      <c r="U49" s="48" t="s">
        <v>147</v>
      </c>
      <c r="X49" s="60"/>
      <c r="AB49" s="16"/>
      <c r="AD49" s="38" t="s">
        <v>51</v>
      </c>
      <c r="AE49" s="48" t="s">
        <v>127</v>
      </c>
      <c r="AK49" s="60"/>
      <c r="AO49" s="3"/>
      <c r="AP49" s="83" t="s">
        <v>51</v>
      </c>
      <c r="AQ49" s="48" t="s">
        <v>152</v>
      </c>
      <c r="AW49" s="5" t="s">
        <v>58</v>
      </c>
      <c r="AZ49" s="19" t="s">
        <v>156</v>
      </c>
      <c r="BE49" s="60"/>
      <c r="BG49" s="86" t="s">
        <v>51</v>
      </c>
      <c r="BH49" s="48" t="s">
        <v>131</v>
      </c>
      <c r="BT49" s="60"/>
      <c r="BV49" s="86" t="s">
        <v>52</v>
      </c>
      <c r="BW49" s="119" t="s">
        <v>224</v>
      </c>
      <c r="BZ49" s="60"/>
    </row>
    <row r="50" spans="1:108">
      <c r="J50" s="38" t="s">
        <v>53</v>
      </c>
      <c r="K50" s="48" t="s">
        <v>142</v>
      </c>
      <c r="N50" s="2"/>
      <c r="T50" s="5" t="s">
        <v>61</v>
      </c>
      <c r="U50" s="19" t="s">
        <v>129</v>
      </c>
      <c r="X50" s="60"/>
      <c r="AD50" s="38" t="s">
        <v>52</v>
      </c>
      <c r="AE50" s="48" t="s">
        <v>157</v>
      </c>
      <c r="AK50" s="60"/>
      <c r="AP50" s="83" t="s">
        <v>52</v>
      </c>
      <c r="AQ50" s="48" t="s">
        <v>135</v>
      </c>
      <c r="AW50" s="5"/>
      <c r="AZ50" s="2"/>
      <c r="BE50" s="60"/>
      <c r="BG50" s="86" t="s">
        <v>52</v>
      </c>
      <c r="BH50" s="48" t="s">
        <v>166</v>
      </c>
      <c r="BT50" s="60"/>
      <c r="BV50" s="86" t="s">
        <v>53</v>
      </c>
      <c r="BW50" s="119" t="s">
        <v>225</v>
      </c>
      <c r="BZ50" s="60"/>
    </row>
    <row r="51" spans="1:108" ht="14.1" customHeight="1">
      <c r="A51" s="151"/>
      <c r="J51" s="38" t="s">
        <v>54</v>
      </c>
      <c r="K51" s="48" t="s">
        <v>123</v>
      </c>
      <c r="N51" s="2"/>
      <c r="T51" s="5" t="s">
        <v>138</v>
      </c>
      <c r="U51" s="19" t="s">
        <v>162</v>
      </c>
      <c r="X51" s="60"/>
      <c r="AD51" s="38" t="s">
        <v>53</v>
      </c>
      <c r="AE51" s="19" t="s">
        <v>149</v>
      </c>
      <c r="AK51" s="60"/>
      <c r="AP51" s="83" t="s">
        <v>53</v>
      </c>
      <c r="AQ51" s="48" t="s">
        <v>136</v>
      </c>
      <c r="AW51" s="5"/>
      <c r="AZ51" s="2"/>
      <c r="BE51" s="60"/>
      <c r="BG51" s="247" t="s">
        <v>53</v>
      </c>
      <c r="BH51" s="251" t="s">
        <v>330</v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64"/>
      <c r="BV51" s="86" t="s">
        <v>54</v>
      </c>
      <c r="BW51" s="119" t="s">
        <v>221</v>
      </c>
      <c r="BZ51" s="60"/>
    </row>
    <row r="52" spans="1:108" ht="14.1" customHeight="1">
      <c r="A52" s="3"/>
      <c r="C52" s="13"/>
      <c r="J52" s="89" t="s">
        <v>55</v>
      </c>
      <c r="K52" s="62" t="s">
        <v>124</v>
      </c>
      <c r="L52" s="10"/>
      <c r="M52" s="10"/>
      <c r="N52" s="10"/>
      <c r="O52" s="10"/>
      <c r="P52" s="10"/>
      <c r="Q52" s="10"/>
      <c r="R52" s="10"/>
      <c r="S52" s="10"/>
      <c r="T52" s="63" t="s">
        <v>146</v>
      </c>
      <c r="U52" s="62" t="s">
        <v>148</v>
      </c>
      <c r="V52" s="10"/>
      <c r="W52" s="10"/>
      <c r="X52" s="64"/>
      <c r="AD52" s="61" t="s">
        <v>54</v>
      </c>
      <c r="AE52" s="73" t="s">
        <v>150</v>
      </c>
      <c r="AF52" s="10"/>
      <c r="AG52" s="10"/>
      <c r="AH52" s="10"/>
      <c r="AI52" s="10"/>
      <c r="AJ52" s="10"/>
      <c r="AK52" s="64"/>
      <c r="AP52" s="84" t="s">
        <v>54</v>
      </c>
      <c r="AQ52" s="73" t="s">
        <v>151</v>
      </c>
      <c r="AR52" s="10"/>
      <c r="AS52" s="10"/>
      <c r="AT52" s="10"/>
      <c r="AU52" s="10"/>
      <c r="AV52" s="10"/>
      <c r="AW52" s="63"/>
      <c r="AX52" s="63"/>
      <c r="AY52" s="63"/>
      <c r="AZ52" s="63"/>
      <c r="BA52" s="10"/>
      <c r="BB52" s="10"/>
      <c r="BC52" s="10"/>
      <c r="BD52" s="10"/>
      <c r="BE52" s="64"/>
      <c r="BV52" s="247" t="s">
        <v>55</v>
      </c>
      <c r="BW52" s="248" t="s">
        <v>222</v>
      </c>
      <c r="BX52" s="10"/>
      <c r="BY52" s="10"/>
      <c r="BZ52" s="64"/>
      <c r="CL52" s="18"/>
      <c r="DB52" s="16"/>
    </row>
    <row r="53" spans="1:108" ht="14.1" customHeight="1">
      <c r="C53" s="3"/>
      <c r="AD53" s="5"/>
      <c r="AZ53" s="2"/>
      <c r="BV53" s="7"/>
      <c r="CL53" s="12"/>
      <c r="DD53" s="16"/>
    </row>
    <row r="54" spans="1:108" ht="14.1" customHeight="1">
      <c r="C54" s="17"/>
      <c r="K54" s="48"/>
      <c r="N54" s="2"/>
      <c r="R54" s="24"/>
      <c r="AZ54" s="2"/>
    </row>
    <row r="55" spans="1:108" ht="14.1" customHeight="1">
      <c r="C55" s="17"/>
      <c r="K55" s="48"/>
      <c r="N55" s="2"/>
      <c r="R55" s="24"/>
      <c r="AB55" s="16"/>
      <c r="AP55" s="5"/>
      <c r="AZ55" s="2"/>
      <c r="BG55" s="7"/>
      <c r="BV55" s="7"/>
    </row>
    <row r="56" spans="1:108">
      <c r="C56" s="17"/>
      <c r="K56" s="48"/>
      <c r="N56" s="2"/>
      <c r="R56" s="24"/>
      <c r="AP56" s="3"/>
      <c r="AZ56" s="2"/>
      <c r="BH56" s="7"/>
      <c r="BW56" s="7"/>
    </row>
    <row r="57" spans="1:108">
      <c r="C57" s="28"/>
      <c r="N57" s="2"/>
      <c r="Q57" s="24"/>
      <c r="V57" s="267"/>
      <c r="AA57" s="267"/>
      <c r="AB57" s="267"/>
      <c r="AH57" s="267"/>
      <c r="AL57" s="267"/>
      <c r="AN57" s="267"/>
      <c r="AO57" s="3"/>
      <c r="AZ57" s="267"/>
      <c r="BD57" s="267"/>
      <c r="BE57" s="267"/>
      <c r="BG57" s="7"/>
      <c r="BP57" s="267"/>
      <c r="BR57" s="267"/>
      <c r="BS57" s="267"/>
      <c r="BT57" s="267"/>
      <c r="BV57" s="7"/>
      <c r="CA57" s="267"/>
      <c r="CE57" s="267"/>
      <c r="CG57" s="267"/>
    </row>
    <row r="58" spans="1:108">
      <c r="C58" s="28"/>
      <c r="N58" s="2"/>
      <c r="Q58" s="24"/>
      <c r="AN58" s="268"/>
      <c r="AZ58" s="2"/>
      <c r="BE58" s="268"/>
      <c r="BG58" s="7"/>
      <c r="BT58" s="268"/>
      <c r="BV58" s="7"/>
      <c r="CG58" s="268"/>
    </row>
    <row r="59" spans="1:108">
      <c r="C59" s="17"/>
      <c r="N59" s="2"/>
      <c r="Q59" s="24"/>
      <c r="AB59" s="268"/>
      <c r="AZ59" s="2"/>
      <c r="BG59" s="7"/>
      <c r="BV59" s="7"/>
    </row>
    <row r="60" spans="1:108">
      <c r="N60" s="2"/>
      <c r="Q60" s="24"/>
      <c r="AZ60" s="2"/>
      <c r="BG60" s="7"/>
      <c r="BV60" s="7"/>
    </row>
    <row r="61" spans="1:108">
      <c r="N61" s="2"/>
      <c r="Q61" s="24"/>
      <c r="AZ61" s="2"/>
      <c r="BG61" s="7"/>
      <c r="BV61" s="7"/>
    </row>
    <row r="62" spans="1:108" ht="12" customHeight="1">
      <c r="N62" s="2"/>
      <c r="Q62" s="24"/>
      <c r="AZ62" s="2"/>
      <c r="BG62" s="7"/>
      <c r="BV62" s="7"/>
    </row>
    <row r="63" spans="1:108">
      <c r="N63" s="2"/>
      <c r="Q63" s="24"/>
      <c r="AZ63" s="2"/>
      <c r="BG63" s="7"/>
      <c r="BV63" s="7"/>
    </row>
    <row r="64" spans="1:108">
      <c r="N64" s="2"/>
      <c r="Q64" s="24"/>
      <c r="AZ64" s="2"/>
      <c r="BG64" s="7"/>
      <c r="BV64" s="7"/>
    </row>
    <row r="65" spans="1:74">
      <c r="C65" s="12"/>
      <c r="N65" s="2"/>
      <c r="Q65" s="24"/>
      <c r="AZ65" s="2"/>
      <c r="BG65" s="7"/>
      <c r="BV65" s="7"/>
    </row>
    <row r="66" spans="1:74">
      <c r="A66" s="9"/>
      <c r="B66" s="3"/>
      <c r="N66" s="2"/>
      <c r="Q66" s="24"/>
      <c r="AZ66" s="2"/>
      <c r="BG66" s="7"/>
      <c r="BV66" s="7"/>
    </row>
    <row r="67" spans="1:74">
      <c r="A67" s="9"/>
      <c r="B67" s="3"/>
      <c r="N67" s="2"/>
      <c r="Q67" s="24"/>
      <c r="AZ67" s="2"/>
      <c r="BG67" s="7"/>
      <c r="BV67" s="7"/>
    </row>
    <row r="68" spans="1:74">
      <c r="N68" s="2"/>
      <c r="Q68" s="24"/>
      <c r="AZ68" s="2"/>
      <c r="BG68" s="7"/>
      <c r="BV68" s="7"/>
    </row>
    <row r="69" spans="1:74">
      <c r="N69" s="2"/>
      <c r="Q69" s="24"/>
      <c r="AZ69" s="2"/>
      <c r="BG69" s="7"/>
      <c r="BV69" s="7"/>
    </row>
    <row r="70" spans="1:74">
      <c r="N70" s="2"/>
      <c r="Q70" s="24"/>
      <c r="AZ70" s="2"/>
      <c r="BG70" s="7"/>
      <c r="BV70" s="7"/>
    </row>
    <row r="71" spans="1:74">
      <c r="N71" s="2"/>
      <c r="Q71" s="24"/>
      <c r="AZ71" s="2"/>
      <c r="BG71" s="7"/>
      <c r="BV71" s="7"/>
    </row>
    <row r="72" spans="1:74">
      <c r="N72" s="2"/>
      <c r="Q72" s="24"/>
      <c r="AZ72" s="2"/>
      <c r="BG72" s="7"/>
      <c r="BV72" s="7"/>
    </row>
    <row r="73" spans="1:74">
      <c r="N73" s="2"/>
      <c r="Q73" s="24"/>
      <c r="AZ73" s="2"/>
      <c r="BG73" s="7"/>
      <c r="BV73" s="7"/>
    </row>
    <row r="74" spans="1:74">
      <c r="N74" s="2"/>
      <c r="Q74" s="24"/>
      <c r="AZ74" s="2"/>
      <c r="BG74" s="7"/>
      <c r="BV74" s="7"/>
    </row>
    <row r="75" spans="1:74">
      <c r="N75" s="2"/>
      <c r="Q75" s="24"/>
      <c r="AZ75" s="2"/>
      <c r="BG75" s="7"/>
      <c r="BV75" s="7"/>
    </row>
    <row r="76" spans="1:74">
      <c r="N76" s="2"/>
      <c r="Q76" s="24"/>
      <c r="AZ76" s="2"/>
      <c r="BG76" s="7"/>
      <c r="BV76" s="7"/>
    </row>
    <row r="77" spans="1:74">
      <c r="N77" s="2"/>
      <c r="Q77" s="24"/>
      <c r="AZ77" s="2"/>
      <c r="BG77" s="7"/>
      <c r="BV77" s="7"/>
    </row>
    <row r="78" spans="1:74">
      <c r="N78" s="2"/>
      <c r="Q78" s="24"/>
      <c r="AZ78" s="2"/>
      <c r="BG78" s="7"/>
      <c r="BV78" s="7"/>
    </row>
    <row r="79" spans="1:74">
      <c r="N79" s="2"/>
      <c r="Q79" s="24"/>
      <c r="AZ79" s="2"/>
      <c r="BG79" s="7"/>
      <c r="BV79" s="7"/>
    </row>
    <row r="80" spans="1:74">
      <c r="N80" s="2"/>
      <c r="Q80" s="24"/>
      <c r="AZ80" s="2"/>
      <c r="BG80" s="7"/>
      <c r="BV80" s="7"/>
    </row>
    <row r="81" spans="6:74">
      <c r="F81" s="26"/>
      <c r="G81" s="26"/>
      <c r="N81" s="2"/>
      <c r="Q81" s="24"/>
      <c r="AZ81" s="2"/>
      <c r="BG81" s="7"/>
      <c r="BV81" s="7"/>
    </row>
    <row r="82" spans="6:74">
      <c r="N82" s="2"/>
      <c r="Q82" s="24"/>
      <c r="AZ82" s="2"/>
      <c r="BG82" s="7"/>
      <c r="BV82" s="7"/>
    </row>
    <row r="83" spans="6:74">
      <c r="N83" s="2"/>
      <c r="Q83" s="24"/>
      <c r="AZ83" s="2"/>
      <c r="BG83" s="7"/>
      <c r="BV83" s="7"/>
    </row>
    <row r="84" spans="6:74">
      <c r="N84" s="2"/>
      <c r="Q84" s="24"/>
      <c r="AZ84" s="2"/>
      <c r="BG84" s="7"/>
      <c r="BV84" s="7"/>
    </row>
    <row r="85" spans="6:74">
      <c r="N85" s="2"/>
      <c r="Q85" s="24"/>
      <c r="AZ85" s="2"/>
      <c r="BG85" s="7"/>
      <c r="BV85" s="7"/>
    </row>
    <row r="86" spans="6:74">
      <c r="N86" s="2"/>
      <c r="Q86" s="24"/>
      <c r="AZ86" s="2"/>
      <c r="BG86" s="7"/>
      <c r="BV86" s="7"/>
    </row>
    <row r="87" spans="6:74">
      <c r="N87" s="2"/>
      <c r="Q87" s="24"/>
      <c r="AZ87" s="2"/>
      <c r="BG87" s="7"/>
      <c r="BV87" s="7"/>
    </row>
    <row r="88" spans="6:74">
      <c r="N88" s="2"/>
      <c r="Q88" s="24"/>
      <c r="AZ88" s="2"/>
      <c r="BG88" s="7"/>
      <c r="BV88" s="7"/>
    </row>
    <row r="89" spans="6:74">
      <c r="N89" s="2"/>
      <c r="Q89" s="24"/>
      <c r="AZ89" s="2"/>
      <c r="BG89" s="7"/>
      <c r="BV89" s="7"/>
    </row>
    <row r="90" spans="6:74">
      <c r="N90" s="2"/>
      <c r="Q90" s="24"/>
      <c r="AZ90" s="2"/>
      <c r="BG90" s="7"/>
      <c r="BV90" s="7"/>
    </row>
    <row r="91" spans="6:74">
      <c r="N91" s="2"/>
      <c r="Q91" s="24"/>
      <c r="AZ91" s="2"/>
      <c r="BG91" s="7"/>
      <c r="BV91" s="7"/>
    </row>
    <row r="92" spans="6:74">
      <c r="N92" s="2"/>
      <c r="Q92" s="24"/>
      <c r="AZ92" s="2"/>
      <c r="BG92" s="7"/>
      <c r="BV92" s="7"/>
    </row>
    <row r="93" spans="6:74">
      <c r="N93" s="2"/>
      <c r="Q93" s="24"/>
      <c r="AZ93" s="2"/>
      <c r="BG93" s="7"/>
      <c r="BV93" s="7"/>
    </row>
    <row r="94" spans="6:74">
      <c r="N94" s="2"/>
      <c r="Q94" s="24"/>
      <c r="AZ94" s="2"/>
      <c r="BG94" s="7"/>
      <c r="BV94" s="7"/>
    </row>
    <row r="95" spans="6:74">
      <c r="N95" s="2"/>
      <c r="Q95" s="24"/>
      <c r="AZ95" s="2"/>
      <c r="BG95" s="7"/>
      <c r="BV95" s="7"/>
    </row>
    <row r="96" spans="6:74">
      <c r="N96" s="2"/>
      <c r="Q96" s="24"/>
      <c r="AZ96" s="2"/>
      <c r="BG96" s="7"/>
      <c r="BV96" s="7"/>
    </row>
    <row r="97" spans="1:74">
      <c r="N97" s="2"/>
      <c r="Q97" s="24"/>
      <c r="AZ97" s="2"/>
      <c r="BG97" s="7"/>
      <c r="BV97" s="7"/>
    </row>
    <row r="98" spans="1:74">
      <c r="N98" s="2"/>
      <c r="Q98" s="24"/>
      <c r="AZ98" s="2"/>
      <c r="BG98" s="7"/>
      <c r="BV98" s="7"/>
    </row>
    <row r="99" spans="1:74">
      <c r="N99" s="2"/>
      <c r="Q99" s="24"/>
      <c r="AZ99" s="2"/>
      <c r="BG99" s="7"/>
      <c r="BV99" s="7"/>
    </row>
    <row r="100" spans="1:74">
      <c r="N100" s="2"/>
      <c r="Q100" s="24"/>
      <c r="AZ100" s="2"/>
      <c r="BG100" s="7"/>
      <c r="BV100" s="7"/>
    </row>
    <row r="101" spans="1:74">
      <c r="N101" s="2"/>
      <c r="Q101" s="24"/>
      <c r="AZ101" s="2"/>
      <c r="BG101" s="7"/>
      <c r="BV101" s="7"/>
    </row>
    <row r="102" spans="1:74">
      <c r="N102" s="2"/>
      <c r="Q102" s="24"/>
      <c r="AZ102" s="2"/>
      <c r="BG102" s="7"/>
      <c r="BV102" s="7"/>
    </row>
    <row r="103" spans="1:74">
      <c r="N103" s="2"/>
      <c r="Q103" s="24"/>
      <c r="AZ103" s="2"/>
      <c r="BG103" s="7"/>
      <c r="BV103" s="7"/>
    </row>
    <row r="104" spans="1:74">
      <c r="N104" s="2"/>
      <c r="Q104" s="24"/>
      <c r="AZ104" s="2"/>
      <c r="BG104" s="7"/>
      <c r="BV104" s="7"/>
    </row>
    <row r="105" spans="1:74">
      <c r="E105" s="29"/>
      <c r="N105" s="2"/>
      <c r="Q105" s="24"/>
      <c r="AZ105" s="2"/>
      <c r="BG105" s="7"/>
      <c r="BV105" s="7"/>
    </row>
    <row r="106" spans="1:74">
      <c r="N106" s="2"/>
      <c r="Q106" s="24"/>
      <c r="AZ106" s="2"/>
      <c r="BG106" s="7"/>
      <c r="BV106" s="7"/>
    </row>
    <row r="107" spans="1:74">
      <c r="N107" s="2"/>
      <c r="Q107" s="24"/>
      <c r="AZ107" s="2"/>
      <c r="BG107" s="7"/>
      <c r="BV107" s="7"/>
    </row>
    <row r="108" spans="1:74">
      <c r="N108" s="2"/>
      <c r="Q108" s="24"/>
      <c r="AZ108" s="2"/>
      <c r="BG108" s="7"/>
      <c r="BV108" s="7"/>
    </row>
    <row r="109" spans="1:74">
      <c r="N109" s="2"/>
      <c r="Q109" s="24"/>
      <c r="AZ109" s="2"/>
      <c r="BG109" s="7"/>
      <c r="BV109" s="7"/>
    </row>
    <row r="110" spans="1:74">
      <c r="N110" s="2"/>
      <c r="Q110" s="24"/>
      <c r="AZ110" s="2"/>
      <c r="BG110" s="7"/>
      <c r="BV110" s="7"/>
    </row>
    <row r="111" spans="1:74">
      <c r="A111" s="9"/>
      <c r="B111" s="3"/>
      <c r="N111" s="2"/>
      <c r="Q111" s="24"/>
      <c r="AZ111" s="2"/>
      <c r="BG111" s="7"/>
      <c r="BV111" s="7"/>
    </row>
    <row r="112" spans="1:74">
      <c r="N112" s="2"/>
      <c r="Q112" s="24"/>
      <c r="AZ112" s="2"/>
      <c r="BG112" s="7"/>
      <c r="BV112" s="7"/>
    </row>
    <row r="113" spans="1:74">
      <c r="N113" s="2"/>
      <c r="Q113" s="24"/>
      <c r="AZ113" s="2"/>
      <c r="BG113" s="7"/>
      <c r="BV113" s="7"/>
    </row>
    <row r="114" spans="1:74">
      <c r="N114" s="2"/>
      <c r="Q114" s="24"/>
      <c r="AZ114" s="2"/>
      <c r="BG114" s="7"/>
      <c r="BV114" s="7"/>
    </row>
    <row r="115" spans="1:74">
      <c r="N115" s="2"/>
      <c r="Q115" s="24"/>
      <c r="AZ115" s="2"/>
      <c r="BG115" s="7"/>
      <c r="BV115" s="7"/>
    </row>
    <row r="116" spans="1:74">
      <c r="N116" s="2"/>
      <c r="Q116" s="24"/>
      <c r="AZ116" s="2"/>
      <c r="BG116" s="7"/>
      <c r="BV116" s="7"/>
    </row>
    <row r="117" spans="1:74">
      <c r="N117" s="2"/>
      <c r="Q117" s="24"/>
      <c r="AZ117" s="2"/>
      <c r="BG117" s="7"/>
      <c r="BV117" s="7"/>
    </row>
    <row r="118" spans="1:74">
      <c r="N118" s="2"/>
      <c r="Q118" s="24"/>
      <c r="AZ118" s="2"/>
      <c r="BG118" s="7"/>
      <c r="BV118" s="7"/>
    </row>
    <row r="119" spans="1:74">
      <c r="N119" s="2"/>
      <c r="Q119" s="24"/>
      <c r="AZ119" s="2"/>
      <c r="BG119" s="7"/>
      <c r="BV119" s="7"/>
    </row>
    <row r="120" spans="1:74">
      <c r="N120" s="2"/>
      <c r="Q120" s="24"/>
      <c r="AZ120" s="2"/>
      <c r="BG120" s="7"/>
      <c r="BV120" s="7"/>
    </row>
    <row r="121" spans="1:74">
      <c r="N121" s="2"/>
      <c r="Q121" s="24"/>
      <c r="AZ121" s="2"/>
      <c r="BG121" s="7"/>
      <c r="BV121" s="7"/>
    </row>
    <row r="122" spans="1:74">
      <c r="N122" s="2"/>
      <c r="Q122" s="24"/>
      <c r="AZ122" s="2"/>
      <c r="BG122" s="7"/>
      <c r="BV122" s="7"/>
    </row>
    <row r="123" spans="1:74">
      <c r="N123" s="2"/>
      <c r="Q123" s="24"/>
      <c r="AZ123" s="2"/>
      <c r="BG123" s="7"/>
      <c r="BV123" s="7"/>
    </row>
    <row r="124" spans="1:74">
      <c r="N124" s="2"/>
      <c r="Q124" s="24"/>
      <c r="AZ124" s="2"/>
      <c r="BG124" s="7"/>
      <c r="BV124" s="7"/>
    </row>
    <row r="125" spans="1:74">
      <c r="N125" s="2"/>
      <c r="Q125" s="24"/>
      <c r="AZ125" s="2"/>
      <c r="BG125" s="7"/>
      <c r="BV125" s="7"/>
    </row>
    <row r="126" spans="1:74">
      <c r="N126" s="2"/>
      <c r="Q126" s="24"/>
      <c r="AZ126" s="2"/>
      <c r="BG126" s="7"/>
      <c r="BV126" s="7"/>
    </row>
    <row r="127" spans="1:74">
      <c r="N127" s="2"/>
      <c r="Q127" s="24"/>
      <c r="AZ127" s="2"/>
      <c r="BG127" s="7"/>
      <c r="BV127" s="7"/>
    </row>
    <row r="128" spans="1:74">
      <c r="A128" s="3"/>
      <c r="N128" s="2"/>
      <c r="Q128" s="24"/>
      <c r="AZ128" s="2"/>
      <c r="BG128" s="7"/>
      <c r="BV128" s="7"/>
    </row>
    <row r="129" spans="1:74">
      <c r="A129" s="3"/>
      <c r="N129" s="2"/>
      <c r="Q129" s="24"/>
      <c r="AZ129" s="2"/>
      <c r="BG129" s="7"/>
      <c r="BV129" s="7"/>
    </row>
    <row r="130" spans="1:74">
      <c r="A130" s="3"/>
      <c r="B130" s="3"/>
      <c r="N130" s="2"/>
      <c r="Q130" s="24"/>
      <c r="AZ130" s="2"/>
      <c r="BG130" s="7"/>
      <c r="BV130" s="7"/>
    </row>
    <row r="131" spans="1:74">
      <c r="N131" s="2"/>
      <c r="Q131" s="24"/>
      <c r="AZ131" s="2"/>
      <c r="BG131" s="7"/>
      <c r="BV131" s="7"/>
    </row>
    <row r="132" spans="1:74">
      <c r="A132" s="3"/>
      <c r="B132" s="3"/>
      <c r="N132" s="2"/>
      <c r="Q132" s="24"/>
      <c r="AZ132" s="2"/>
      <c r="BG132" s="7"/>
      <c r="BV132" s="7"/>
    </row>
    <row r="133" spans="1:74">
      <c r="N133" s="2"/>
      <c r="Q133" s="24"/>
      <c r="AZ133" s="2"/>
      <c r="BG133" s="7"/>
      <c r="BV133" s="7"/>
    </row>
    <row r="134" spans="1:74">
      <c r="A134" s="3"/>
      <c r="B134" s="3"/>
      <c r="N134" s="2"/>
      <c r="Q134" s="24"/>
      <c r="AZ134" s="2"/>
      <c r="BG134" s="7"/>
      <c r="BV134" s="7"/>
    </row>
    <row r="135" spans="1:74">
      <c r="N135" s="2"/>
      <c r="Q135" s="24"/>
      <c r="AZ135" s="2"/>
      <c r="BG135" s="7"/>
      <c r="BV135" s="7"/>
    </row>
    <row r="136" spans="1:74">
      <c r="A136" s="3"/>
      <c r="B136" s="3"/>
      <c r="N136" s="2"/>
      <c r="Q136" s="24"/>
      <c r="AZ136" s="2"/>
      <c r="BG136" s="7"/>
      <c r="BV136" s="7"/>
    </row>
    <row r="137" spans="1:74">
      <c r="N137" s="2"/>
      <c r="Q137" s="24"/>
      <c r="AZ137" s="2"/>
      <c r="BG137" s="7"/>
      <c r="BV137" s="7"/>
    </row>
    <row r="138" spans="1:74">
      <c r="A138" s="3"/>
      <c r="B138" s="3"/>
      <c r="N138" s="2"/>
      <c r="Q138" s="24"/>
      <c r="AZ138" s="2"/>
      <c r="BG138" s="7"/>
      <c r="BV138" s="7"/>
    </row>
    <row r="139" spans="1:74">
      <c r="N139" s="2"/>
      <c r="Q139" s="24"/>
      <c r="AZ139" s="2"/>
      <c r="BG139" s="7"/>
      <c r="BV139" s="7"/>
    </row>
    <row r="140" spans="1:74">
      <c r="A140" s="3"/>
      <c r="B140" s="3"/>
      <c r="N140" s="2"/>
      <c r="Q140" s="24"/>
      <c r="AZ140" s="2"/>
      <c r="BG140" s="7"/>
      <c r="BV140" s="7"/>
    </row>
    <row r="141" spans="1:74">
      <c r="N141" s="2"/>
      <c r="Q141" s="24"/>
      <c r="AZ141" s="2"/>
      <c r="BG141" s="7"/>
      <c r="BV141" s="7"/>
    </row>
    <row r="142" spans="1:74">
      <c r="A142" s="3"/>
      <c r="B142" s="3"/>
      <c r="N142" s="2"/>
      <c r="Q142" s="24"/>
      <c r="AZ142" s="2"/>
      <c r="BG142" s="7"/>
      <c r="BV142" s="7"/>
    </row>
    <row r="143" spans="1:74">
      <c r="N143" s="2"/>
      <c r="Q143" s="24"/>
      <c r="AZ143" s="2"/>
      <c r="BG143" s="7"/>
      <c r="BV143" s="7"/>
    </row>
    <row r="144" spans="1:74">
      <c r="A144" s="3"/>
      <c r="B144" s="3"/>
      <c r="N144" s="2"/>
      <c r="Q144" s="24"/>
      <c r="AZ144" s="2"/>
      <c r="BG144" s="7"/>
      <c r="BV144" s="7"/>
    </row>
    <row r="145" spans="1:74">
      <c r="N145" s="2"/>
      <c r="Q145" s="24"/>
      <c r="AZ145" s="2"/>
      <c r="BG145" s="7"/>
      <c r="BV145" s="7"/>
    </row>
    <row r="146" spans="1:74">
      <c r="N146" s="2"/>
      <c r="Q146" s="24"/>
      <c r="AZ146" s="2"/>
      <c r="BG146" s="7"/>
      <c r="BV146" s="7"/>
    </row>
    <row r="147" spans="1:74">
      <c r="N147" s="2"/>
      <c r="Q147" s="24"/>
      <c r="AZ147" s="2"/>
      <c r="BG147" s="7"/>
      <c r="BV147" s="7"/>
    </row>
    <row r="148" spans="1:74">
      <c r="A148" s="3"/>
      <c r="N148" s="2"/>
      <c r="Q148" s="24"/>
      <c r="AZ148" s="2"/>
      <c r="BG148" s="7"/>
      <c r="BV148" s="7"/>
    </row>
    <row r="149" spans="1:74">
      <c r="A149" s="3"/>
      <c r="N149" s="2"/>
      <c r="Q149" s="24"/>
      <c r="AZ149" s="2"/>
      <c r="BG149" s="7"/>
      <c r="BV149" s="7"/>
    </row>
    <row r="150" spans="1:74">
      <c r="A150" s="3"/>
      <c r="B150" s="3"/>
      <c r="N150" s="2"/>
      <c r="Q150" s="24"/>
      <c r="AZ150" s="2"/>
      <c r="BG150" s="7"/>
      <c r="BV150" s="7"/>
    </row>
    <row r="151" spans="1:74">
      <c r="B151" s="3"/>
      <c r="N151" s="2"/>
      <c r="Q151" s="24"/>
      <c r="AZ151" s="2"/>
      <c r="BG151" s="7"/>
      <c r="BV151" s="7"/>
    </row>
    <row r="152" spans="1:74">
      <c r="B152" s="3"/>
      <c r="N152" s="2"/>
      <c r="Q152" s="24"/>
      <c r="AZ152" s="2"/>
      <c r="BG152" s="7"/>
      <c r="BV152" s="7"/>
    </row>
    <row r="153" spans="1:74">
      <c r="B153" s="3"/>
      <c r="N153" s="2"/>
      <c r="Q153" s="24"/>
      <c r="AZ153" s="2"/>
      <c r="BG153" s="7"/>
      <c r="BV153" s="7"/>
    </row>
    <row r="154" spans="1:74">
      <c r="B154" s="3"/>
      <c r="N154" s="2"/>
      <c r="Q154" s="24"/>
      <c r="AZ154" s="2"/>
      <c r="BG154" s="7"/>
      <c r="BV154" s="7"/>
    </row>
    <row r="155" spans="1:74">
      <c r="B155" s="3"/>
      <c r="N155" s="2"/>
      <c r="Q155" s="24"/>
      <c r="AZ155" s="2"/>
      <c r="BG155" s="7"/>
      <c r="BV155" s="7"/>
    </row>
    <row r="156" spans="1:74">
      <c r="B156" s="3"/>
      <c r="N156" s="2"/>
      <c r="Q156" s="24"/>
      <c r="AZ156" s="2"/>
      <c r="BG156" s="7"/>
      <c r="BV156" s="7"/>
    </row>
    <row r="157" spans="1:74">
      <c r="B157" s="3"/>
      <c r="N157" s="2"/>
      <c r="Q157" s="24"/>
      <c r="AZ157" s="2"/>
      <c r="BG157" s="7"/>
      <c r="BV157" s="7"/>
    </row>
    <row r="158" spans="1:74">
      <c r="N158" s="2"/>
      <c r="Q158" s="24"/>
      <c r="AZ158" s="2"/>
      <c r="BG158" s="7"/>
      <c r="BV158" s="7"/>
    </row>
    <row r="159" spans="1:74">
      <c r="N159" s="2"/>
      <c r="Q159" s="24"/>
      <c r="AZ159" s="2"/>
      <c r="BG159" s="7"/>
      <c r="BV159" s="7"/>
    </row>
    <row r="160" spans="1:74">
      <c r="N160" s="2"/>
      <c r="Q160" s="24"/>
      <c r="AZ160" s="2"/>
      <c r="BG160" s="7"/>
      <c r="BV160" s="7"/>
    </row>
    <row r="161" spans="1:74">
      <c r="A161" s="3"/>
      <c r="B161" s="3"/>
      <c r="N161" s="2"/>
      <c r="Q161" s="24"/>
      <c r="AZ161" s="2"/>
      <c r="BG161" s="7"/>
      <c r="BV161" s="7"/>
    </row>
    <row r="162" spans="1:74">
      <c r="B162" s="3"/>
      <c r="N162" s="2"/>
      <c r="Q162" s="24"/>
      <c r="AZ162" s="2"/>
      <c r="BG162" s="7"/>
      <c r="BV162" s="7"/>
    </row>
    <row r="163" spans="1:74">
      <c r="N163" s="2"/>
      <c r="Q163" s="24"/>
      <c r="AZ163" s="2"/>
      <c r="BG163" s="7"/>
      <c r="BV163" s="7"/>
    </row>
    <row r="164" spans="1:74">
      <c r="N164" s="2"/>
      <c r="Q164" s="24"/>
      <c r="AZ164" s="2"/>
      <c r="BG164" s="7"/>
      <c r="BV164" s="7"/>
    </row>
    <row r="165" spans="1:74">
      <c r="N165" s="2"/>
      <c r="Q165" s="24"/>
      <c r="AZ165" s="2"/>
      <c r="BG165" s="7"/>
      <c r="BV165" s="7"/>
    </row>
    <row r="166" spans="1:74">
      <c r="N166" s="2"/>
      <c r="Q166" s="24"/>
      <c r="AZ166" s="2"/>
      <c r="BG166" s="7"/>
      <c r="BV166" s="7"/>
    </row>
    <row r="167" spans="1:74">
      <c r="N167" s="2"/>
      <c r="Q167" s="24"/>
      <c r="AZ167" s="2"/>
      <c r="BG167" s="7"/>
      <c r="BV167" s="7"/>
    </row>
    <row r="168" spans="1:74">
      <c r="A168" s="3"/>
      <c r="N168" s="2"/>
      <c r="Q168" s="24"/>
      <c r="AZ168" s="2"/>
      <c r="BG168" s="7"/>
      <c r="BV168" s="7"/>
    </row>
    <row r="169" spans="1:74">
      <c r="A169" s="3"/>
      <c r="N169" s="2"/>
      <c r="Q169" s="24"/>
      <c r="AZ169" s="2"/>
      <c r="BG169" s="7"/>
      <c r="BV169" s="7"/>
    </row>
    <row r="170" spans="1:74">
      <c r="A170" s="3"/>
      <c r="B170" s="3"/>
      <c r="N170" s="2"/>
      <c r="Q170" s="24"/>
      <c r="AZ170" s="2"/>
      <c r="BG170" s="7"/>
      <c r="BV170" s="7"/>
    </row>
    <row r="171" spans="1:74">
      <c r="B171" s="3"/>
      <c r="N171" s="2"/>
      <c r="Q171" s="24"/>
      <c r="AZ171" s="2"/>
      <c r="BG171" s="7"/>
      <c r="BV171" s="7"/>
    </row>
    <row r="172" spans="1:74">
      <c r="A172" s="3"/>
      <c r="B172" s="3"/>
      <c r="N172" s="2"/>
      <c r="Q172" s="24"/>
      <c r="AZ172" s="2"/>
      <c r="BG172" s="7"/>
      <c r="BV172" s="7"/>
    </row>
    <row r="173" spans="1:74">
      <c r="N173" s="2"/>
      <c r="Q173" s="24"/>
      <c r="AZ173" s="2"/>
      <c r="BG173" s="7"/>
      <c r="BV173" s="7"/>
    </row>
    <row r="174" spans="1:74">
      <c r="AZ174" s="2"/>
      <c r="BC174" s="7"/>
    </row>
    <row r="175" spans="1:74">
      <c r="AZ175" s="2"/>
      <c r="BC175" s="7"/>
    </row>
    <row r="176" spans="1:74">
      <c r="AZ176" s="2"/>
      <c r="BC176" s="7"/>
    </row>
    <row r="177" spans="52:55">
      <c r="AZ177" s="2"/>
      <c r="BC177" s="7"/>
    </row>
    <row r="178" spans="52:55">
      <c r="AZ178" s="2"/>
      <c r="BC178" s="7"/>
    </row>
    <row r="179" spans="52:55">
      <c r="AZ179" s="2"/>
      <c r="BC179" s="7"/>
    </row>
    <row r="180" spans="52:55">
      <c r="AZ180" s="2"/>
      <c r="BC180" s="7"/>
    </row>
    <row r="181" spans="52:55">
      <c r="AZ181" s="2"/>
      <c r="BC181" s="7"/>
    </row>
    <row r="182" spans="52:55">
      <c r="AZ182" s="2"/>
      <c r="BC182" s="7"/>
    </row>
    <row r="183" spans="52:55">
      <c r="AZ183" s="2"/>
      <c r="BC183" s="7"/>
    </row>
    <row r="184" spans="52:55">
      <c r="AZ184" s="2"/>
      <c r="BC184" s="7"/>
    </row>
    <row r="185" spans="52:55">
      <c r="AZ185" s="2"/>
      <c r="BC185" s="7"/>
    </row>
    <row r="186" spans="52:55">
      <c r="AZ186" s="2"/>
      <c r="BC186" s="7"/>
    </row>
    <row r="187" spans="52:55">
      <c r="AZ187" s="2"/>
      <c r="BC187" s="7"/>
    </row>
    <row r="188" spans="52:55">
      <c r="AZ188" s="2"/>
      <c r="BC188" s="7"/>
    </row>
    <row r="189" spans="52:55">
      <c r="AZ189" s="2"/>
      <c r="BC189" s="7"/>
    </row>
    <row r="190" spans="52:55">
      <c r="AZ190" s="2"/>
      <c r="BC190" s="7"/>
    </row>
    <row r="191" spans="52:55">
      <c r="AZ191" s="2"/>
      <c r="BC191" s="7"/>
    </row>
    <row r="192" spans="52:55">
      <c r="AZ192" s="2"/>
      <c r="BC192" s="7"/>
    </row>
    <row r="193" spans="52:55">
      <c r="AZ193" s="2"/>
      <c r="BC193" s="7"/>
    </row>
    <row r="194" spans="52:55">
      <c r="AZ194" s="2"/>
      <c r="BC194" s="7"/>
    </row>
    <row r="195" spans="52:55">
      <c r="AZ195" s="2"/>
      <c r="BC195" s="7"/>
    </row>
    <row r="196" spans="52:55">
      <c r="AZ196" s="2"/>
      <c r="BC196" s="7"/>
    </row>
    <row r="197" spans="52:55">
      <c r="AZ197" s="2"/>
      <c r="BC197" s="7"/>
    </row>
    <row r="198" spans="52:55">
      <c r="AZ198" s="2"/>
      <c r="BC198" s="7"/>
    </row>
    <row r="199" spans="52:55">
      <c r="AZ199" s="2"/>
      <c r="BC199" s="7"/>
    </row>
    <row r="200" spans="52:55">
      <c r="AZ200" s="2"/>
      <c r="BC200" s="7"/>
    </row>
    <row r="201" spans="52:55">
      <c r="AZ201" s="2"/>
      <c r="BC201" s="7"/>
    </row>
    <row r="202" spans="52:55">
      <c r="AZ202" s="2"/>
      <c r="BC202" s="7"/>
    </row>
    <row r="203" spans="52:55">
      <c r="AZ203" s="2"/>
      <c r="BC203" s="7"/>
    </row>
    <row r="204" spans="52:55">
      <c r="AZ204" s="2"/>
      <c r="BC204" s="7"/>
    </row>
    <row r="205" spans="52:55">
      <c r="AZ205" s="2"/>
      <c r="BC205" s="7"/>
    </row>
    <row r="206" spans="52:55">
      <c r="AZ206" s="2"/>
      <c r="BC206" s="7"/>
    </row>
    <row r="207" spans="52:55">
      <c r="AZ207" s="2"/>
      <c r="BC207" s="7"/>
    </row>
    <row r="208" spans="52:55">
      <c r="AZ208" s="2"/>
      <c r="BC208" s="7"/>
    </row>
    <row r="209" spans="52:55">
      <c r="AZ209" s="2"/>
      <c r="BC209" s="7"/>
    </row>
    <row r="210" spans="52:55">
      <c r="AZ210" s="2"/>
      <c r="BC210" s="7"/>
    </row>
    <row r="211" spans="52:55">
      <c r="AZ211" s="2"/>
      <c r="BC211" s="7"/>
    </row>
    <row r="212" spans="52:55">
      <c r="AZ212" s="2"/>
      <c r="BC212" s="7"/>
    </row>
    <row r="213" spans="52:55">
      <c r="AZ213" s="2"/>
      <c r="BC213" s="7"/>
    </row>
    <row r="214" spans="52:55">
      <c r="AZ214" s="2"/>
      <c r="BC214" s="7"/>
    </row>
    <row r="215" spans="52:55">
      <c r="AZ215" s="2"/>
      <c r="BC215" s="7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8" max="1048575" man="1"/>
    <brk id="41" max="51" man="1"/>
    <brk id="58" max="51" man="1"/>
    <brk id="73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DD216"/>
  <sheetViews>
    <sheetView showGridLines="0" topLeftCell="S1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10.7109375" style="2" bestFit="1" customWidth="1"/>
    <col min="7" max="8" width="11.7109375" style="2" bestFit="1" customWidth="1"/>
    <col min="9" max="9" width="3.7109375" style="2" customWidth="1"/>
    <col min="10" max="10" width="3.7109375" style="2" bestFit="1" customWidth="1"/>
    <col min="11" max="11" width="4" style="2" customWidth="1"/>
    <col min="12" max="12" width="10.28515625" style="2" customWidth="1"/>
    <col min="13" max="13" width="9" style="2" customWidth="1"/>
    <col min="14" max="14" width="10.42578125" style="24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140625" style="2" bestFit="1" customWidth="1"/>
    <col min="28" max="28" width="10" style="2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140625" style="2" bestFit="1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710937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7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9.140625" style="2" bestFit="1" customWidth="1"/>
    <col min="57" max="57" width="9.710937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8" style="2" hidden="1" customWidth="1"/>
    <col min="68" max="68" width="10.710937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10.710937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7109375" style="2" bestFit="1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10" style="2" customWidth="1"/>
    <col min="84" max="84" width="2.7109375" style="2" customWidth="1"/>
    <col min="85" max="85" width="9.710937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36" t="s">
        <v>109</v>
      </c>
      <c r="B1" s="36"/>
      <c r="C1" s="36"/>
      <c r="D1" s="36"/>
      <c r="E1" s="36"/>
      <c r="F1" s="36"/>
      <c r="G1" s="36"/>
      <c r="H1" s="56"/>
      <c r="K1" s="1" t="s">
        <v>1</v>
      </c>
      <c r="N1" s="2"/>
      <c r="R1" s="24"/>
      <c r="T1" s="3"/>
      <c r="U1" s="3"/>
      <c r="AD1" s="1" t="s">
        <v>2</v>
      </c>
      <c r="AG1" s="3"/>
      <c r="AP1" s="1" t="s">
        <v>3</v>
      </c>
      <c r="AZ1" s="2"/>
      <c r="BC1" s="4"/>
      <c r="BG1" s="1" t="s">
        <v>4</v>
      </c>
      <c r="BJ1" s="3"/>
      <c r="BV1" s="1" t="s">
        <v>217</v>
      </c>
      <c r="BY1" s="3"/>
    </row>
    <row r="2" spans="1:106">
      <c r="A2" s="36" t="s">
        <v>108</v>
      </c>
      <c r="B2" s="36"/>
      <c r="C2" s="36"/>
      <c r="D2" s="36"/>
      <c r="E2" s="36"/>
      <c r="F2" s="36"/>
      <c r="G2" s="36"/>
      <c r="H2" s="56"/>
      <c r="K2" s="1" t="s">
        <v>5</v>
      </c>
      <c r="N2" s="2"/>
      <c r="R2" s="24"/>
      <c r="T2" s="3"/>
      <c r="U2" s="3"/>
      <c r="AD2" s="1" t="s">
        <v>6</v>
      </c>
      <c r="AG2" s="3"/>
      <c r="AP2" s="1" t="s">
        <v>7</v>
      </c>
      <c r="AZ2" s="2"/>
      <c r="BC2" s="4"/>
      <c r="BD2" s="4"/>
      <c r="BG2" s="1" t="s">
        <v>8</v>
      </c>
      <c r="BJ2" s="3"/>
      <c r="BO2" s="3"/>
      <c r="BV2" s="1" t="s">
        <v>218</v>
      </c>
      <c r="BY2" s="3"/>
    </row>
    <row r="3" spans="1:106">
      <c r="N3" s="2"/>
      <c r="R3" s="24"/>
      <c r="AZ3" s="2"/>
      <c r="BD3" s="4"/>
      <c r="BG3" s="7"/>
      <c r="BO3" s="3"/>
      <c r="BV3" s="7"/>
    </row>
    <row r="4" spans="1:106">
      <c r="A4" s="5" t="s">
        <v>9</v>
      </c>
      <c r="B4" s="6" t="s">
        <v>94</v>
      </c>
      <c r="K4" s="3" t="s">
        <v>9</v>
      </c>
      <c r="M4" s="9" t="str">
        <f>B4</f>
        <v>Montana-Dakota Utilities Co.</v>
      </c>
      <c r="N4" s="2"/>
      <c r="R4" s="24"/>
      <c r="S4" s="113"/>
      <c r="AD4" s="3" t="s">
        <v>9</v>
      </c>
      <c r="AF4" s="9" t="str">
        <f>B4</f>
        <v>Montana-Dakota Utilities Co.</v>
      </c>
      <c r="AP4" s="3" t="s">
        <v>11</v>
      </c>
      <c r="AR4" s="9" t="str">
        <f>AF4</f>
        <v>Montana-Dakota Utilities Co.</v>
      </c>
      <c r="AZ4" s="2"/>
      <c r="BH4" s="2" t="s">
        <v>11</v>
      </c>
      <c r="BI4" s="9" t="str">
        <f>AR4</f>
        <v>Montana-Dakota Utilities Co.</v>
      </c>
      <c r="BW4" s="2" t="s">
        <v>11</v>
      </c>
      <c r="BX4" s="9" t="str">
        <f>BI4</f>
        <v>Montana-Dakota Utilities Co.</v>
      </c>
    </row>
    <row r="5" spans="1:106">
      <c r="A5" s="5" t="s">
        <v>10</v>
      </c>
      <c r="B5" s="8" t="s">
        <v>280</v>
      </c>
      <c r="K5" s="3" t="s">
        <v>10</v>
      </c>
      <c r="M5" s="9" t="str">
        <f>$B$5</f>
        <v>Residential 95+% AFUE Furnace - New</v>
      </c>
      <c r="N5" s="2"/>
      <c r="R5" s="24"/>
      <c r="AD5" s="3" t="s">
        <v>10</v>
      </c>
      <c r="AF5" s="9" t="str">
        <f>$B$5</f>
        <v>Residential 95+% AFUE Furnace - New</v>
      </c>
      <c r="AP5" s="3" t="s">
        <v>12</v>
      </c>
      <c r="AR5" s="9" t="str">
        <f>$B$5</f>
        <v>Residential 95+% AFUE Furnace - New</v>
      </c>
      <c r="AZ5" s="2"/>
      <c r="BH5" s="2" t="s">
        <v>12</v>
      </c>
      <c r="BI5" s="9" t="str">
        <f>$B$5</f>
        <v>Residential 95+% AFUE Furnace - New</v>
      </c>
      <c r="BW5" s="2" t="s">
        <v>12</v>
      </c>
      <c r="BX5" s="9" t="str">
        <f>$B$5</f>
        <v>Residential 95+% AFUE Furnace - New</v>
      </c>
    </row>
    <row r="6" spans="1:106">
      <c r="A6" s="5" t="s">
        <v>202</v>
      </c>
      <c r="B6" s="6">
        <f>'Total Program'!$B$6</f>
        <v>2025</v>
      </c>
      <c r="N6" s="2"/>
      <c r="R6" s="24"/>
      <c r="AZ6" s="2"/>
      <c r="BG6" s="7"/>
      <c r="BV6" s="7"/>
    </row>
    <row r="7" spans="1:106">
      <c r="N7" s="31" t="s">
        <v>14</v>
      </c>
      <c r="O7" s="31"/>
      <c r="P7" s="31"/>
      <c r="Q7" s="31"/>
      <c r="R7" s="81"/>
      <c r="S7" s="31"/>
      <c r="T7" s="31"/>
      <c r="U7" s="31"/>
      <c r="V7" s="31"/>
      <c r="X7" s="65" t="s">
        <v>15</v>
      </c>
      <c r="Y7" s="65"/>
      <c r="Z7" s="80"/>
      <c r="AA7" s="80"/>
      <c r="AB7" s="7"/>
      <c r="AF7" s="31" t="s">
        <v>14</v>
      </c>
      <c r="AG7" s="79"/>
      <c r="AH7" s="79"/>
      <c r="AJ7" s="65" t="s">
        <v>15</v>
      </c>
      <c r="AK7" s="65"/>
      <c r="AL7" s="65"/>
      <c r="AN7" s="56" t="s">
        <v>81</v>
      </c>
      <c r="AR7" s="31" t="s">
        <v>14</v>
      </c>
      <c r="AS7" s="31"/>
      <c r="AT7" s="31"/>
      <c r="AU7" s="31"/>
      <c r="AV7" s="31"/>
      <c r="AW7" s="31"/>
      <c r="AX7" s="31"/>
      <c r="AY7" s="31"/>
      <c r="AZ7" s="31"/>
      <c r="BB7" s="65" t="s">
        <v>15</v>
      </c>
      <c r="BC7" s="65"/>
      <c r="BD7" s="65"/>
      <c r="BE7" s="36" t="s">
        <v>81</v>
      </c>
      <c r="BG7" s="7"/>
      <c r="BI7" s="31" t="s">
        <v>14</v>
      </c>
      <c r="BJ7" s="79"/>
      <c r="BK7" s="79"/>
      <c r="BL7" s="79"/>
      <c r="BM7" s="79"/>
      <c r="BN7" s="79"/>
      <c r="BO7" s="79"/>
      <c r="BP7" s="79"/>
      <c r="BR7" s="88" t="s">
        <v>15</v>
      </c>
      <c r="BS7" s="36" t="s">
        <v>81</v>
      </c>
      <c r="BV7" s="7"/>
      <c r="BX7" s="31" t="s">
        <v>14</v>
      </c>
      <c r="BY7" s="79"/>
      <c r="BZ7" s="79"/>
      <c r="CA7" s="79"/>
      <c r="CC7" s="65" t="s">
        <v>15</v>
      </c>
      <c r="CD7" s="65"/>
      <c r="CE7" s="65"/>
      <c r="CF7" s="36" t="s">
        <v>81</v>
      </c>
    </row>
    <row r="8" spans="1:106">
      <c r="A8" s="100" t="s">
        <v>13</v>
      </c>
      <c r="B8" s="100"/>
      <c r="C8" s="10"/>
      <c r="E8" s="100"/>
      <c r="F8" s="106">
        <f>+'Total Program Inputs'!C6</f>
        <v>2025</v>
      </c>
      <c r="G8" s="7"/>
      <c r="H8" s="114"/>
      <c r="M8" s="101"/>
      <c r="N8" s="101"/>
      <c r="Q8" s="101"/>
      <c r="R8" s="24"/>
      <c r="S8" s="101"/>
      <c r="T8" s="101"/>
      <c r="U8" s="101"/>
      <c r="V8" s="101"/>
      <c r="W8" s="101"/>
      <c r="X8" s="101"/>
      <c r="Z8" s="101"/>
      <c r="AA8" s="7"/>
      <c r="AB8" s="7" t="s">
        <v>17</v>
      </c>
      <c r="AF8" s="101"/>
      <c r="AG8" s="101"/>
      <c r="AH8" s="101"/>
      <c r="AM8" s="101"/>
      <c r="AN8" s="7" t="s">
        <v>17</v>
      </c>
      <c r="AT8" s="7" t="s">
        <v>24</v>
      </c>
      <c r="AU8" s="101"/>
      <c r="AV8" s="7"/>
      <c r="AW8" s="101"/>
      <c r="AX8" s="7"/>
      <c r="AY8" s="101"/>
      <c r="AZ8" s="101"/>
      <c r="BA8" s="101"/>
      <c r="BB8" s="101"/>
      <c r="BC8" s="101"/>
      <c r="BD8" s="101"/>
      <c r="BE8" s="7" t="s">
        <v>17</v>
      </c>
      <c r="BG8" s="7"/>
      <c r="BH8" s="7"/>
      <c r="BI8" s="7"/>
      <c r="BT8" s="7" t="s">
        <v>17</v>
      </c>
      <c r="BV8" s="7"/>
      <c r="BW8" s="7"/>
      <c r="BX8" s="7"/>
      <c r="CG8" s="7" t="s">
        <v>17</v>
      </c>
      <c r="DA8" s="101"/>
      <c r="DB8" s="101"/>
    </row>
    <row r="9" spans="1:106">
      <c r="A9" s="3"/>
      <c r="E9" s="3"/>
      <c r="M9" s="7" t="s">
        <v>20</v>
      </c>
      <c r="N9" s="7" t="s">
        <v>23</v>
      </c>
      <c r="O9" s="7" t="s">
        <v>23</v>
      </c>
      <c r="P9" s="102" t="s">
        <v>21</v>
      </c>
      <c r="Q9" s="102" t="s">
        <v>21</v>
      </c>
      <c r="R9" s="103" t="s">
        <v>20</v>
      </c>
      <c r="S9" s="104" t="s">
        <v>97</v>
      </c>
      <c r="T9" s="7" t="s">
        <v>31</v>
      </c>
      <c r="U9" s="103" t="s">
        <v>20</v>
      </c>
      <c r="V9" s="7"/>
      <c r="W9" s="104" t="s">
        <v>96</v>
      </c>
      <c r="Y9" s="7" t="s">
        <v>35</v>
      </c>
      <c r="Z9" s="7"/>
      <c r="AA9" s="7" t="s">
        <v>20</v>
      </c>
      <c r="AB9" s="7" t="s">
        <v>14</v>
      </c>
      <c r="AF9" s="104" t="s">
        <v>20</v>
      </c>
      <c r="AG9" s="103" t="s">
        <v>20</v>
      </c>
      <c r="AH9" s="104" t="s">
        <v>17</v>
      </c>
      <c r="AJ9" s="7" t="s">
        <v>35</v>
      </c>
      <c r="AK9" s="7"/>
      <c r="AL9" s="7" t="s">
        <v>22</v>
      </c>
      <c r="AN9" s="7" t="s">
        <v>14</v>
      </c>
      <c r="AR9" s="104" t="s">
        <v>20</v>
      </c>
      <c r="AS9" s="7" t="s">
        <v>20</v>
      </c>
      <c r="AT9" s="7" t="s">
        <v>36</v>
      </c>
      <c r="AU9" s="7" t="s">
        <v>24</v>
      </c>
      <c r="AV9" s="102" t="s">
        <v>37</v>
      </c>
      <c r="AW9" s="102" t="s">
        <v>37</v>
      </c>
      <c r="AX9" s="7"/>
      <c r="AZ9" s="7" t="s">
        <v>17</v>
      </c>
      <c r="BB9" s="7" t="s">
        <v>22</v>
      </c>
      <c r="BC9" s="7" t="s">
        <v>39</v>
      </c>
      <c r="BD9" s="7" t="s">
        <v>17</v>
      </c>
      <c r="BE9" s="7" t="s">
        <v>14</v>
      </c>
      <c r="BG9" s="7"/>
      <c r="BH9" s="7"/>
      <c r="BI9" s="7"/>
      <c r="BJ9" s="7" t="s">
        <v>20</v>
      </c>
      <c r="BL9" s="7" t="s">
        <v>23</v>
      </c>
      <c r="BM9" s="7" t="s">
        <v>24</v>
      </c>
      <c r="BN9" s="7" t="s">
        <v>24</v>
      </c>
      <c r="BO9" s="7"/>
      <c r="BP9" s="7" t="s">
        <v>20</v>
      </c>
      <c r="BR9" s="7" t="s">
        <v>26</v>
      </c>
      <c r="BS9" s="7"/>
      <c r="BT9" s="7" t="s">
        <v>14</v>
      </c>
      <c r="BV9" s="7"/>
      <c r="BW9" s="7"/>
      <c r="BX9" s="7" t="s">
        <v>20</v>
      </c>
      <c r="BY9" s="7" t="s">
        <v>20</v>
      </c>
      <c r="BZ9" s="7" t="s">
        <v>24</v>
      </c>
      <c r="CA9" s="7" t="s">
        <v>20</v>
      </c>
      <c r="CC9" s="7" t="s">
        <v>22</v>
      </c>
      <c r="CD9" s="7" t="s">
        <v>39</v>
      </c>
      <c r="CE9" s="114"/>
      <c r="CF9" s="7"/>
      <c r="CG9" s="7" t="s">
        <v>14</v>
      </c>
    </row>
    <row r="10" spans="1:106">
      <c r="A10" s="3" t="s">
        <v>104</v>
      </c>
      <c r="C10" s="11">
        <f>+'Gas Input Table Summary'!$D$7</f>
        <v>8.3550000000000004</v>
      </c>
      <c r="D10" s="12"/>
      <c r="E10" s="3" t="s">
        <v>16</v>
      </c>
      <c r="J10" s="15"/>
      <c r="M10" s="7" t="s">
        <v>28</v>
      </c>
      <c r="N10" s="7" t="s">
        <v>29</v>
      </c>
      <c r="O10" s="7" t="s">
        <v>29</v>
      </c>
      <c r="P10" s="102" t="s">
        <v>30</v>
      </c>
      <c r="Q10" s="102" t="s">
        <v>30</v>
      </c>
      <c r="R10" s="103" t="s">
        <v>36</v>
      </c>
      <c r="S10" s="7" t="s">
        <v>31</v>
      </c>
      <c r="T10" s="7" t="s">
        <v>38</v>
      </c>
      <c r="U10" s="103" t="s">
        <v>31</v>
      </c>
      <c r="V10" s="7" t="s">
        <v>20</v>
      </c>
      <c r="W10" s="7" t="s">
        <v>119</v>
      </c>
      <c r="X10" s="7" t="s">
        <v>92</v>
      </c>
      <c r="Y10" s="7" t="s">
        <v>145</v>
      </c>
      <c r="Z10" s="7" t="s">
        <v>118</v>
      </c>
      <c r="AA10" s="7" t="s">
        <v>35</v>
      </c>
      <c r="AB10" s="7" t="s">
        <v>34</v>
      </c>
      <c r="AF10" s="104" t="s">
        <v>36</v>
      </c>
      <c r="AG10" s="103" t="s">
        <v>31</v>
      </c>
      <c r="AH10" s="104" t="s">
        <v>20</v>
      </c>
      <c r="AJ10" s="7" t="s">
        <v>145</v>
      </c>
      <c r="AK10" s="7" t="s">
        <v>118</v>
      </c>
      <c r="AL10" s="7" t="s">
        <v>35</v>
      </c>
      <c r="AN10" s="7" t="s">
        <v>34</v>
      </c>
      <c r="AR10" s="7" t="s">
        <v>28</v>
      </c>
      <c r="AS10" s="7" t="s">
        <v>132</v>
      </c>
      <c r="AT10" s="7" t="s">
        <v>38</v>
      </c>
      <c r="AU10" s="7" t="s">
        <v>36</v>
      </c>
      <c r="AV10" s="7" t="s">
        <v>99</v>
      </c>
      <c r="AW10" s="104" t="s">
        <v>99</v>
      </c>
      <c r="AX10" s="7"/>
      <c r="AY10" s="102"/>
      <c r="AZ10" s="7" t="s">
        <v>20</v>
      </c>
      <c r="BB10" s="7" t="s">
        <v>35</v>
      </c>
      <c r="BC10" s="104" t="s">
        <v>100</v>
      </c>
      <c r="BD10" s="7" t="s">
        <v>20</v>
      </c>
      <c r="BE10" s="7" t="s">
        <v>34</v>
      </c>
      <c r="BG10" s="7"/>
      <c r="BH10" s="7"/>
      <c r="BI10" s="7" t="s">
        <v>25</v>
      </c>
      <c r="BJ10" s="7" t="s">
        <v>28</v>
      </c>
      <c r="BK10" s="7" t="s">
        <v>32</v>
      </c>
      <c r="BL10" s="7" t="s">
        <v>33</v>
      </c>
      <c r="BM10" s="7" t="s">
        <v>137</v>
      </c>
      <c r="BN10" s="7" t="s">
        <v>36</v>
      </c>
      <c r="BO10" s="7"/>
      <c r="BP10" s="7" t="s">
        <v>17</v>
      </c>
      <c r="BR10" s="7" t="s">
        <v>112</v>
      </c>
      <c r="BS10" s="7"/>
      <c r="BT10" s="7" t="s">
        <v>34</v>
      </c>
      <c r="BV10" s="7"/>
      <c r="BW10" s="7"/>
      <c r="BX10" s="7" t="s">
        <v>28</v>
      </c>
      <c r="BY10" s="114" t="s">
        <v>31</v>
      </c>
      <c r="BZ10" s="7" t="s">
        <v>36</v>
      </c>
      <c r="CA10" s="7" t="s">
        <v>17</v>
      </c>
      <c r="CC10" s="7" t="s">
        <v>35</v>
      </c>
      <c r="CD10" s="104" t="s">
        <v>100</v>
      </c>
      <c r="CE10" s="114" t="s">
        <v>20</v>
      </c>
      <c r="CF10" s="7"/>
      <c r="CG10" s="7" t="s">
        <v>34</v>
      </c>
    </row>
    <row r="11" spans="1:106">
      <c r="A11" s="3" t="s">
        <v>18</v>
      </c>
      <c r="C11" s="13">
        <f>+'Gas Input Table Summary'!$D$8</f>
        <v>0.03</v>
      </c>
      <c r="E11" s="3" t="s">
        <v>19</v>
      </c>
      <c r="F11" s="137">
        <f>+'Total Program Inputs'!M11</f>
        <v>2229</v>
      </c>
      <c r="G11" s="256"/>
      <c r="H11" s="256"/>
      <c r="J11" s="5"/>
      <c r="M11" s="7" t="s">
        <v>44</v>
      </c>
      <c r="N11" s="7" t="s">
        <v>107</v>
      </c>
      <c r="O11" s="7" t="s">
        <v>38</v>
      </c>
      <c r="P11" s="102" t="s">
        <v>107</v>
      </c>
      <c r="Q11" s="102" t="s">
        <v>38</v>
      </c>
      <c r="R11" s="103" t="s">
        <v>38</v>
      </c>
      <c r="S11" s="7" t="s">
        <v>44</v>
      </c>
      <c r="T11" s="7" t="s">
        <v>95</v>
      </c>
      <c r="U11" s="103" t="s">
        <v>38</v>
      </c>
      <c r="V11" s="7" t="s">
        <v>38</v>
      </c>
      <c r="W11" s="7" t="s">
        <v>120</v>
      </c>
      <c r="X11" s="7" t="s">
        <v>93</v>
      </c>
      <c r="Y11" s="7" t="s">
        <v>15</v>
      </c>
      <c r="Z11" s="7" t="s">
        <v>15</v>
      </c>
      <c r="AA11" s="7" t="s">
        <v>15</v>
      </c>
      <c r="AB11" s="7" t="s">
        <v>15</v>
      </c>
      <c r="AF11" s="7" t="s">
        <v>38</v>
      </c>
      <c r="AG11" s="103" t="s">
        <v>38</v>
      </c>
      <c r="AH11" s="103" t="s">
        <v>38</v>
      </c>
      <c r="AJ11" s="7" t="s">
        <v>15</v>
      </c>
      <c r="AK11" s="7" t="s">
        <v>15</v>
      </c>
      <c r="AL11" s="7" t="s">
        <v>15</v>
      </c>
      <c r="AN11" s="7" t="s">
        <v>15</v>
      </c>
      <c r="AR11" s="7" t="s">
        <v>38</v>
      </c>
      <c r="AS11" s="7" t="s">
        <v>38</v>
      </c>
      <c r="AT11" s="7" t="s">
        <v>134</v>
      </c>
      <c r="AU11" s="7" t="s">
        <v>38</v>
      </c>
      <c r="AV11" s="105" t="s">
        <v>133</v>
      </c>
      <c r="AW11" s="105" t="s">
        <v>38</v>
      </c>
      <c r="AX11" s="7"/>
      <c r="AY11" s="102"/>
      <c r="AZ11" s="104" t="s">
        <v>38</v>
      </c>
      <c r="BB11" s="7" t="s">
        <v>15</v>
      </c>
      <c r="BC11" s="48" t="s">
        <v>101</v>
      </c>
      <c r="BD11" s="104" t="s">
        <v>15</v>
      </c>
      <c r="BE11" s="7" t="s">
        <v>15</v>
      </c>
      <c r="BH11" s="7"/>
      <c r="BI11" s="7" t="s">
        <v>46</v>
      </c>
      <c r="BJ11" s="7" t="s">
        <v>44</v>
      </c>
      <c r="BK11" s="7" t="s">
        <v>45</v>
      </c>
      <c r="BL11" s="7" t="s">
        <v>38</v>
      </c>
      <c r="BM11" s="7" t="s">
        <v>0</v>
      </c>
      <c r="BN11" s="7" t="s">
        <v>38</v>
      </c>
      <c r="BO11" s="7"/>
      <c r="BP11" s="7" t="s">
        <v>14</v>
      </c>
      <c r="BR11" s="7" t="s">
        <v>15</v>
      </c>
      <c r="BS11" s="7"/>
      <c r="BT11" s="7" t="s">
        <v>15</v>
      </c>
      <c r="BW11" s="7"/>
      <c r="BX11" s="114" t="s">
        <v>38</v>
      </c>
      <c r="BY11" s="114" t="s">
        <v>38</v>
      </c>
      <c r="BZ11" s="7" t="s">
        <v>38</v>
      </c>
      <c r="CA11" s="7" t="s">
        <v>14</v>
      </c>
      <c r="CC11" s="7" t="s">
        <v>15</v>
      </c>
      <c r="CD11" s="48" t="s">
        <v>101</v>
      </c>
      <c r="CE11" s="7" t="s">
        <v>15</v>
      </c>
      <c r="CF11" s="7"/>
      <c r="CG11" s="7" t="s">
        <v>15</v>
      </c>
    </row>
    <row r="12" spans="1:106">
      <c r="A12" s="3"/>
      <c r="C12" s="13"/>
      <c r="E12" s="3" t="s">
        <v>27</v>
      </c>
      <c r="F12" s="129">
        <f>+'Total Program Inputs'!I11</f>
        <v>6600</v>
      </c>
      <c r="G12" s="22"/>
      <c r="H12" s="22"/>
      <c r="L12" s="106" t="s">
        <v>43</v>
      </c>
      <c r="M12" s="106" t="s">
        <v>48</v>
      </c>
      <c r="N12" s="106" t="s">
        <v>49</v>
      </c>
      <c r="O12" s="106" t="s">
        <v>50</v>
      </c>
      <c r="P12" s="106" t="s">
        <v>51</v>
      </c>
      <c r="Q12" s="106" t="s">
        <v>52</v>
      </c>
      <c r="R12" s="106" t="s">
        <v>53</v>
      </c>
      <c r="S12" s="106" t="s">
        <v>54</v>
      </c>
      <c r="T12" s="106" t="s">
        <v>55</v>
      </c>
      <c r="U12" s="106" t="s">
        <v>56</v>
      </c>
      <c r="V12" s="106" t="s">
        <v>57</v>
      </c>
      <c r="W12" s="106" t="s">
        <v>58</v>
      </c>
      <c r="X12" s="106" t="s">
        <v>59</v>
      </c>
      <c r="Y12" s="106" t="s">
        <v>60</v>
      </c>
      <c r="Z12" s="106" t="s">
        <v>61</v>
      </c>
      <c r="AA12" s="106" t="s">
        <v>138</v>
      </c>
      <c r="AB12" s="106" t="s">
        <v>146</v>
      </c>
      <c r="AE12" s="106" t="s">
        <v>43</v>
      </c>
      <c r="AF12" s="106" t="s">
        <v>48</v>
      </c>
      <c r="AG12" s="106" t="s">
        <v>49</v>
      </c>
      <c r="AH12" s="106" t="s">
        <v>50</v>
      </c>
      <c r="AJ12" s="106" t="s">
        <v>51</v>
      </c>
      <c r="AK12" s="106" t="s">
        <v>52</v>
      </c>
      <c r="AL12" s="106" t="s">
        <v>53</v>
      </c>
      <c r="AN12" s="106" t="s">
        <v>54</v>
      </c>
      <c r="AQ12" s="106" t="s">
        <v>43</v>
      </c>
      <c r="AR12" s="106" t="s">
        <v>48</v>
      </c>
      <c r="AS12" s="106" t="s">
        <v>49</v>
      </c>
      <c r="AT12" s="106" t="s">
        <v>50</v>
      </c>
      <c r="AU12" s="106" t="s">
        <v>51</v>
      </c>
      <c r="AV12" s="106" t="s">
        <v>52</v>
      </c>
      <c r="AW12" s="106" t="s">
        <v>53</v>
      </c>
      <c r="AX12" s="106"/>
      <c r="AY12" s="106"/>
      <c r="AZ12" s="106" t="s">
        <v>54</v>
      </c>
      <c r="BB12" s="106" t="s">
        <v>55</v>
      </c>
      <c r="BC12" s="106" t="s">
        <v>56</v>
      </c>
      <c r="BD12" s="106" t="s">
        <v>57</v>
      </c>
      <c r="BE12" s="106" t="s">
        <v>58</v>
      </c>
      <c r="BH12" s="106" t="s">
        <v>43</v>
      </c>
      <c r="BI12" s="106" t="s">
        <v>48</v>
      </c>
      <c r="BJ12" s="106" t="s">
        <v>49</v>
      </c>
      <c r="BK12" s="106" t="s">
        <v>50</v>
      </c>
      <c r="BL12" s="106" t="s">
        <v>51</v>
      </c>
      <c r="BM12" s="106" t="s">
        <v>52</v>
      </c>
      <c r="BN12" s="106" t="s">
        <v>53</v>
      </c>
      <c r="BO12" s="106"/>
      <c r="BP12" s="106" t="s">
        <v>54</v>
      </c>
      <c r="BR12" s="106" t="s">
        <v>55</v>
      </c>
      <c r="BS12" s="7"/>
      <c r="BT12" s="106" t="s">
        <v>56</v>
      </c>
      <c r="BW12" s="106" t="s">
        <v>43</v>
      </c>
      <c r="BX12" s="106" t="s">
        <v>48</v>
      </c>
      <c r="BY12" s="106" t="s">
        <v>49</v>
      </c>
      <c r="BZ12" s="106" t="s">
        <v>50</v>
      </c>
      <c r="CA12" s="117" t="s">
        <v>51</v>
      </c>
      <c r="CC12" s="117" t="s">
        <v>52</v>
      </c>
      <c r="CD12" s="117" t="s">
        <v>53</v>
      </c>
      <c r="CE12" s="117" t="s">
        <v>54</v>
      </c>
      <c r="CF12" s="7"/>
      <c r="CG12" s="117" t="s">
        <v>55</v>
      </c>
    </row>
    <row r="13" spans="1:106">
      <c r="A13" s="3" t="s">
        <v>40</v>
      </c>
      <c r="C13" s="140">
        <f>+'Gas Input Table Summary'!$D$9</f>
        <v>0.13497000000000001</v>
      </c>
      <c r="E13" s="3" t="s">
        <v>41</v>
      </c>
      <c r="F13" s="12">
        <f>SUM(F11:F12)</f>
        <v>8829</v>
      </c>
      <c r="G13" s="12"/>
      <c r="H13" s="12"/>
      <c r="J13" s="7"/>
      <c r="L13" s="7"/>
      <c r="M13" s="7"/>
      <c r="N13" s="7"/>
      <c r="Q13" s="7"/>
      <c r="R13" s="24"/>
      <c r="S13" s="7"/>
      <c r="T13" s="7"/>
      <c r="V13" s="7"/>
      <c r="W13" s="7"/>
      <c r="X13" s="7"/>
      <c r="Z13" s="7"/>
      <c r="AA13" s="7"/>
      <c r="AB13" s="7"/>
      <c r="AE13" s="7"/>
      <c r="AF13" s="7"/>
      <c r="AH13" s="7"/>
      <c r="AL13" s="7"/>
      <c r="AN13" s="7"/>
      <c r="AQ13" s="7"/>
      <c r="AR13" s="7"/>
      <c r="AS13" s="7"/>
      <c r="AU13" s="7"/>
      <c r="AW13" s="4"/>
      <c r="AY13" s="4"/>
      <c r="BB13" s="7"/>
      <c r="BC13" s="7"/>
      <c r="BD13" s="7"/>
      <c r="BE13" s="7"/>
      <c r="BH13" s="7"/>
      <c r="BI13" s="7"/>
      <c r="BJ13" s="7"/>
      <c r="BK13" s="7"/>
      <c r="BL13" s="7"/>
      <c r="BN13" s="7"/>
      <c r="BO13" s="7"/>
      <c r="BP13" s="7"/>
      <c r="BR13" s="7"/>
      <c r="BS13" s="7"/>
      <c r="BT13" s="7"/>
      <c r="BW13" s="7"/>
      <c r="BX13" s="7"/>
      <c r="BY13" s="7"/>
      <c r="BZ13" s="7"/>
      <c r="CA13" s="7"/>
      <c r="CC13" s="7"/>
      <c r="CD13" s="7"/>
      <c r="CE13" s="7"/>
      <c r="CF13" s="7"/>
      <c r="CG13" s="7"/>
    </row>
    <row r="14" spans="1:106">
      <c r="A14" s="3" t="s">
        <v>47</v>
      </c>
      <c r="C14" s="13">
        <f>+'Gas Input Table Summary'!$D$10</f>
        <v>0.03</v>
      </c>
      <c r="F14" s="16"/>
      <c r="G14" s="16"/>
      <c r="H14" s="16"/>
      <c r="J14" s="2">
        <f>$C$47-$C$45</f>
        <v>0</v>
      </c>
      <c r="L14" s="7">
        <f>$C$47</f>
        <v>2025</v>
      </c>
      <c r="M14" s="16">
        <f>ROUND(IF($C$47+$F$23&gt;L14,F25*F30,0),0)</f>
        <v>283</v>
      </c>
      <c r="N14" s="107">
        <f>ROUND($C$17*(1+$C$18)^J14,3)</f>
        <v>3.4159999999999999</v>
      </c>
      <c r="O14" s="12">
        <f>ROUND(M14*N14,0)</f>
        <v>967</v>
      </c>
      <c r="P14" s="107">
        <f t="shared" ref="P14:P34" si="0">ROUND($C$25*(1+$C$26)^J14,3)</f>
        <v>0</v>
      </c>
      <c r="Q14" s="12">
        <f>ROUND(M14*P14,0)</f>
        <v>0</v>
      </c>
      <c r="R14" s="108">
        <f>O14+Q14</f>
        <v>967</v>
      </c>
      <c r="S14" s="42">
        <f>ROUND(M14*$C$23,1)</f>
        <v>2.8</v>
      </c>
      <c r="T14" s="12">
        <f>ROUND($C$20*(1+$C$21)^J14,0)</f>
        <v>175</v>
      </c>
      <c r="U14" s="109">
        <f>ROUND(S14*T14,0)</f>
        <v>490</v>
      </c>
      <c r="V14" s="12">
        <f>ROUND(+U14+R14,0)</f>
        <v>1457</v>
      </c>
      <c r="W14" s="110">
        <f>ROUND($H$36*(1+$C$11)^J14,3)</f>
        <v>2.532</v>
      </c>
      <c r="X14" s="111">
        <f>ROUND((1-$H$38)*(W14*M14),0)</f>
        <v>566</v>
      </c>
      <c r="Y14" s="111">
        <f>ROUND($F$11,0)</f>
        <v>2229</v>
      </c>
      <c r="Z14" s="111">
        <f>ROUND($F$12,0)</f>
        <v>6600</v>
      </c>
      <c r="AA14" s="111">
        <f>SUM(X14:Z14)</f>
        <v>9395</v>
      </c>
      <c r="AB14" s="12">
        <f>V14-AA14</f>
        <v>-7938</v>
      </c>
      <c r="AE14" s="7">
        <f>$C$47</f>
        <v>2025</v>
      </c>
      <c r="AF14" s="12">
        <f>+R14</f>
        <v>967</v>
      </c>
      <c r="AG14" s="12">
        <f>+U14</f>
        <v>490</v>
      </c>
      <c r="AH14" s="111">
        <f>+AG14+AF14</f>
        <v>1457</v>
      </c>
      <c r="AJ14" s="12">
        <f>ROUND(Y14,0)</f>
        <v>2229</v>
      </c>
      <c r="AK14" s="12">
        <f>ROUND(Z14,0)</f>
        <v>6600</v>
      </c>
      <c r="AL14" s="12">
        <f>SUM(AJ14:AK14)</f>
        <v>8829</v>
      </c>
      <c r="AN14" s="12">
        <f>+AH14-AL14</f>
        <v>-7372</v>
      </c>
      <c r="AQ14" s="7">
        <f>$C$47</f>
        <v>2025</v>
      </c>
      <c r="AR14" s="12">
        <f t="shared" ref="AR14:AR34" si="1">AF14</f>
        <v>967</v>
      </c>
      <c r="AS14" s="12">
        <f t="shared" ref="AS14:AS34" si="2">+AG14</f>
        <v>490</v>
      </c>
      <c r="AT14" s="107">
        <f>ROUND(($C$28/(1-$C$31))*(1+$C$29)^J14,3)</f>
        <v>0.03</v>
      </c>
      <c r="AU14" s="12">
        <f>ROUND(IF($C$47+$F$23&gt;$AQ14,$F$30*$F$27,0)*AT14,0)</f>
        <v>0</v>
      </c>
      <c r="AV14" s="107">
        <f>ROUND($C$33*(1+$C$34)^J14,3)</f>
        <v>2.0699999999999998</v>
      </c>
      <c r="AW14" s="12">
        <f>ROUND(AV14*M14,0)</f>
        <v>586</v>
      </c>
      <c r="AX14" s="107"/>
      <c r="AY14" s="12"/>
      <c r="AZ14" s="12">
        <f>ROUND(AR14+AS14+AU14+AW14+AY14,0)</f>
        <v>2043</v>
      </c>
      <c r="BA14" s="17"/>
      <c r="BB14" s="111">
        <f>ROUND($F$13,0)</f>
        <v>8829</v>
      </c>
      <c r="BC14" s="111">
        <f>ROUND((F15*F30)-Z14,0)</f>
        <v>660</v>
      </c>
      <c r="BD14" s="109">
        <f>BB14+BC14</f>
        <v>9489</v>
      </c>
      <c r="BE14" s="111">
        <f>AZ14-BD14</f>
        <v>-7446</v>
      </c>
      <c r="BH14" s="7">
        <f>$C$47</f>
        <v>2025</v>
      </c>
      <c r="BI14" s="12">
        <f>+F12</f>
        <v>6600</v>
      </c>
      <c r="BJ14" s="16">
        <f t="shared" ref="BJ14:BJ34" si="3">+M14</f>
        <v>283</v>
      </c>
      <c r="BK14" s="112">
        <f>ROUND($C$10*(1+$C$11)^J14,3)</f>
        <v>8.3550000000000004</v>
      </c>
      <c r="BL14" s="12">
        <f>ROUND(BJ14*BK14,0)</f>
        <v>2364</v>
      </c>
      <c r="BM14" s="112">
        <f>ROUND($C$13*(1+$C$14)^J14,3)</f>
        <v>0.13500000000000001</v>
      </c>
      <c r="BN14" s="12">
        <f>ROUND(IF($C$47+$F$23&gt;$BH14,$F$30*$F$27,0)*BM14,0)</f>
        <v>0</v>
      </c>
      <c r="BO14" s="12"/>
      <c r="BP14" s="12">
        <f>BI14+BL14+BN14+BO14</f>
        <v>8964</v>
      </c>
      <c r="BR14" s="12">
        <f>ROUND(F15*F30,0)</f>
        <v>7260</v>
      </c>
      <c r="BS14" s="12"/>
      <c r="BT14" s="12">
        <f>BP14-BR14</f>
        <v>1704</v>
      </c>
      <c r="BW14" s="7">
        <f>$C$47</f>
        <v>2025</v>
      </c>
      <c r="BX14" s="12">
        <f t="shared" ref="BX14:BX36" si="4">$R14</f>
        <v>967</v>
      </c>
      <c r="BY14" s="12">
        <f>U14</f>
        <v>490</v>
      </c>
      <c r="BZ14" s="115">
        <f>AU14</f>
        <v>0</v>
      </c>
      <c r="CA14" s="12">
        <f>SUM(BX14:BZ14)</f>
        <v>1457</v>
      </c>
      <c r="CC14" s="12">
        <f>BB14</f>
        <v>8829</v>
      </c>
      <c r="CD14" s="12">
        <f>BC14</f>
        <v>660</v>
      </c>
      <c r="CE14" s="12">
        <f>SUM(CC14:CD14)</f>
        <v>9489</v>
      </c>
      <c r="CF14" s="12"/>
      <c r="CG14" s="12">
        <f>CA14-CE14</f>
        <v>-8032</v>
      </c>
    </row>
    <row r="15" spans="1:106">
      <c r="A15" s="3" t="s">
        <v>62</v>
      </c>
      <c r="C15" s="131" t="str">
        <f>+'Gas Input Table Summary'!$D$11</f>
        <v>kWh</v>
      </c>
      <c r="E15" s="3" t="s">
        <v>63</v>
      </c>
      <c r="F15" s="258">
        <f>ROUND('Database Inputs'!K10,0)</f>
        <v>165</v>
      </c>
      <c r="G15" s="257"/>
      <c r="H15" s="257"/>
      <c r="J15" s="2">
        <f t="shared" ref="J15:J36" si="5">J14+1</f>
        <v>1</v>
      </c>
      <c r="L15" s="7">
        <f t="shared" ref="L15:L36" si="6">L14+1</f>
        <v>2026</v>
      </c>
      <c r="M15" s="16">
        <f>ROUND(IF($C$47+$F$23&gt;L15,$F$25*$F$30,0)+IF($C$48+$G$23&gt;L15,$G$25*$G$30,0),0)</f>
        <v>283</v>
      </c>
      <c r="N15" s="53">
        <f>ROUND($C$17*(1+$C$18)^J15,3)</f>
        <v>3.5179999999999998</v>
      </c>
      <c r="O15" s="32">
        <f>ROUND(M15*N15,0)</f>
        <v>996</v>
      </c>
      <c r="P15" s="53">
        <f t="shared" si="0"/>
        <v>0</v>
      </c>
      <c r="Q15" s="46">
        <f t="shared" ref="Q15:Q34" si="7">ROUND(M15*P15,0)</f>
        <v>0</v>
      </c>
      <c r="R15" s="43">
        <f>O15+Q15</f>
        <v>996</v>
      </c>
      <c r="S15" s="42">
        <f t="shared" ref="S15:S34" si="8">ROUND(M15*$C$23,1)</f>
        <v>2.8</v>
      </c>
      <c r="T15" s="46">
        <f t="shared" ref="T15:T34" si="9">ROUND($C$20*(1+$C$21)^J15,0)</f>
        <v>177</v>
      </c>
      <c r="U15" s="44">
        <f>ROUND(S15*T15,0)</f>
        <v>496</v>
      </c>
      <c r="V15" s="16">
        <f t="shared" ref="V15:V34" si="10">ROUND(+U15+R15,0)</f>
        <v>1492</v>
      </c>
      <c r="W15" s="45">
        <f t="shared" ref="W15:W34" si="11">ROUND($H$36*(1+$C$11)^J15,3)</f>
        <v>2.6080000000000001</v>
      </c>
      <c r="X15" s="46">
        <f>ROUND((1-$H$38)*(W15*M15),0)</f>
        <v>583</v>
      </c>
      <c r="Y15" s="46">
        <f>ROUND($G$11,0)</f>
        <v>0</v>
      </c>
      <c r="Z15" s="46">
        <f>ROUND($G$12,0)</f>
        <v>0</v>
      </c>
      <c r="AA15" s="46">
        <f t="shared" ref="AA15:AA34" si="12">SUM(X15:Z15)</f>
        <v>583</v>
      </c>
      <c r="AB15" s="46">
        <f t="shared" ref="AB15:AB34" si="13">V15-AA15</f>
        <v>909</v>
      </c>
      <c r="AE15" s="7">
        <f t="shared" ref="AE15:AE36" si="14">AE14+1</f>
        <v>2026</v>
      </c>
      <c r="AF15" s="46">
        <f t="shared" ref="AF15:AF33" si="15">+R15</f>
        <v>996</v>
      </c>
      <c r="AG15" s="16">
        <f t="shared" ref="AG15:AG34" si="16">+U15</f>
        <v>496</v>
      </c>
      <c r="AH15" s="46">
        <f>+AG15+AF15</f>
        <v>1492</v>
      </c>
      <c r="AJ15" s="32">
        <f t="shared" ref="AJ15:AK34" si="17">ROUND(Y15,0)</f>
        <v>0</v>
      </c>
      <c r="AK15" s="32">
        <f t="shared" si="17"/>
        <v>0</v>
      </c>
      <c r="AL15" s="32">
        <f t="shared" ref="AL15:AL34" si="18">SUM(AJ15:AK15)</f>
        <v>0</v>
      </c>
      <c r="AN15" s="77">
        <f t="shared" ref="AN15:AN34" si="19">+AH15-AL15</f>
        <v>1492</v>
      </c>
      <c r="AQ15" s="7">
        <f t="shared" ref="AQ15:AQ36" si="20">AQ14+1</f>
        <v>2026</v>
      </c>
      <c r="AR15" s="46">
        <f t="shared" si="1"/>
        <v>996</v>
      </c>
      <c r="AS15" s="46">
        <f t="shared" si="2"/>
        <v>496</v>
      </c>
      <c r="AT15" s="91">
        <f t="shared" ref="AT15:AT34" si="21">ROUND(($C$28/(1-$C$31))*(1+$C$29)^J15,3)</f>
        <v>0.03</v>
      </c>
      <c r="AU15" s="16">
        <f>ROUND((IF($C$47+$F$23&gt;$AQ15,$F$27*$F$30,0)+IF($C$48+$G$23&gt;AQ15,$G$27*$G$30,0))*AT15,0)</f>
        <v>0</v>
      </c>
      <c r="AV15" s="53">
        <f t="shared" ref="AV15:AV34" si="22">ROUND($C$33*(1+$C$34)^J15,3)</f>
        <v>2.105</v>
      </c>
      <c r="AW15" s="46">
        <f t="shared" ref="AW15:AW34" si="23">ROUND(AV15*M15,0)</f>
        <v>596</v>
      </c>
      <c r="AX15" s="91"/>
      <c r="AY15" s="92"/>
      <c r="AZ15" s="46">
        <f t="shared" ref="AZ15:AZ34" si="24">ROUND(AR15+AS15+AU15+AW15+AY15,0)</f>
        <v>2088</v>
      </c>
      <c r="BA15" s="17"/>
      <c r="BB15" s="46">
        <f>ROUND($G$13,0)</f>
        <v>0</v>
      </c>
      <c r="BC15" s="46">
        <f>ROUND(($G$15*$G$30)-$Z$15,0)</f>
        <v>0</v>
      </c>
      <c r="BD15" s="47">
        <f t="shared" ref="BD15:BD34" si="25">BB15+BC15</f>
        <v>0</v>
      </c>
      <c r="BE15" s="46">
        <f>AZ15-BD15</f>
        <v>2088</v>
      </c>
      <c r="BH15" s="7">
        <f t="shared" ref="BH15:BH36" si="26">BH14+1</f>
        <v>2026</v>
      </c>
      <c r="BI15" s="46">
        <f>+G12</f>
        <v>0</v>
      </c>
      <c r="BJ15" s="16">
        <f t="shared" si="3"/>
        <v>283</v>
      </c>
      <c r="BK15" s="87">
        <f t="shared" ref="BK15:BK34" si="27">ROUND($C$10*(1+$C$11)^J15,3)</f>
        <v>8.6059999999999999</v>
      </c>
      <c r="BL15" s="46">
        <f>ROUND(BJ15*BK15,0)</f>
        <v>2435</v>
      </c>
      <c r="BM15" s="87">
        <f t="shared" ref="BM15:BM34" si="28">ROUND($C$13*(1+$C$14)^J15,3)</f>
        <v>0.13900000000000001</v>
      </c>
      <c r="BN15" s="16">
        <f>ROUND((IF($C$47+$F$23&gt;BH15,$F$27*$F$30,0)+IF($C$48+$G$23&gt;BH15,$G$27*$G$30,0))*BM15,0)</f>
        <v>0</v>
      </c>
      <c r="BO15" s="16"/>
      <c r="BP15" s="46">
        <f>BI15+BL15+BN15+BO15</f>
        <v>2435</v>
      </c>
      <c r="BR15" s="46">
        <f>ROUND($G$15*$G$30,0)</f>
        <v>0</v>
      </c>
      <c r="BS15" s="46"/>
      <c r="BT15" s="46">
        <f t="shared" ref="BT15:BT34" si="29">BP15-BR15</f>
        <v>2435</v>
      </c>
      <c r="BW15" s="7">
        <f t="shared" ref="BW15:BW36" si="30">BW14+1</f>
        <v>2026</v>
      </c>
      <c r="BX15" s="46">
        <f t="shared" si="4"/>
        <v>996</v>
      </c>
      <c r="BY15" s="16">
        <f t="shared" ref="BY15:BY34" si="31">U15</f>
        <v>496</v>
      </c>
      <c r="BZ15" s="116">
        <f t="shared" ref="BZ15:BZ34" si="32">AU15</f>
        <v>0</v>
      </c>
      <c r="CA15" s="46">
        <f t="shared" ref="CA15:CA34" si="33">SUM(BX15:BZ15)</f>
        <v>1492</v>
      </c>
      <c r="CC15" s="46">
        <f t="shared" ref="CC15:CD34" si="34">BB15</f>
        <v>0</v>
      </c>
      <c r="CD15" s="46">
        <f t="shared" si="34"/>
        <v>0</v>
      </c>
      <c r="CE15" s="46">
        <f t="shared" ref="CE15:CE34" si="35">SUM(CC15:CD15)</f>
        <v>0</v>
      </c>
      <c r="CF15" s="46"/>
      <c r="CG15" s="46">
        <f>CA15-CE15</f>
        <v>1492</v>
      </c>
    </row>
    <row r="16" spans="1:106">
      <c r="F16" s="16"/>
      <c r="G16" s="16"/>
      <c r="H16" s="16"/>
      <c r="J16" s="2">
        <f t="shared" si="5"/>
        <v>2</v>
      </c>
      <c r="L16" s="7">
        <f t="shared" si="6"/>
        <v>2027</v>
      </c>
      <c r="M16" s="16">
        <f>ROUND(IF($C$47+$F$23&gt;L16,$F$25*$F$30,0)+IF($C$48+$G$23&gt;L16,$G$25*$G$30,0)+IF($C$49+$H$23&gt;L16,$H$25*$H$30,0),0)</f>
        <v>283</v>
      </c>
      <c r="N16" s="53">
        <f t="shared" ref="N16:N34" si="36">ROUND($C$17*(1+$C$18)^J16,3)</f>
        <v>3.6240000000000001</v>
      </c>
      <c r="O16" s="32">
        <f t="shared" ref="O16:O34" si="37">ROUND(M16*N16,0)</f>
        <v>1026</v>
      </c>
      <c r="P16" s="53">
        <f t="shared" si="0"/>
        <v>0</v>
      </c>
      <c r="Q16" s="46">
        <f t="shared" si="7"/>
        <v>0</v>
      </c>
      <c r="R16" s="43">
        <f>O16+Q16</f>
        <v>1026</v>
      </c>
      <c r="S16" s="42">
        <f>ROUND(M16*$C$23,1)</f>
        <v>2.8</v>
      </c>
      <c r="T16" s="46">
        <f>ROUND($C$20*(1+$C$21)^J16,0)</f>
        <v>179</v>
      </c>
      <c r="U16" s="44">
        <f t="shared" ref="U16:U34" si="38">ROUND(S16*T16,0)</f>
        <v>501</v>
      </c>
      <c r="V16" s="16">
        <f t="shared" si="10"/>
        <v>1527</v>
      </c>
      <c r="W16" s="45">
        <f t="shared" si="11"/>
        <v>2.6859999999999999</v>
      </c>
      <c r="X16" s="46">
        <f>ROUND((1-$H$38)*(W16*M16),0)</f>
        <v>601</v>
      </c>
      <c r="Y16" s="46">
        <f>ROUND($H$11,0)</f>
        <v>0</v>
      </c>
      <c r="Z16" s="46">
        <f>ROUND($H$12,0)</f>
        <v>0</v>
      </c>
      <c r="AA16" s="46">
        <f t="shared" si="12"/>
        <v>601</v>
      </c>
      <c r="AB16" s="46">
        <f t="shared" si="13"/>
        <v>926</v>
      </c>
      <c r="AE16" s="7">
        <f t="shared" si="14"/>
        <v>2027</v>
      </c>
      <c r="AF16" s="46">
        <f>+R16</f>
        <v>1026</v>
      </c>
      <c r="AG16" s="16">
        <f>+U16</f>
        <v>501</v>
      </c>
      <c r="AH16" s="46">
        <f t="shared" ref="AH16:AH34" si="39">+AG16+AF16</f>
        <v>1527</v>
      </c>
      <c r="AJ16" s="32">
        <f t="shared" si="17"/>
        <v>0</v>
      </c>
      <c r="AK16" s="32">
        <f t="shared" si="17"/>
        <v>0</v>
      </c>
      <c r="AL16" s="32">
        <f>SUM(AJ16:AK16)</f>
        <v>0</v>
      </c>
      <c r="AN16" s="77">
        <f t="shared" si="19"/>
        <v>1527</v>
      </c>
      <c r="AQ16" s="7">
        <f t="shared" si="20"/>
        <v>2027</v>
      </c>
      <c r="AR16" s="46">
        <f t="shared" si="1"/>
        <v>1026</v>
      </c>
      <c r="AS16" s="46">
        <f t="shared" si="2"/>
        <v>501</v>
      </c>
      <c r="AT16" s="91">
        <f t="shared" si="21"/>
        <v>3.1E-2</v>
      </c>
      <c r="AU16" s="16">
        <f>ROUND((IF($C$47+$F$23&gt;$AQ16,$F$27*$F$30,0)+IF($C$48+$G$23&gt;AQ16,$G$27*$G$30,0)+IF($C$49+$H$23&gt;AQ16,$H$27*$H$30,0))*AT16,0)</f>
        <v>0</v>
      </c>
      <c r="AV16" s="53">
        <f t="shared" si="22"/>
        <v>2.141</v>
      </c>
      <c r="AW16" s="46">
        <f t="shared" si="23"/>
        <v>606</v>
      </c>
      <c r="AX16" s="91"/>
      <c r="AY16" s="92"/>
      <c r="AZ16" s="46">
        <f t="shared" si="24"/>
        <v>2133</v>
      </c>
      <c r="BA16" s="17"/>
      <c r="BB16" s="46">
        <f>ROUND($H$13,0)</f>
        <v>0</v>
      </c>
      <c r="BC16" s="46">
        <f>ROUND(($H$15*$H$30)-$Z$16,0)</f>
        <v>0</v>
      </c>
      <c r="BD16" s="47">
        <f t="shared" si="25"/>
        <v>0</v>
      </c>
      <c r="BE16" s="46">
        <f t="shared" ref="BE16:BE34" si="40">AZ16-BD16</f>
        <v>2133</v>
      </c>
      <c r="BH16" s="7">
        <f t="shared" si="26"/>
        <v>2027</v>
      </c>
      <c r="BI16" s="46">
        <f>ROUND(H12,0)</f>
        <v>0</v>
      </c>
      <c r="BJ16" s="16">
        <f t="shared" si="3"/>
        <v>283</v>
      </c>
      <c r="BK16" s="87">
        <f t="shared" si="27"/>
        <v>8.8640000000000008</v>
      </c>
      <c r="BL16" s="46">
        <f t="shared" ref="BL16:BL34" si="41">ROUND(BJ16*BK16,0)</f>
        <v>2509</v>
      </c>
      <c r="BM16" s="87">
        <f t="shared" si="28"/>
        <v>0.14299999999999999</v>
      </c>
      <c r="BN16" s="16">
        <f>ROUND((IF($C$47+$F$23&gt;BH16,$F$27*$F$30,0)+IF($C$49+$H$23&gt;BH16,$H$27*$H$30,0)+IF($C$48+$G$23&gt;BH16,$G$27*$G$30,0))*BM16,0)</f>
        <v>0</v>
      </c>
      <c r="BO16" s="16"/>
      <c r="BP16" s="46">
        <f t="shared" ref="BP16:BP34" si="42">BI16+BL16+BN16+BO16</f>
        <v>2509</v>
      </c>
      <c r="BR16" s="46">
        <f>ROUND($H$15*$H$30,0)</f>
        <v>0</v>
      </c>
      <c r="BS16" s="46"/>
      <c r="BT16" s="46">
        <f t="shared" si="29"/>
        <v>2509</v>
      </c>
      <c r="BW16" s="7">
        <f t="shared" si="30"/>
        <v>2027</v>
      </c>
      <c r="BX16" s="46">
        <f t="shared" si="4"/>
        <v>1026</v>
      </c>
      <c r="BY16" s="16">
        <f t="shared" si="31"/>
        <v>501</v>
      </c>
      <c r="BZ16" s="116">
        <f t="shared" si="32"/>
        <v>0</v>
      </c>
      <c r="CA16" s="46">
        <f t="shared" si="33"/>
        <v>1527</v>
      </c>
      <c r="CC16" s="46">
        <f t="shared" si="34"/>
        <v>0</v>
      </c>
      <c r="CD16" s="46">
        <f t="shared" si="34"/>
        <v>0</v>
      </c>
      <c r="CE16" s="46">
        <f t="shared" si="35"/>
        <v>0</v>
      </c>
      <c r="CF16" s="46"/>
      <c r="CG16" s="46">
        <f t="shared" ref="CG16:CG34" si="43">CA16-CE16</f>
        <v>1527</v>
      </c>
    </row>
    <row r="17" spans="1:106">
      <c r="A17" s="3" t="s">
        <v>105</v>
      </c>
      <c r="C17" s="11">
        <f>+'Gas Input Table Summary'!$D$12</f>
        <v>3.4159999999999999</v>
      </c>
      <c r="D17" s="19"/>
      <c r="E17" s="3" t="s">
        <v>64</v>
      </c>
      <c r="F17" s="14">
        <f>+'Gas Input Table Summary'!$D$35</f>
        <v>0</v>
      </c>
      <c r="G17" s="14"/>
      <c r="H17" s="14"/>
      <c r="J17" s="2">
        <f t="shared" si="5"/>
        <v>3</v>
      </c>
      <c r="L17" s="7">
        <f t="shared" si="6"/>
        <v>2028</v>
      </c>
      <c r="M17" s="16">
        <f t="shared" ref="M17:M33" si="44">ROUND(IF($C$47+$F$23&gt;L17,$F$25*$F$30,0)+IF($C$48+$G$23&gt;L17,$G$25*$G$30,0)+IF($C$49+$H$23&gt;L17,$H$25*$H$30,0),0)</f>
        <v>283</v>
      </c>
      <c r="N17" s="53">
        <f t="shared" si="36"/>
        <v>3.7330000000000001</v>
      </c>
      <c r="O17" s="32">
        <f t="shared" si="37"/>
        <v>1056</v>
      </c>
      <c r="P17" s="53">
        <f t="shared" si="0"/>
        <v>0</v>
      </c>
      <c r="Q17" s="46">
        <f t="shared" si="7"/>
        <v>0</v>
      </c>
      <c r="R17" s="43">
        <f t="shared" ref="R17:R34" si="45">O17+Q17</f>
        <v>1056</v>
      </c>
      <c r="S17" s="42">
        <f t="shared" si="8"/>
        <v>2.8</v>
      </c>
      <c r="T17" s="46">
        <f t="shared" si="9"/>
        <v>181</v>
      </c>
      <c r="U17" s="44">
        <f t="shared" si="38"/>
        <v>507</v>
      </c>
      <c r="V17" s="16">
        <f t="shared" si="10"/>
        <v>1563</v>
      </c>
      <c r="W17" s="45">
        <f>ROUND($H$36*(1+$C$11)^J17,3)</f>
        <v>2.7669999999999999</v>
      </c>
      <c r="X17" s="46">
        <f t="shared" ref="X17:X34" si="46">ROUND((1-$H$38)*(W17*M17),0)</f>
        <v>619</v>
      </c>
      <c r="Y17" s="46">
        <v>0</v>
      </c>
      <c r="Z17" s="46">
        <v>0</v>
      </c>
      <c r="AA17" s="46">
        <f t="shared" si="12"/>
        <v>619</v>
      </c>
      <c r="AB17" s="46">
        <f t="shared" si="13"/>
        <v>944</v>
      </c>
      <c r="AE17" s="7">
        <f t="shared" si="14"/>
        <v>2028</v>
      </c>
      <c r="AF17" s="46">
        <f t="shared" si="15"/>
        <v>1056</v>
      </c>
      <c r="AG17" s="16">
        <f t="shared" si="16"/>
        <v>507</v>
      </c>
      <c r="AH17" s="46">
        <f t="shared" si="39"/>
        <v>1563</v>
      </c>
      <c r="AJ17" s="32">
        <f t="shared" si="17"/>
        <v>0</v>
      </c>
      <c r="AK17" s="32">
        <f t="shared" si="17"/>
        <v>0</v>
      </c>
      <c r="AL17" s="32">
        <f t="shared" si="18"/>
        <v>0</v>
      </c>
      <c r="AN17" s="77">
        <f t="shared" si="19"/>
        <v>1563</v>
      </c>
      <c r="AQ17" s="7">
        <f t="shared" si="20"/>
        <v>2028</v>
      </c>
      <c r="AR17" s="46">
        <f t="shared" si="1"/>
        <v>1056</v>
      </c>
      <c r="AS17" s="46">
        <f t="shared" si="2"/>
        <v>507</v>
      </c>
      <c r="AT17" s="91">
        <f t="shared" si="21"/>
        <v>3.2000000000000001E-2</v>
      </c>
      <c r="AU17" s="16">
        <f t="shared" ref="AU17:AU34" si="47">ROUND((IF($C$47+$F$23&gt;$AQ17,$F$27*$F$30,0)+IF($C$48+$G$23&gt;AQ17,$G$27*$G$30,0)+IF($C$49+$H$23&gt;AQ17,$H$27*$H$30,0))*AT17,0)</f>
        <v>0</v>
      </c>
      <c r="AV17" s="53">
        <f t="shared" si="22"/>
        <v>2.177</v>
      </c>
      <c r="AW17" s="46">
        <f t="shared" si="23"/>
        <v>616</v>
      </c>
      <c r="AX17" s="91"/>
      <c r="AY17" s="92"/>
      <c r="AZ17" s="46">
        <f t="shared" si="24"/>
        <v>2179</v>
      </c>
      <c r="BA17" s="17"/>
      <c r="BB17" s="46">
        <v>0</v>
      </c>
      <c r="BC17" s="46">
        <v>0</v>
      </c>
      <c r="BD17" s="47">
        <f t="shared" si="25"/>
        <v>0</v>
      </c>
      <c r="BE17" s="46">
        <f t="shared" si="40"/>
        <v>2179</v>
      </c>
      <c r="BH17" s="7">
        <f t="shared" si="26"/>
        <v>2028</v>
      </c>
      <c r="BI17" s="46">
        <v>0</v>
      </c>
      <c r="BJ17" s="16">
        <f t="shared" si="3"/>
        <v>283</v>
      </c>
      <c r="BK17" s="87">
        <f t="shared" si="27"/>
        <v>9.1300000000000008</v>
      </c>
      <c r="BL17" s="46">
        <f t="shared" si="41"/>
        <v>2584</v>
      </c>
      <c r="BM17" s="87">
        <f t="shared" si="28"/>
        <v>0.14699999999999999</v>
      </c>
      <c r="BN17" s="16">
        <f t="shared" ref="BN17:BN34" si="48">ROUND((IF($C$47+$F$23&gt;BH17,$F$27*$F$30,0)+IF($C$49+$H$23&gt;BH17,$H$27*$H$30,0)+IF($C$48+$G$23&gt;BH17,$G$27*$G$30,0))*BM17,0)</f>
        <v>0</v>
      </c>
      <c r="BO17" s="16"/>
      <c r="BP17" s="46">
        <f t="shared" si="42"/>
        <v>2584</v>
      </c>
      <c r="BR17" s="46">
        <f t="shared" ref="BR17:BR34" si="49">+BC17</f>
        <v>0</v>
      </c>
      <c r="BS17" s="46"/>
      <c r="BT17" s="46">
        <f t="shared" si="29"/>
        <v>2584</v>
      </c>
      <c r="BW17" s="7">
        <f t="shared" si="30"/>
        <v>2028</v>
      </c>
      <c r="BX17" s="46">
        <f t="shared" si="4"/>
        <v>1056</v>
      </c>
      <c r="BY17" s="16">
        <f t="shared" si="31"/>
        <v>507</v>
      </c>
      <c r="BZ17" s="116">
        <f t="shared" si="32"/>
        <v>0</v>
      </c>
      <c r="CA17" s="46">
        <f t="shared" si="33"/>
        <v>1563</v>
      </c>
      <c r="CC17" s="46">
        <f t="shared" si="34"/>
        <v>0</v>
      </c>
      <c r="CD17" s="46">
        <f t="shared" si="34"/>
        <v>0</v>
      </c>
      <c r="CE17" s="46">
        <f t="shared" si="35"/>
        <v>0</v>
      </c>
      <c r="CF17" s="46"/>
      <c r="CG17" s="46">
        <f t="shared" si="43"/>
        <v>1563</v>
      </c>
    </row>
    <row r="18" spans="1:106">
      <c r="A18" s="3" t="s">
        <v>18</v>
      </c>
      <c r="C18" s="15">
        <f>+'Gas Input Table Summary'!$D$13</f>
        <v>0.03</v>
      </c>
      <c r="E18" s="2" t="s">
        <v>65</v>
      </c>
      <c r="F18" s="15">
        <f>+'Gas Input Table Summary'!$D$38</f>
        <v>0</v>
      </c>
      <c r="G18" s="15"/>
      <c r="H18" s="15"/>
      <c r="J18" s="2">
        <f t="shared" si="5"/>
        <v>4</v>
      </c>
      <c r="L18" s="7">
        <f t="shared" si="6"/>
        <v>2029</v>
      </c>
      <c r="M18" s="16">
        <f>ROUND(IF($C$47+$F$23&gt;L18,$F$25*$F$30,0)+IF($C$48+$G$23&gt;L18,$G$25*$G$30,0)+IF($C$49+$H$23&gt;L18,$H$25*$H$30,0),0)</f>
        <v>283</v>
      </c>
      <c r="N18" s="53">
        <f t="shared" si="36"/>
        <v>3.8450000000000002</v>
      </c>
      <c r="O18" s="32">
        <f t="shared" si="37"/>
        <v>1088</v>
      </c>
      <c r="P18" s="53">
        <f t="shared" si="0"/>
        <v>0</v>
      </c>
      <c r="Q18" s="46">
        <f t="shared" si="7"/>
        <v>0</v>
      </c>
      <c r="R18" s="43">
        <f t="shared" si="45"/>
        <v>1088</v>
      </c>
      <c r="S18" s="42">
        <f t="shared" si="8"/>
        <v>2.8</v>
      </c>
      <c r="T18" s="46">
        <f t="shared" si="9"/>
        <v>182</v>
      </c>
      <c r="U18" s="44">
        <f t="shared" si="38"/>
        <v>510</v>
      </c>
      <c r="V18" s="16">
        <f>ROUND(+U18+R18,0)</f>
        <v>1598</v>
      </c>
      <c r="W18" s="45">
        <f t="shared" si="11"/>
        <v>2.85</v>
      </c>
      <c r="X18" s="46">
        <f t="shared" si="46"/>
        <v>637</v>
      </c>
      <c r="Y18" s="46">
        <v>0</v>
      </c>
      <c r="Z18" s="46">
        <v>0</v>
      </c>
      <c r="AA18" s="46">
        <f t="shared" si="12"/>
        <v>637</v>
      </c>
      <c r="AB18" s="46">
        <f t="shared" si="13"/>
        <v>961</v>
      </c>
      <c r="AE18" s="7">
        <f t="shared" si="14"/>
        <v>2029</v>
      </c>
      <c r="AF18" s="46">
        <f t="shared" si="15"/>
        <v>1088</v>
      </c>
      <c r="AG18" s="16">
        <f t="shared" si="16"/>
        <v>510</v>
      </c>
      <c r="AH18" s="46">
        <f t="shared" si="39"/>
        <v>1598</v>
      </c>
      <c r="AJ18" s="32">
        <f t="shared" si="17"/>
        <v>0</v>
      </c>
      <c r="AK18" s="32">
        <f t="shared" si="17"/>
        <v>0</v>
      </c>
      <c r="AL18" s="32">
        <f t="shared" si="18"/>
        <v>0</v>
      </c>
      <c r="AN18" s="77">
        <f t="shared" si="19"/>
        <v>1598</v>
      </c>
      <c r="AQ18" s="7">
        <f t="shared" si="20"/>
        <v>2029</v>
      </c>
      <c r="AR18" s="46">
        <f t="shared" si="1"/>
        <v>1088</v>
      </c>
      <c r="AS18" s="46">
        <f t="shared" si="2"/>
        <v>510</v>
      </c>
      <c r="AT18" s="91">
        <f t="shared" si="21"/>
        <v>3.3000000000000002E-2</v>
      </c>
      <c r="AU18" s="16">
        <f t="shared" si="47"/>
        <v>0</v>
      </c>
      <c r="AV18" s="53">
        <f t="shared" si="22"/>
        <v>2.214</v>
      </c>
      <c r="AW18" s="46">
        <f t="shared" si="23"/>
        <v>627</v>
      </c>
      <c r="AX18" s="91"/>
      <c r="AY18" s="92"/>
      <c r="AZ18" s="46">
        <f t="shared" si="24"/>
        <v>2225</v>
      </c>
      <c r="BA18" s="17"/>
      <c r="BB18" s="46">
        <v>0</v>
      </c>
      <c r="BC18" s="46">
        <v>0</v>
      </c>
      <c r="BD18" s="47">
        <f t="shared" si="25"/>
        <v>0</v>
      </c>
      <c r="BE18" s="46">
        <f t="shared" si="40"/>
        <v>2225</v>
      </c>
      <c r="BH18" s="7">
        <f t="shared" si="26"/>
        <v>2029</v>
      </c>
      <c r="BI18" s="46">
        <v>0</v>
      </c>
      <c r="BJ18" s="16">
        <f t="shared" si="3"/>
        <v>283</v>
      </c>
      <c r="BK18" s="87">
        <f t="shared" si="27"/>
        <v>9.4039999999999999</v>
      </c>
      <c r="BL18" s="46">
        <f t="shared" si="41"/>
        <v>2661</v>
      </c>
      <c r="BM18" s="87">
        <f t="shared" si="28"/>
        <v>0.152</v>
      </c>
      <c r="BN18" s="16">
        <f t="shared" si="48"/>
        <v>0</v>
      </c>
      <c r="BO18" s="16"/>
      <c r="BP18" s="46">
        <f t="shared" si="42"/>
        <v>2661</v>
      </c>
      <c r="BR18" s="46">
        <f t="shared" si="49"/>
        <v>0</v>
      </c>
      <c r="BS18" s="46"/>
      <c r="BT18" s="46">
        <f t="shared" si="29"/>
        <v>2661</v>
      </c>
      <c r="BW18" s="7">
        <f t="shared" si="30"/>
        <v>2029</v>
      </c>
      <c r="BX18" s="46">
        <f t="shared" si="4"/>
        <v>1088</v>
      </c>
      <c r="BY18" s="16">
        <f t="shared" si="31"/>
        <v>510</v>
      </c>
      <c r="BZ18" s="116">
        <f t="shared" si="32"/>
        <v>0</v>
      </c>
      <c r="CA18" s="46">
        <f t="shared" si="33"/>
        <v>1598</v>
      </c>
      <c r="CC18" s="46">
        <f t="shared" si="34"/>
        <v>0</v>
      </c>
      <c r="CD18" s="46">
        <f t="shared" si="34"/>
        <v>0</v>
      </c>
      <c r="CE18" s="46">
        <f t="shared" si="35"/>
        <v>0</v>
      </c>
      <c r="CF18" s="46"/>
      <c r="CG18" s="46">
        <f t="shared" si="43"/>
        <v>1598</v>
      </c>
      <c r="DB18" s="5"/>
    </row>
    <row r="19" spans="1:106">
      <c r="C19" s="3"/>
      <c r="J19" s="2">
        <f t="shared" si="5"/>
        <v>5</v>
      </c>
      <c r="L19" s="7">
        <f t="shared" si="6"/>
        <v>2030</v>
      </c>
      <c r="M19" s="16">
        <f t="shared" si="44"/>
        <v>283</v>
      </c>
      <c r="N19" s="53">
        <f t="shared" si="36"/>
        <v>3.96</v>
      </c>
      <c r="O19" s="32">
        <f t="shared" si="37"/>
        <v>1121</v>
      </c>
      <c r="P19" s="53">
        <f t="shared" si="0"/>
        <v>0</v>
      </c>
      <c r="Q19" s="46">
        <f t="shared" si="7"/>
        <v>0</v>
      </c>
      <c r="R19" s="43">
        <f t="shared" si="45"/>
        <v>1121</v>
      </c>
      <c r="S19" s="42">
        <f t="shared" si="8"/>
        <v>2.8</v>
      </c>
      <c r="T19" s="46">
        <f t="shared" si="9"/>
        <v>184</v>
      </c>
      <c r="U19" s="44">
        <f t="shared" si="38"/>
        <v>515</v>
      </c>
      <c r="V19" s="16">
        <f t="shared" si="10"/>
        <v>1636</v>
      </c>
      <c r="W19" s="45">
        <f t="shared" si="11"/>
        <v>2.9350000000000001</v>
      </c>
      <c r="X19" s="46">
        <f t="shared" si="46"/>
        <v>656</v>
      </c>
      <c r="Y19" s="46">
        <v>0</v>
      </c>
      <c r="Z19" s="46">
        <v>0</v>
      </c>
      <c r="AA19" s="46">
        <f t="shared" si="12"/>
        <v>656</v>
      </c>
      <c r="AB19" s="46">
        <f t="shared" si="13"/>
        <v>980</v>
      </c>
      <c r="AE19" s="7">
        <f t="shared" si="14"/>
        <v>2030</v>
      </c>
      <c r="AF19" s="46">
        <f t="shared" si="15"/>
        <v>1121</v>
      </c>
      <c r="AG19" s="16">
        <f t="shared" si="16"/>
        <v>515</v>
      </c>
      <c r="AH19" s="46">
        <f t="shared" si="39"/>
        <v>1636</v>
      </c>
      <c r="AJ19" s="32">
        <f t="shared" si="17"/>
        <v>0</v>
      </c>
      <c r="AK19" s="32">
        <f t="shared" si="17"/>
        <v>0</v>
      </c>
      <c r="AL19" s="32">
        <f t="shared" si="18"/>
        <v>0</v>
      </c>
      <c r="AN19" s="77">
        <f t="shared" si="19"/>
        <v>1636</v>
      </c>
      <c r="AQ19" s="7">
        <f t="shared" si="20"/>
        <v>2030</v>
      </c>
      <c r="AR19" s="46">
        <f t="shared" si="1"/>
        <v>1121</v>
      </c>
      <c r="AS19" s="46">
        <f t="shared" si="2"/>
        <v>515</v>
      </c>
      <c r="AT19" s="91">
        <f t="shared" si="21"/>
        <v>3.4000000000000002E-2</v>
      </c>
      <c r="AU19" s="16">
        <f t="shared" si="47"/>
        <v>0</v>
      </c>
      <c r="AV19" s="53">
        <f t="shared" si="22"/>
        <v>2.2509999999999999</v>
      </c>
      <c r="AW19" s="46">
        <f t="shared" si="23"/>
        <v>637</v>
      </c>
      <c r="AX19" s="91"/>
      <c r="AY19" s="92"/>
      <c r="AZ19" s="46">
        <f t="shared" si="24"/>
        <v>2273</v>
      </c>
      <c r="BA19" s="17"/>
      <c r="BB19" s="46">
        <v>0</v>
      </c>
      <c r="BC19" s="46">
        <v>0</v>
      </c>
      <c r="BD19" s="47">
        <f t="shared" si="25"/>
        <v>0</v>
      </c>
      <c r="BE19" s="46">
        <f t="shared" si="40"/>
        <v>2273</v>
      </c>
      <c r="BH19" s="7">
        <f t="shared" si="26"/>
        <v>2030</v>
      </c>
      <c r="BI19" s="46">
        <v>0</v>
      </c>
      <c r="BJ19" s="16">
        <f t="shared" si="3"/>
        <v>283</v>
      </c>
      <c r="BK19" s="87">
        <f t="shared" si="27"/>
        <v>9.6859999999999999</v>
      </c>
      <c r="BL19" s="46">
        <f t="shared" si="41"/>
        <v>2741</v>
      </c>
      <c r="BM19" s="87">
        <f t="shared" si="28"/>
        <v>0.156</v>
      </c>
      <c r="BN19" s="16">
        <f t="shared" si="48"/>
        <v>0</v>
      </c>
      <c r="BO19" s="16"/>
      <c r="BP19" s="46">
        <f t="shared" si="42"/>
        <v>2741</v>
      </c>
      <c r="BR19" s="46">
        <f t="shared" si="49"/>
        <v>0</v>
      </c>
      <c r="BS19" s="46"/>
      <c r="BT19" s="46">
        <f t="shared" si="29"/>
        <v>2741</v>
      </c>
      <c r="BW19" s="7">
        <f t="shared" si="30"/>
        <v>2030</v>
      </c>
      <c r="BX19" s="46">
        <f t="shared" si="4"/>
        <v>1121</v>
      </c>
      <c r="BY19" s="16">
        <f t="shared" si="31"/>
        <v>515</v>
      </c>
      <c r="BZ19" s="116">
        <f t="shared" si="32"/>
        <v>0</v>
      </c>
      <c r="CA19" s="46">
        <f t="shared" si="33"/>
        <v>1636</v>
      </c>
      <c r="CC19" s="46">
        <f t="shared" si="34"/>
        <v>0</v>
      </c>
      <c r="CD19" s="46">
        <f t="shared" si="34"/>
        <v>0</v>
      </c>
      <c r="CE19" s="46">
        <f t="shared" si="35"/>
        <v>0</v>
      </c>
      <c r="CF19" s="46"/>
      <c r="CG19" s="46">
        <f t="shared" si="43"/>
        <v>1636</v>
      </c>
    </row>
    <row r="20" spans="1:106">
      <c r="A20" s="3" t="s">
        <v>66</v>
      </c>
      <c r="C20" s="20">
        <f>+'Gas Input Table Summary'!$D$14</f>
        <v>175.3</v>
      </c>
      <c r="E20" s="3" t="s">
        <v>67</v>
      </c>
      <c r="F20" s="14">
        <f>+'Gas Input Table Summary'!$D$41</f>
        <v>0</v>
      </c>
      <c r="G20" s="14"/>
      <c r="H20" s="14"/>
      <c r="J20" s="2">
        <f t="shared" si="5"/>
        <v>6</v>
      </c>
      <c r="L20" s="7">
        <f t="shared" si="6"/>
        <v>2031</v>
      </c>
      <c r="M20" s="16">
        <f t="shared" si="44"/>
        <v>283</v>
      </c>
      <c r="N20" s="53">
        <f t="shared" si="36"/>
        <v>4.0789999999999997</v>
      </c>
      <c r="O20" s="32">
        <f t="shared" si="37"/>
        <v>1154</v>
      </c>
      <c r="P20" s="53">
        <f t="shared" si="0"/>
        <v>0</v>
      </c>
      <c r="Q20" s="46">
        <f t="shared" si="7"/>
        <v>0</v>
      </c>
      <c r="R20" s="43">
        <f t="shared" si="45"/>
        <v>1154</v>
      </c>
      <c r="S20" s="42">
        <f t="shared" si="8"/>
        <v>2.8</v>
      </c>
      <c r="T20" s="46">
        <f t="shared" si="9"/>
        <v>186</v>
      </c>
      <c r="U20" s="44">
        <f t="shared" si="38"/>
        <v>521</v>
      </c>
      <c r="V20" s="16">
        <f t="shared" si="10"/>
        <v>1675</v>
      </c>
      <c r="W20" s="45">
        <f>ROUND($H$36*(1+$C$11)^J20,3)</f>
        <v>3.0230000000000001</v>
      </c>
      <c r="X20" s="46">
        <f t="shared" si="46"/>
        <v>676</v>
      </c>
      <c r="Y20" s="46">
        <v>0</v>
      </c>
      <c r="Z20" s="46">
        <v>0</v>
      </c>
      <c r="AA20" s="46">
        <f t="shared" si="12"/>
        <v>676</v>
      </c>
      <c r="AB20" s="46">
        <f t="shared" si="13"/>
        <v>999</v>
      </c>
      <c r="AE20" s="7">
        <f t="shared" si="14"/>
        <v>2031</v>
      </c>
      <c r="AF20" s="46">
        <f t="shared" si="15"/>
        <v>1154</v>
      </c>
      <c r="AG20" s="16">
        <f t="shared" si="16"/>
        <v>521</v>
      </c>
      <c r="AH20" s="46">
        <f t="shared" si="39"/>
        <v>1675</v>
      </c>
      <c r="AJ20" s="32">
        <f t="shared" si="17"/>
        <v>0</v>
      </c>
      <c r="AK20" s="32">
        <f t="shared" si="17"/>
        <v>0</v>
      </c>
      <c r="AL20" s="32">
        <f t="shared" si="18"/>
        <v>0</v>
      </c>
      <c r="AN20" s="77">
        <f t="shared" si="19"/>
        <v>1675</v>
      </c>
      <c r="AQ20" s="7">
        <f t="shared" si="20"/>
        <v>2031</v>
      </c>
      <c r="AR20" s="46">
        <f t="shared" si="1"/>
        <v>1154</v>
      </c>
      <c r="AS20" s="46">
        <f t="shared" si="2"/>
        <v>521</v>
      </c>
      <c r="AT20" s="91">
        <f t="shared" si="21"/>
        <v>3.5000000000000003E-2</v>
      </c>
      <c r="AU20" s="16">
        <f>ROUND((IF($C$47+$F$23&gt;$AQ20,$F$27*$F$30,0)+IF($C$48+$G$23&gt;AQ20,$G$27*$G$30,0)+IF($C$49+$H$23&gt;AQ20,$H$27*$H$30,0))*AT20,0)</f>
        <v>0</v>
      </c>
      <c r="AV20" s="53">
        <f t="shared" si="22"/>
        <v>2.2890000000000001</v>
      </c>
      <c r="AW20" s="46">
        <f t="shared" si="23"/>
        <v>648</v>
      </c>
      <c r="AX20" s="91"/>
      <c r="AY20" s="92"/>
      <c r="AZ20" s="46">
        <f t="shared" si="24"/>
        <v>2323</v>
      </c>
      <c r="BA20" s="17"/>
      <c r="BB20" s="46">
        <v>0</v>
      </c>
      <c r="BC20" s="46">
        <v>0</v>
      </c>
      <c r="BD20" s="47">
        <f t="shared" si="25"/>
        <v>0</v>
      </c>
      <c r="BE20" s="46">
        <f t="shared" si="40"/>
        <v>2323</v>
      </c>
      <c r="BH20" s="7">
        <f t="shared" si="26"/>
        <v>2031</v>
      </c>
      <c r="BI20" s="46">
        <v>0</v>
      </c>
      <c r="BJ20" s="16">
        <f t="shared" si="3"/>
        <v>283</v>
      </c>
      <c r="BK20" s="87">
        <f t="shared" si="27"/>
        <v>9.9760000000000009</v>
      </c>
      <c r="BL20" s="46">
        <f t="shared" si="41"/>
        <v>2823</v>
      </c>
      <c r="BM20" s="87">
        <f t="shared" si="28"/>
        <v>0.161</v>
      </c>
      <c r="BN20" s="16">
        <f>ROUND((IF($C$47+$F$23&gt;BH20,$F$27*$F$30,0)+IF($C$49+$H$23&gt;BH20,$H$27*$H$30,0)+IF($C$48+$G$23&gt;BH20,$G$27*$G$30,0))*BM20,0)</f>
        <v>0</v>
      </c>
      <c r="BO20" s="16"/>
      <c r="BP20" s="46">
        <f t="shared" si="42"/>
        <v>2823</v>
      </c>
      <c r="BR20" s="46">
        <f t="shared" si="49"/>
        <v>0</v>
      </c>
      <c r="BS20" s="46"/>
      <c r="BT20" s="46">
        <f t="shared" si="29"/>
        <v>2823</v>
      </c>
      <c r="BW20" s="7">
        <f t="shared" si="30"/>
        <v>2031</v>
      </c>
      <c r="BX20" s="46">
        <f t="shared" si="4"/>
        <v>1154</v>
      </c>
      <c r="BY20" s="16">
        <f t="shared" si="31"/>
        <v>521</v>
      </c>
      <c r="BZ20" s="116">
        <f t="shared" si="32"/>
        <v>0</v>
      </c>
      <c r="CA20" s="46">
        <f t="shared" si="33"/>
        <v>1675</v>
      </c>
      <c r="CC20" s="46">
        <f t="shared" si="34"/>
        <v>0</v>
      </c>
      <c r="CD20" s="46">
        <f t="shared" si="34"/>
        <v>0</v>
      </c>
      <c r="CE20" s="46">
        <f t="shared" si="35"/>
        <v>0</v>
      </c>
      <c r="CF20" s="46"/>
      <c r="CG20" s="46">
        <f t="shared" si="43"/>
        <v>1675</v>
      </c>
      <c r="DB20" s="7"/>
    </row>
    <row r="21" spans="1:106">
      <c r="A21" s="3" t="s">
        <v>18</v>
      </c>
      <c r="C21" s="15">
        <f>+'Gas Input Table Summary'!$D$15</f>
        <v>0.01</v>
      </c>
      <c r="E21" s="2" t="s">
        <v>65</v>
      </c>
      <c r="F21" s="15">
        <f>+'Gas Input Table Summary'!$D$44</f>
        <v>0</v>
      </c>
      <c r="G21" s="15"/>
      <c r="H21" s="15"/>
      <c r="J21" s="2">
        <f t="shared" si="5"/>
        <v>7</v>
      </c>
      <c r="L21" s="7">
        <f t="shared" si="6"/>
        <v>2032</v>
      </c>
      <c r="M21" s="16">
        <f t="shared" si="44"/>
        <v>283</v>
      </c>
      <c r="N21" s="53">
        <f t="shared" si="36"/>
        <v>4.2009999999999996</v>
      </c>
      <c r="O21" s="32">
        <f t="shared" si="37"/>
        <v>1189</v>
      </c>
      <c r="P21" s="53">
        <f t="shared" si="0"/>
        <v>0</v>
      </c>
      <c r="Q21" s="46">
        <f t="shared" si="7"/>
        <v>0</v>
      </c>
      <c r="R21" s="43">
        <f t="shared" si="45"/>
        <v>1189</v>
      </c>
      <c r="S21" s="42">
        <f t="shared" si="8"/>
        <v>2.8</v>
      </c>
      <c r="T21" s="46">
        <f t="shared" si="9"/>
        <v>188</v>
      </c>
      <c r="U21" s="44">
        <f t="shared" si="38"/>
        <v>526</v>
      </c>
      <c r="V21" s="16">
        <f t="shared" si="10"/>
        <v>1715</v>
      </c>
      <c r="W21" s="45">
        <f t="shared" si="11"/>
        <v>3.1139999999999999</v>
      </c>
      <c r="X21" s="46">
        <f t="shared" si="46"/>
        <v>696</v>
      </c>
      <c r="Y21" s="46">
        <v>0</v>
      </c>
      <c r="Z21" s="46">
        <v>0</v>
      </c>
      <c r="AA21" s="46">
        <f t="shared" si="12"/>
        <v>696</v>
      </c>
      <c r="AB21" s="46">
        <f t="shared" si="13"/>
        <v>1019</v>
      </c>
      <c r="AE21" s="7">
        <f t="shared" si="14"/>
        <v>2032</v>
      </c>
      <c r="AF21" s="46">
        <f t="shared" si="15"/>
        <v>1189</v>
      </c>
      <c r="AG21" s="16">
        <f t="shared" si="16"/>
        <v>526</v>
      </c>
      <c r="AH21" s="46">
        <f t="shared" si="39"/>
        <v>1715</v>
      </c>
      <c r="AJ21" s="32">
        <f t="shared" si="17"/>
        <v>0</v>
      </c>
      <c r="AK21" s="32">
        <f t="shared" si="17"/>
        <v>0</v>
      </c>
      <c r="AL21" s="32">
        <f t="shared" si="18"/>
        <v>0</v>
      </c>
      <c r="AN21" s="77">
        <f t="shared" si="19"/>
        <v>1715</v>
      </c>
      <c r="AQ21" s="7">
        <f t="shared" si="20"/>
        <v>2032</v>
      </c>
      <c r="AR21" s="46">
        <f t="shared" si="1"/>
        <v>1189</v>
      </c>
      <c r="AS21" s="46">
        <f t="shared" si="2"/>
        <v>526</v>
      </c>
      <c r="AT21" s="91">
        <f t="shared" si="21"/>
        <v>3.5999999999999997E-2</v>
      </c>
      <c r="AU21" s="16">
        <f t="shared" si="47"/>
        <v>0</v>
      </c>
      <c r="AV21" s="53">
        <f t="shared" si="22"/>
        <v>2.3279999999999998</v>
      </c>
      <c r="AW21" s="46">
        <f t="shared" si="23"/>
        <v>659</v>
      </c>
      <c r="AX21" s="91"/>
      <c r="AY21" s="92"/>
      <c r="AZ21" s="46">
        <f t="shared" si="24"/>
        <v>2374</v>
      </c>
      <c r="BA21" s="17"/>
      <c r="BB21" s="46">
        <v>0</v>
      </c>
      <c r="BC21" s="46">
        <v>0</v>
      </c>
      <c r="BD21" s="47">
        <f t="shared" si="25"/>
        <v>0</v>
      </c>
      <c r="BE21" s="46">
        <f t="shared" si="40"/>
        <v>2374</v>
      </c>
      <c r="BH21" s="7">
        <f t="shared" si="26"/>
        <v>2032</v>
      </c>
      <c r="BI21" s="46">
        <v>0</v>
      </c>
      <c r="BJ21" s="16">
        <f t="shared" si="3"/>
        <v>283</v>
      </c>
      <c r="BK21" s="87">
        <f t="shared" si="27"/>
        <v>10.276</v>
      </c>
      <c r="BL21" s="46">
        <f t="shared" si="41"/>
        <v>2908</v>
      </c>
      <c r="BM21" s="87">
        <f t="shared" si="28"/>
        <v>0.16600000000000001</v>
      </c>
      <c r="BN21" s="16">
        <f t="shared" si="48"/>
        <v>0</v>
      </c>
      <c r="BO21" s="16"/>
      <c r="BP21" s="46">
        <f t="shared" si="42"/>
        <v>2908</v>
      </c>
      <c r="BR21" s="46">
        <f t="shared" si="49"/>
        <v>0</v>
      </c>
      <c r="BS21" s="46"/>
      <c r="BT21" s="46">
        <f t="shared" si="29"/>
        <v>2908</v>
      </c>
      <c r="BW21" s="7">
        <f t="shared" si="30"/>
        <v>2032</v>
      </c>
      <c r="BX21" s="46">
        <f t="shared" si="4"/>
        <v>1189</v>
      </c>
      <c r="BY21" s="16">
        <f t="shared" si="31"/>
        <v>526</v>
      </c>
      <c r="BZ21" s="116">
        <f t="shared" si="32"/>
        <v>0</v>
      </c>
      <c r="CA21" s="46">
        <f t="shared" si="33"/>
        <v>1715</v>
      </c>
      <c r="CC21" s="46">
        <f t="shared" si="34"/>
        <v>0</v>
      </c>
      <c r="CD21" s="46">
        <f t="shared" si="34"/>
        <v>0</v>
      </c>
      <c r="CE21" s="46">
        <f t="shared" si="35"/>
        <v>0</v>
      </c>
      <c r="CF21" s="46"/>
      <c r="CG21" s="46">
        <f t="shared" si="43"/>
        <v>1715</v>
      </c>
    </row>
    <row r="22" spans="1:106">
      <c r="F22" s="16"/>
      <c r="G22" s="16"/>
      <c r="H22" s="16"/>
      <c r="J22" s="2">
        <f t="shared" si="5"/>
        <v>8</v>
      </c>
      <c r="L22" s="7">
        <f t="shared" si="6"/>
        <v>2033</v>
      </c>
      <c r="M22" s="16">
        <f t="shared" si="44"/>
        <v>283</v>
      </c>
      <c r="N22" s="53">
        <f t="shared" si="36"/>
        <v>4.327</v>
      </c>
      <c r="O22" s="32">
        <f t="shared" si="37"/>
        <v>1225</v>
      </c>
      <c r="P22" s="53">
        <f t="shared" si="0"/>
        <v>0</v>
      </c>
      <c r="Q22" s="46">
        <f t="shared" si="7"/>
        <v>0</v>
      </c>
      <c r="R22" s="43">
        <f t="shared" si="45"/>
        <v>1225</v>
      </c>
      <c r="S22" s="42">
        <f t="shared" si="8"/>
        <v>2.8</v>
      </c>
      <c r="T22" s="46">
        <f t="shared" si="9"/>
        <v>190</v>
      </c>
      <c r="U22" s="44">
        <f t="shared" si="38"/>
        <v>532</v>
      </c>
      <c r="V22" s="16">
        <f t="shared" si="10"/>
        <v>1757</v>
      </c>
      <c r="W22" s="45">
        <f t="shared" si="11"/>
        <v>3.2069999999999999</v>
      </c>
      <c r="X22" s="46">
        <f t="shared" si="46"/>
        <v>717</v>
      </c>
      <c r="Y22" s="46">
        <v>0</v>
      </c>
      <c r="Z22" s="46">
        <v>0</v>
      </c>
      <c r="AA22" s="46">
        <f t="shared" si="12"/>
        <v>717</v>
      </c>
      <c r="AB22" s="46">
        <f t="shared" si="13"/>
        <v>1040</v>
      </c>
      <c r="AE22" s="7">
        <f t="shared" si="14"/>
        <v>2033</v>
      </c>
      <c r="AF22" s="46">
        <f t="shared" si="15"/>
        <v>1225</v>
      </c>
      <c r="AG22" s="16">
        <f t="shared" si="16"/>
        <v>532</v>
      </c>
      <c r="AH22" s="46">
        <f t="shared" si="39"/>
        <v>1757</v>
      </c>
      <c r="AJ22" s="32">
        <f t="shared" si="17"/>
        <v>0</v>
      </c>
      <c r="AK22" s="32">
        <f t="shared" si="17"/>
        <v>0</v>
      </c>
      <c r="AL22" s="32">
        <f t="shared" si="18"/>
        <v>0</v>
      </c>
      <c r="AN22" s="77">
        <f t="shared" si="19"/>
        <v>1757</v>
      </c>
      <c r="AQ22" s="7">
        <f t="shared" si="20"/>
        <v>2033</v>
      </c>
      <c r="AR22" s="46">
        <f t="shared" si="1"/>
        <v>1225</v>
      </c>
      <c r="AS22" s="46">
        <f t="shared" si="2"/>
        <v>532</v>
      </c>
      <c r="AT22" s="91">
        <f t="shared" si="21"/>
        <v>3.6999999999999998E-2</v>
      </c>
      <c r="AU22" s="16">
        <f t="shared" si="47"/>
        <v>0</v>
      </c>
      <c r="AV22" s="53">
        <f t="shared" si="22"/>
        <v>2.367</v>
      </c>
      <c r="AW22" s="46">
        <f t="shared" si="23"/>
        <v>670</v>
      </c>
      <c r="AX22" s="91"/>
      <c r="AY22" s="92"/>
      <c r="AZ22" s="46">
        <f t="shared" si="24"/>
        <v>2427</v>
      </c>
      <c r="BA22" s="17"/>
      <c r="BB22" s="46">
        <v>0</v>
      </c>
      <c r="BC22" s="46">
        <v>0</v>
      </c>
      <c r="BD22" s="47">
        <f t="shared" si="25"/>
        <v>0</v>
      </c>
      <c r="BE22" s="46">
        <f t="shared" si="40"/>
        <v>2427</v>
      </c>
      <c r="BH22" s="7">
        <f t="shared" si="26"/>
        <v>2033</v>
      </c>
      <c r="BI22" s="46">
        <v>0</v>
      </c>
      <c r="BJ22" s="16">
        <f t="shared" si="3"/>
        <v>283</v>
      </c>
      <c r="BK22" s="87">
        <f t="shared" si="27"/>
        <v>10.584</v>
      </c>
      <c r="BL22" s="46">
        <f t="shared" si="41"/>
        <v>2995</v>
      </c>
      <c r="BM22" s="87">
        <f t="shared" si="28"/>
        <v>0.17100000000000001</v>
      </c>
      <c r="BN22" s="16">
        <f t="shared" si="48"/>
        <v>0</v>
      </c>
      <c r="BO22" s="16"/>
      <c r="BP22" s="46">
        <f t="shared" si="42"/>
        <v>2995</v>
      </c>
      <c r="BR22" s="46">
        <f t="shared" si="49"/>
        <v>0</v>
      </c>
      <c r="BS22" s="46"/>
      <c r="BT22" s="46">
        <f t="shared" si="29"/>
        <v>2995</v>
      </c>
      <c r="BW22" s="7">
        <f t="shared" si="30"/>
        <v>2033</v>
      </c>
      <c r="BX22" s="46">
        <f t="shared" si="4"/>
        <v>1225</v>
      </c>
      <c r="BY22" s="16">
        <f t="shared" si="31"/>
        <v>532</v>
      </c>
      <c r="BZ22" s="116">
        <f t="shared" si="32"/>
        <v>0</v>
      </c>
      <c r="CA22" s="46">
        <f t="shared" si="33"/>
        <v>1757</v>
      </c>
      <c r="CC22" s="46">
        <f t="shared" si="34"/>
        <v>0</v>
      </c>
      <c r="CD22" s="46">
        <f t="shared" si="34"/>
        <v>0</v>
      </c>
      <c r="CE22" s="46">
        <f t="shared" si="35"/>
        <v>0</v>
      </c>
      <c r="CF22" s="46"/>
      <c r="CG22" s="46">
        <f t="shared" si="43"/>
        <v>1757</v>
      </c>
    </row>
    <row r="23" spans="1:106">
      <c r="A23" s="3" t="s">
        <v>68</v>
      </c>
      <c r="C23" s="21">
        <f>+'Gas Input Table Summary'!$D$16</f>
        <v>0.01</v>
      </c>
      <c r="E23" s="3" t="s">
        <v>69</v>
      </c>
      <c r="F23" s="138">
        <f>ROUND('Database Inputs'!D10,0)</f>
        <v>20</v>
      </c>
      <c r="G23" s="132"/>
      <c r="H23" s="132"/>
      <c r="J23" s="2">
        <f t="shared" si="5"/>
        <v>9</v>
      </c>
      <c r="L23" s="7">
        <f t="shared" si="6"/>
        <v>2034</v>
      </c>
      <c r="M23" s="16">
        <f t="shared" si="44"/>
        <v>283</v>
      </c>
      <c r="N23" s="53">
        <f t="shared" si="36"/>
        <v>4.4569999999999999</v>
      </c>
      <c r="O23" s="32">
        <f t="shared" si="37"/>
        <v>1261</v>
      </c>
      <c r="P23" s="53">
        <f t="shared" si="0"/>
        <v>0</v>
      </c>
      <c r="Q23" s="46">
        <f t="shared" si="7"/>
        <v>0</v>
      </c>
      <c r="R23" s="43">
        <f t="shared" si="45"/>
        <v>1261</v>
      </c>
      <c r="S23" s="42">
        <f t="shared" si="8"/>
        <v>2.8</v>
      </c>
      <c r="T23" s="46">
        <f t="shared" si="9"/>
        <v>192</v>
      </c>
      <c r="U23" s="44">
        <f t="shared" si="38"/>
        <v>538</v>
      </c>
      <c r="V23" s="16">
        <f t="shared" si="10"/>
        <v>1799</v>
      </c>
      <c r="W23" s="45">
        <f t="shared" si="11"/>
        <v>3.3039999999999998</v>
      </c>
      <c r="X23" s="46">
        <f t="shared" si="46"/>
        <v>739</v>
      </c>
      <c r="Y23" s="46">
        <v>0</v>
      </c>
      <c r="Z23" s="46">
        <v>0</v>
      </c>
      <c r="AA23" s="46">
        <f t="shared" si="12"/>
        <v>739</v>
      </c>
      <c r="AB23" s="46">
        <f t="shared" si="13"/>
        <v>1060</v>
      </c>
      <c r="AE23" s="7">
        <f t="shared" si="14"/>
        <v>2034</v>
      </c>
      <c r="AF23" s="46">
        <f t="shared" si="15"/>
        <v>1261</v>
      </c>
      <c r="AG23" s="16">
        <f t="shared" si="16"/>
        <v>538</v>
      </c>
      <c r="AH23" s="46">
        <f t="shared" si="39"/>
        <v>1799</v>
      </c>
      <c r="AJ23" s="32">
        <f t="shared" si="17"/>
        <v>0</v>
      </c>
      <c r="AK23" s="32">
        <f t="shared" si="17"/>
        <v>0</v>
      </c>
      <c r="AL23" s="32">
        <f t="shared" si="18"/>
        <v>0</v>
      </c>
      <c r="AN23" s="77">
        <f t="shared" si="19"/>
        <v>1799</v>
      </c>
      <c r="AQ23" s="7">
        <f t="shared" si="20"/>
        <v>2034</v>
      </c>
      <c r="AR23" s="46">
        <f t="shared" si="1"/>
        <v>1261</v>
      </c>
      <c r="AS23" s="46">
        <f t="shared" si="2"/>
        <v>538</v>
      </c>
      <c r="AT23" s="91">
        <f t="shared" si="21"/>
        <v>3.9E-2</v>
      </c>
      <c r="AU23" s="16">
        <f t="shared" si="47"/>
        <v>0</v>
      </c>
      <c r="AV23" s="53">
        <f t="shared" si="22"/>
        <v>2.407</v>
      </c>
      <c r="AW23" s="46">
        <f t="shared" si="23"/>
        <v>681</v>
      </c>
      <c r="AX23" s="91"/>
      <c r="AY23" s="92"/>
      <c r="AZ23" s="46">
        <f t="shared" si="24"/>
        <v>2480</v>
      </c>
      <c r="BA23" s="17"/>
      <c r="BB23" s="46">
        <v>0</v>
      </c>
      <c r="BC23" s="46">
        <v>0</v>
      </c>
      <c r="BD23" s="47">
        <f t="shared" si="25"/>
        <v>0</v>
      </c>
      <c r="BE23" s="46">
        <f t="shared" si="40"/>
        <v>2480</v>
      </c>
      <c r="BH23" s="7">
        <f t="shared" si="26"/>
        <v>2034</v>
      </c>
      <c r="BI23" s="46">
        <v>0</v>
      </c>
      <c r="BJ23" s="16">
        <f t="shared" si="3"/>
        <v>283</v>
      </c>
      <c r="BK23" s="87">
        <f t="shared" si="27"/>
        <v>10.901</v>
      </c>
      <c r="BL23" s="46">
        <f t="shared" si="41"/>
        <v>3085</v>
      </c>
      <c r="BM23" s="87">
        <f t="shared" si="28"/>
        <v>0.17599999999999999</v>
      </c>
      <c r="BN23" s="16">
        <f t="shared" si="48"/>
        <v>0</v>
      </c>
      <c r="BO23" s="16"/>
      <c r="BP23" s="46">
        <f t="shared" si="42"/>
        <v>3085</v>
      </c>
      <c r="BR23" s="46">
        <f t="shared" si="49"/>
        <v>0</v>
      </c>
      <c r="BS23" s="46"/>
      <c r="BT23" s="46">
        <f t="shared" si="29"/>
        <v>3085</v>
      </c>
      <c r="BW23" s="7">
        <f t="shared" si="30"/>
        <v>2034</v>
      </c>
      <c r="BX23" s="46">
        <f t="shared" si="4"/>
        <v>1261</v>
      </c>
      <c r="BY23" s="16">
        <f t="shared" si="31"/>
        <v>538</v>
      </c>
      <c r="BZ23" s="116">
        <f t="shared" si="32"/>
        <v>0</v>
      </c>
      <c r="CA23" s="46">
        <f t="shared" si="33"/>
        <v>1799</v>
      </c>
      <c r="CC23" s="46">
        <f t="shared" si="34"/>
        <v>0</v>
      </c>
      <c r="CD23" s="46">
        <f t="shared" si="34"/>
        <v>0</v>
      </c>
      <c r="CE23" s="46">
        <f t="shared" si="35"/>
        <v>0</v>
      </c>
      <c r="CF23" s="46"/>
      <c r="CG23" s="46">
        <f t="shared" si="43"/>
        <v>1799</v>
      </c>
    </row>
    <row r="24" spans="1:106">
      <c r="F24" s="250"/>
      <c r="G24" s="16"/>
      <c r="H24" s="16"/>
      <c r="J24" s="2">
        <f>J23+1</f>
        <v>10</v>
      </c>
      <c r="L24" s="7">
        <f t="shared" si="6"/>
        <v>2035</v>
      </c>
      <c r="M24" s="16">
        <f t="shared" si="44"/>
        <v>283</v>
      </c>
      <c r="N24" s="53">
        <f t="shared" si="36"/>
        <v>4.5910000000000002</v>
      </c>
      <c r="O24" s="32">
        <f t="shared" si="37"/>
        <v>1299</v>
      </c>
      <c r="P24" s="53">
        <f t="shared" si="0"/>
        <v>0</v>
      </c>
      <c r="Q24" s="46">
        <f t="shared" si="7"/>
        <v>0</v>
      </c>
      <c r="R24" s="43">
        <f t="shared" si="45"/>
        <v>1299</v>
      </c>
      <c r="S24" s="42">
        <f t="shared" si="8"/>
        <v>2.8</v>
      </c>
      <c r="T24" s="46">
        <f t="shared" si="9"/>
        <v>194</v>
      </c>
      <c r="U24" s="44">
        <f t="shared" si="38"/>
        <v>543</v>
      </c>
      <c r="V24" s="16">
        <f t="shared" si="10"/>
        <v>1842</v>
      </c>
      <c r="W24" s="45">
        <f t="shared" si="11"/>
        <v>3.403</v>
      </c>
      <c r="X24" s="46">
        <f t="shared" si="46"/>
        <v>761</v>
      </c>
      <c r="Y24" s="46">
        <v>0</v>
      </c>
      <c r="Z24" s="46">
        <v>0</v>
      </c>
      <c r="AA24" s="46">
        <f t="shared" si="12"/>
        <v>761</v>
      </c>
      <c r="AB24" s="46">
        <f t="shared" si="13"/>
        <v>1081</v>
      </c>
      <c r="AE24" s="7">
        <f t="shared" si="14"/>
        <v>2035</v>
      </c>
      <c r="AF24" s="46">
        <f t="shared" si="15"/>
        <v>1299</v>
      </c>
      <c r="AG24" s="16">
        <f t="shared" si="16"/>
        <v>543</v>
      </c>
      <c r="AH24" s="46">
        <f t="shared" si="39"/>
        <v>1842</v>
      </c>
      <c r="AJ24" s="32">
        <f t="shared" si="17"/>
        <v>0</v>
      </c>
      <c r="AK24" s="32">
        <f t="shared" si="17"/>
        <v>0</v>
      </c>
      <c r="AL24" s="32">
        <f t="shared" si="18"/>
        <v>0</v>
      </c>
      <c r="AN24" s="77">
        <f t="shared" si="19"/>
        <v>1842</v>
      </c>
      <c r="AQ24" s="7">
        <f t="shared" si="20"/>
        <v>2035</v>
      </c>
      <c r="AR24" s="46">
        <f t="shared" si="1"/>
        <v>1299</v>
      </c>
      <c r="AS24" s="46">
        <f t="shared" si="2"/>
        <v>543</v>
      </c>
      <c r="AT24" s="91">
        <f t="shared" si="21"/>
        <v>0.04</v>
      </c>
      <c r="AU24" s="16">
        <f t="shared" si="47"/>
        <v>0</v>
      </c>
      <c r="AV24" s="53">
        <f t="shared" si="22"/>
        <v>2.448</v>
      </c>
      <c r="AW24" s="46">
        <f t="shared" si="23"/>
        <v>693</v>
      </c>
      <c r="AX24" s="91"/>
      <c r="AY24" s="92"/>
      <c r="AZ24" s="46">
        <f t="shared" si="24"/>
        <v>2535</v>
      </c>
      <c r="BA24" s="17"/>
      <c r="BB24" s="46">
        <v>0</v>
      </c>
      <c r="BC24" s="46">
        <v>0</v>
      </c>
      <c r="BD24" s="47">
        <f t="shared" si="25"/>
        <v>0</v>
      </c>
      <c r="BE24" s="46">
        <f t="shared" si="40"/>
        <v>2535</v>
      </c>
      <c r="BH24" s="7">
        <f t="shared" si="26"/>
        <v>2035</v>
      </c>
      <c r="BI24" s="46">
        <v>0</v>
      </c>
      <c r="BJ24" s="16">
        <f t="shared" si="3"/>
        <v>283</v>
      </c>
      <c r="BK24" s="87">
        <f t="shared" si="27"/>
        <v>11.228</v>
      </c>
      <c r="BL24" s="46">
        <f t="shared" si="41"/>
        <v>3178</v>
      </c>
      <c r="BM24" s="87">
        <f t="shared" si="28"/>
        <v>0.18099999999999999</v>
      </c>
      <c r="BN24" s="16">
        <f t="shared" si="48"/>
        <v>0</v>
      </c>
      <c r="BO24" s="16"/>
      <c r="BP24" s="46">
        <f t="shared" si="42"/>
        <v>3178</v>
      </c>
      <c r="BR24" s="46">
        <f t="shared" si="49"/>
        <v>0</v>
      </c>
      <c r="BS24" s="46"/>
      <c r="BT24" s="46">
        <f t="shared" si="29"/>
        <v>3178</v>
      </c>
      <c r="BW24" s="7">
        <f t="shared" si="30"/>
        <v>2035</v>
      </c>
      <c r="BX24" s="46">
        <f t="shared" si="4"/>
        <v>1299</v>
      </c>
      <c r="BY24" s="16">
        <f t="shared" si="31"/>
        <v>543</v>
      </c>
      <c r="BZ24" s="116">
        <f t="shared" si="32"/>
        <v>0</v>
      </c>
      <c r="CA24" s="46">
        <f>SUM(BX24:BZ24)</f>
        <v>1842</v>
      </c>
      <c r="CC24" s="46">
        <f t="shared" si="34"/>
        <v>0</v>
      </c>
      <c r="CD24" s="46">
        <f t="shared" si="34"/>
        <v>0</v>
      </c>
      <c r="CE24" s="46">
        <f t="shared" si="35"/>
        <v>0</v>
      </c>
      <c r="CF24" s="46"/>
      <c r="CG24" s="46">
        <f t="shared" si="43"/>
        <v>1842</v>
      </c>
    </row>
    <row r="25" spans="1:106">
      <c r="A25" s="130" t="s">
        <v>106</v>
      </c>
      <c r="C25" s="11">
        <f>+'Gas Input Table Summary'!$D$17</f>
        <v>0</v>
      </c>
      <c r="E25" s="48" t="s">
        <v>102</v>
      </c>
      <c r="F25" s="139">
        <f>+ROUND(F32/F30,3)</f>
        <v>6.4320000000000004</v>
      </c>
      <c r="G25" s="133"/>
      <c r="H25" s="133"/>
      <c r="J25" s="2">
        <f t="shared" si="5"/>
        <v>11</v>
      </c>
      <c r="L25" s="7">
        <f t="shared" si="6"/>
        <v>2036</v>
      </c>
      <c r="M25" s="16">
        <f t="shared" si="44"/>
        <v>283</v>
      </c>
      <c r="N25" s="53">
        <f t="shared" si="36"/>
        <v>4.7290000000000001</v>
      </c>
      <c r="O25" s="32">
        <f t="shared" si="37"/>
        <v>1338</v>
      </c>
      <c r="P25" s="53">
        <f t="shared" si="0"/>
        <v>0</v>
      </c>
      <c r="Q25" s="46">
        <f t="shared" si="7"/>
        <v>0</v>
      </c>
      <c r="R25" s="43">
        <f t="shared" si="45"/>
        <v>1338</v>
      </c>
      <c r="S25" s="42">
        <f t="shared" si="8"/>
        <v>2.8</v>
      </c>
      <c r="T25" s="46">
        <f t="shared" si="9"/>
        <v>196</v>
      </c>
      <c r="U25" s="44">
        <f t="shared" si="38"/>
        <v>549</v>
      </c>
      <c r="V25" s="16">
        <f t="shared" si="10"/>
        <v>1887</v>
      </c>
      <c r="W25" s="45">
        <f t="shared" si="11"/>
        <v>3.5049999999999999</v>
      </c>
      <c r="X25" s="46">
        <f t="shared" si="46"/>
        <v>784</v>
      </c>
      <c r="Y25" s="46">
        <v>0</v>
      </c>
      <c r="Z25" s="46">
        <v>0</v>
      </c>
      <c r="AA25" s="46">
        <f t="shared" si="12"/>
        <v>784</v>
      </c>
      <c r="AB25" s="46">
        <f t="shared" si="13"/>
        <v>1103</v>
      </c>
      <c r="AE25" s="7">
        <f t="shared" si="14"/>
        <v>2036</v>
      </c>
      <c r="AF25" s="46">
        <f t="shared" si="15"/>
        <v>1338</v>
      </c>
      <c r="AG25" s="16">
        <f t="shared" si="16"/>
        <v>549</v>
      </c>
      <c r="AH25" s="46">
        <f t="shared" si="39"/>
        <v>1887</v>
      </c>
      <c r="AJ25" s="32">
        <f t="shared" si="17"/>
        <v>0</v>
      </c>
      <c r="AK25" s="32">
        <f t="shared" si="17"/>
        <v>0</v>
      </c>
      <c r="AL25" s="32">
        <f t="shared" si="18"/>
        <v>0</v>
      </c>
      <c r="AN25" s="77">
        <f t="shared" si="19"/>
        <v>1887</v>
      </c>
      <c r="AQ25" s="7">
        <f t="shared" si="20"/>
        <v>2036</v>
      </c>
      <c r="AR25" s="46">
        <f t="shared" si="1"/>
        <v>1338</v>
      </c>
      <c r="AS25" s="46">
        <f t="shared" si="2"/>
        <v>549</v>
      </c>
      <c r="AT25" s="91">
        <f t="shared" si="21"/>
        <v>4.1000000000000002E-2</v>
      </c>
      <c r="AU25" s="16">
        <f t="shared" si="47"/>
        <v>0</v>
      </c>
      <c r="AV25" s="53">
        <f t="shared" si="22"/>
        <v>2.4889999999999999</v>
      </c>
      <c r="AW25" s="46">
        <f>ROUND(AV25*M25,0)</f>
        <v>704</v>
      </c>
      <c r="AX25" s="91"/>
      <c r="AY25" s="92"/>
      <c r="AZ25" s="46">
        <f t="shared" si="24"/>
        <v>2591</v>
      </c>
      <c r="BA25" s="17"/>
      <c r="BB25" s="46">
        <v>0</v>
      </c>
      <c r="BC25" s="46">
        <v>0</v>
      </c>
      <c r="BD25" s="47">
        <f t="shared" si="25"/>
        <v>0</v>
      </c>
      <c r="BE25" s="46">
        <f t="shared" si="40"/>
        <v>2591</v>
      </c>
      <c r="BH25" s="7">
        <f t="shared" si="26"/>
        <v>2036</v>
      </c>
      <c r="BI25" s="46">
        <v>0</v>
      </c>
      <c r="BJ25" s="16">
        <f t="shared" si="3"/>
        <v>283</v>
      </c>
      <c r="BK25" s="87">
        <f t="shared" si="27"/>
        <v>11.565</v>
      </c>
      <c r="BL25" s="46">
        <f t="shared" si="41"/>
        <v>3273</v>
      </c>
      <c r="BM25" s="87">
        <f t="shared" si="28"/>
        <v>0.187</v>
      </c>
      <c r="BN25" s="16">
        <f t="shared" si="48"/>
        <v>0</v>
      </c>
      <c r="BO25" s="16"/>
      <c r="BP25" s="46">
        <f t="shared" si="42"/>
        <v>3273</v>
      </c>
      <c r="BR25" s="46">
        <f t="shared" si="49"/>
        <v>0</v>
      </c>
      <c r="BS25" s="46"/>
      <c r="BT25" s="46">
        <f t="shared" si="29"/>
        <v>3273</v>
      </c>
      <c r="BW25" s="7">
        <f t="shared" si="30"/>
        <v>2036</v>
      </c>
      <c r="BX25" s="46">
        <f t="shared" si="4"/>
        <v>1338</v>
      </c>
      <c r="BY25" s="16">
        <f t="shared" si="31"/>
        <v>549</v>
      </c>
      <c r="BZ25" s="116">
        <f t="shared" si="32"/>
        <v>0</v>
      </c>
      <c r="CA25" s="46">
        <f t="shared" si="33"/>
        <v>1887</v>
      </c>
      <c r="CC25" s="46">
        <f t="shared" si="34"/>
        <v>0</v>
      </c>
      <c r="CD25" s="46">
        <f t="shared" si="34"/>
        <v>0</v>
      </c>
      <c r="CE25" s="46">
        <f t="shared" si="35"/>
        <v>0</v>
      </c>
      <c r="CF25" s="46"/>
      <c r="CG25" s="46">
        <f t="shared" si="43"/>
        <v>1887</v>
      </c>
    </row>
    <row r="26" spans="1:106">
      <c r="A26" s="3" t="s">
        <v>18</v>
      </c>
      <c r="C26" s="15">
        <f>+'Gas Input Table Summary'!$D$18</f>
        <v>0</v>
      </c>
      <c r="F26" s="250"/>
      <c r="G26" s="16"/>
      <c r="H26" s="16"/>
      <c r="J26" s="2">
        <f t="shared" si="5"/>
        <v>12</v>
      </c>
      <c r="L26" s="7">
        <f t="shared" si="6"/>
        <v>2037</v>
      </c>
      <c r="M26" s="16">
        <f t="shared" si="44"/>
        <v>283</v>
      </c>
      <c r="N26" s="53">
        <f>ROUND($C$17*(1+$C$18)^J26,3)</f>
        <v>4.87</v>
      </c>
      <c r="O26" s="32">
        <f t="shared" si="37"/>
        <v>1378</v>
      </c>
      <c r="P26" s="53">
        <f t="shared" si="0"/>
        <v>0</v>
      </c>
      <c r="Q26" s="46">
        <f t="shared" si="7"/>
        <v>0</v>
      </c>
      <c r="R26" s="43">
        <f t="shared" si="45"/>
        <v>1378</v>
      </c>
      <c r="S26" s="42">
        <f t="shared" si="8"/>
        <v>2.8</v>
      </c>
      <c r="T26" s="46">
        <f t="shared" si="9"/>
        <v>198</v>
      </c>
      <c r="U26" s="44">
        <f t="shared" si="38"/>
        <v>554</v>
      </c>
      <c r="V26" s="16">
        <f t="shared" si="10"/>
        <v>1932</v>
      </c>
      <c r="W26" s="45">
        <f t="shared" si="11"/>
        <v>3.61</v>
      </c>
      <c r="X26" s="46">
        <f t="shared" si="46"/>
        <v>807</v>
      </c>
      <c r="Y26" s="46">
        <v>0</v>
      </c>
      <c r="Z26" s="46">
        <v>0</v>
      </c>
      <c r="AA26" s="46">
        <f t="shared" si="12"/>
        <v>807</v>
      </c>
      <c r="AB26" s="46">
        <f t="shared" si="13"/>
        <v>1125</v>
      </c>
      <c r="AE26" s="7">
        <f t="shared" si="14"/>
        <v>2037</v>
      </c>
      <c r="AF26" s="46">
        <f t="shared" si="15"/>
        <v>1378</v>
      </c>
      <c r="AG26" s="16">
        <f t="shared" si="16"/>
        <v>554</v>
      </c>
      <c r="AH26" s="46">
        <f t="shared" si="39"/>
        <v>1932</v>
      </c>
      <c r="AJ26" s="32">
        <f t="shared" si="17"/>
        <v>0</v>
      </c>
      <c r="AK26" s="32">
        <f t="shared" si="17"/>
        <v>0</v>
      </c>
      <c r="AL26" s="32">
        <f t="shared" si="18"/>
        <v>0</v>
      </c>
      <c r="AN26" s="77">
        <f t="shared" si="19"/>
        <v>1932</v>
      </c>
      <c r="AQ26" s="7">
        <f t="shared" si="20"/>
        <v>2037</v>
      </c>
      <c r="AR26" s="46">
        <f t="shared" si="1"/>
        <v>1378</v>
      </c>
      <c r="AS26" s="46">
        <f t="shared" si="2"/>
        <v>554</v>
      </c>
      <c r="AT26" s="91">
        <f t="shared" si="21"/>
        <v>4.2000000000000003E-2</v>
      </c>
      <c r="AU26" s="16">
        <f t="shared" si="47"/>
        <v>0</v>
      </c>
      <c r="AV26" s="53">
        <f t="shared" si="22"/>
        <v>2.5310000000000001</v>
      </c>
      <c r="AW26" s="46">
        <f>ROUND(AV26*M26,0)</f>
        <v>716</v>
      </c>
      <c r="AX26" s="91"/>
      <c r="AY26" s="92"/>
      <c r="AZ26" s="46">
        <f t="shared" si="24"/>
        <v>2648</v>
      </c>
      <c r="BA26" s="17"/>
      <c r="BB26" s="46">
        <v>0</v>
      </c>
      <c r="BC26" s="46">
        <v>0</v>
      </c>
      <c r="BD26" s="47">
        <f t="shared" si="25"/>
        <v>0</v>
      </c>
      <c r="BE26" s="46">
        <f t="shared" si="40"/>
        <v>2648</v>
      </c>
      <c r="BH26" s="7">
        <f t="shared" si="26"/>
        <v>2037</v>
      </c>
      <c r="BI26" s="46">
        <v>0</v>
      </c>
      <c r="BJ26" s="16">
        <f t="shared" si="3"/>
        <v>283</v>
      </c>
      <c r="BK26" s="87">
        <f t="shared" si="27"/>
        <v>11.912000000000001</v>
      </c>
      <c r="BL26" s="46">
        <f t="shared" si="41"/>
        <v>3371</v>
      </c>
      <c r="BM26" s="87">
        <f t="shared" si="28"/>
        <v>0.192</v>
      </c>
      <c r="BN26" s="16">
        <f t="shared" si="48"/>
        <v>0</v>
      </c>
      <c r="BO26" s="16"/>
      <c r="BP26" s="46">
        <f t="shared" si="42"/>
        <v>3371</v>
      </c>
      <c r="BR26" s="46">
        <f t="shared" si="49"/>
        <v>0</v>
      </c>
      <c r="BS26" s="46"/>
      <c r="BT26" s="46">
        <f t="shared" si="29"/>
        <v>3371</v>
      </c>
      <c r="BW26" s="7">
        <f t="shared" si="30"/>
        <v>2037</v>
      </c>
      <c r="BX26" s="46">
        <f t="shared" si="4"/>
        <v>1378</v>
      </c>
      <c r="BY26" s="16">
        <f t="shared" si="31"/>
        <v>554</v>
      </c>
      <c r="BZ26" s="116">
        <f t="shared" si="32"/>
        <v>0</v>
      </c>
      <c r="CA26" s="46">
        <f t="shared" si="33"/>
        <v>1932</v>
      </c>
      <c r="CC26" s="46">
        <f t="shared" si="34"/>
        <v>0</v>
      </c>
      <c r="CD26" s="46">
        <f t="shared" si="34"/>
        <v>0</v>
      </c>
      <c r="CE26" s="46">
        <f t="shared" si="35"/>
        <v>0</v>
      </c>
      <c r="CF26" s="46"/>
      <c r="CG26" s="46">
        <f t="shared" si="43"/>
        <v>1932</v>
      </c>
    </row>
    <row r="27" spans="1:106">
      <c r="A27" s="3"/>
      <c r="C27" s="15"/>
      <c r="E27" s="3" t="s">
        <v>70</v>
      </c>
      <c r="F27" s="250">
        <f>+'Database Inputs'!H10</f>
        <v>0</v>
      </c>
      <c r="G27" s="142"/>
      <c r="H27" s="142"/>
      <c r="J27" s="2">
        <f t="shared" si="5"/>
        <v>13</v>
      </c>
      <c r="L27" s="7">
        <f t="shared" si="6"/>
        <v>2038</v>
      </c>
      <c r="M27" s="16">
        <f t="shared" si="44"/>
        <v>283</v>
      </c>
      <c r="N27" s="53">
        <f t="shared" si="36"/>
        <v>5.0170000000000003</v>
      </c>
      <c r="O27" s="32">
        <f t="shared" si="37"/>
        <v>1420</v>
      </c>
      <c r="P27" s="53">
        <f t="shared" si="0"/>
        <v>0</v>
      </c>
      <c r="Q27" s="46">
        <f t="shared" si="7"/>
        <v>0</v>
      </c>
      <c r="R27" s="43">
        <f t="shared" si="45"/>
        <v>1420</v>
      </c>
      <c r="S27" s="42">
        <f t="shared" si="8"/>
        <v>2.8</v>
      </c>
      <c r="T27" s="46">
        <f t="shared" si="9"/>
        <v>200</v>
      </c>
      <c r="U27" s="44">
        <f>ROUND(S27*T27,0)</f>
        <v>560</v>
      </c>
      <c r="V27" s="16">
        <f t="shared" si="10"/>
        <v>1980</v>
      </c>
      <c r="W27" s="45">
        <f>ROUND($H$36*(1+$C$11)^J27,3)</f>
        <v>3.718</v>
      </c>
      <c r="X27" s="46">
        <f t="shared" si="46"/>
        <v>831</v>
      </c>
      <c r="Y27" s="46">
        <v>0</v>
      </c>
      <c r="Z27" s="46">
        <v>0</v>
      </c>
      <c r="AA27" s="46">
        <f t="shared" si="12"/>
        <v>831</v>
      </c>
      <c r="AB27" s="46">
        <f t="shared" si="13"/>
        <v>1149</v>
      </c>
      <c r="AE27" s="7">
        <f t="shared" si="14"/>
        <v>2038</v>
      </c>
      <c r="AF27" s="46">
        <f t="shared" si="15"/>
        <v>1420</v>
      </c>
      <c r="AG27" s="16">
        <f t="shared" si="16"/>
        <v>560</v>
      </c>
      <c r="AH27" s="46">
        <f t="shared" si="39"/>
        <v>1980</v>
      </c>
      <c r="AJ27" s="32">
        <f t="shared" si="17"/>
        <v>0</v>
      </c>
      <c r="AK27" s="32">
        <f t="shared" si="17"/>
        <v>0</v>
      </c>
      <c r="AL27" s="32">
        <f t="shared" si="18"/>
        <v>0</v>
      </c>
      <c r="AN27" s="77">
        <f t="shared" si="19"/>
        <v>1980</v>
      </c>
      <c r="AQ27" s="7">
        <f t="shared" si="20"/>
        <v>2038</v>
      </c>
      <c r="AR27" s="46">
        <f t="shared" si="1"/>
        <v>1420</v>
      </c>
      <c r="AS27" s="46">
        <f t="shared" si="2"/>
        <v>560</v>
      </c>
      <c r="AT27" s="91">
        <f t="shared" si="21"/>
        <v>4.2999999999999997E-2</v>
      </c>
      <c r="AU27" s="16">
        <f t="shared" si="47"/>
        <v>0</v>
      </c>
      <c r="AV27" s="53">
        <f t="shared" si="22"/>
        <v>2.5739999999999998</v>
      </c>
      <c r="AW27" s="46">
        <f t="shared" si="23"/>
        <v>728</v>
      </c>
      <c r="AX27" s="91"/>
      <c r="AY27" s="92"/>
      <c r="AZ27" s="46">
        <f t="shared" si="24"/>
        <v>2708</v>
      </c>
      <c r="BA27" s="17"/>
      <c r="BB27" s="46">
        <v>0</v>
      </c>
      <c r="BC27" s="46">
        <v>0</v>
      </c>
      <c r="BD27" s="47">
        <f t="shared" si="25"/>
        <v>0</v>
      </c>
      <c r="BE27" s="46">
        <f t="shared" si="40"/>
        <v>2708</v>
      </c>
      <c r="BH27" s="7">
        <f t="shared" si="26"/>
        <v>2038</v>
      </c>
      <c r="BI27" s="46">
        <v>0</v>
      </c>
      <c r="BJ27" s="16">
        <f t="shared" si="3"/>
        <v>283</v>
      </c>
      <c r="BK27" s="87">
        <f t="shared" si="27"/>
        <v>12.27</v>
      </c>
      <c r="BL27" s="46">
        <f t="shared" si="41"/>
        <v>3472</v>
      </c>
      <c r="BM27" s="87">
        <f t="shared" si="28"/>
        <v>0.19800000000000001</v>
      </c>
      <c r="BN27" s="16">
        <f t="shared" si="48"/>
        <v>0</v>
      </c>
      <c r="BO27" s="16"/>
      <c r="BP27" s="46">
        <f t="shared" si="42"/>
        <v>3472</v>
      </c>
      <c r="BR27" s="46">
        <f t="shared" si="49"/>
        <v>0</v>
      </c>
      <c r="BS27" s="46"/>
      <c r="BT27" s="46">
        <f t="shared" si="29"/>
        <v>3472</v>
      </c>
      <c r="BW27" s="7">
        <f t="shared" si="30"/>
        <v>2038</v>
      </c>
      <c r="BX27" s="46">
        <f t="shared" si="4"/>
        <v>1420</v>
      </c>
      <c r="BY27" s="16">
        <f t="shared" si="31"/>
        <v>560</v>
      </c>
      <c r="BZ27" s="116">
        <f t="shared" si="32"/>
        <v>0</v>
      </c>
      <c r="CA27" s="46">
        <f t="shared" si="33"/>
        <v>1980</v>
      </c>
      <c r="CC27" s="46">
        <f t="shared" si="34"/>
        <v>0</v>
      </c>
      <c r="CD27" s="46">
        <f t="shared" si="34"/>
        <v>0</v>
      </c>
      <c r="CE27" s="46">
        <f t="shared" si="35"/>
        <v>0</v>
      </c>
      <c r="CF27" s="46"/>
      <c r="CG27" s="46">
        <f t="shared" si="43"/>
        <v>1980</v>
      </c>
    </row>
    <row r="28" spans="1:106">
      <c r="A28" s="3" t="s">
        <v>71</v>
      </c>
      <c r="C28" s="140">
        <f>+'Gas Input Table Summary'!$D$19</f>
        <v>2.7300000000000001E-2</v>
      </c>
      <c r="E28" s="3" t="s">
        <v>72</v>
      </c>
      <c r="F28" s="250">
        <v>0</v>
      </c>
      <c r="G28" s="142"/>
      <c r="H28" s="142"/>
      <c r="J28" s="2">
        <f t="shared" si="5"/>
        <v>14</v>
      </c>
      <c r="L28" s="7">
        <f t="shared" si="6"/>
        <v>2039</v>
      </c>
      <c r="M28" s="16">
        <f t="shared" si="44"/>
        <v>283</v>
      </c>
      <c r="N28" s="53">
        <f t="shared" si="36"/>
        <v>5.1669999999999998</v>
      </c>
      <c r="O28" s="32">
        <f t="shared" si="37"/>
        <v>1462</v>
      </c>
      <c r="P28" s="53">
        <f t="shared" si="0"/>
        <v>0</v>
      </c>
      <c r="Q28" s="46">
        <f t="shared" si="7"/>
        <v>0</v>
      </c>
      <c r="R28" s="43">
        <f t="shared" si="45"/>
        <v>1462</v>
      </c>
      <c r="S28" s="42">
        <f t="shared" si="8"/>
        <v>2.8</v>
      </c>
      <c r="T28" s="46">
        <f t="shared" si="9"/>
        <v>202</v>
      </c>
      <c r="U28" s="44">
        <f t="shared" si="38"/>
        <v>566</v>
      </c>
      <c r="V28" s="16">
        <f t="shared" si="10"/>
        <v>2028</v>
      </c>
      <c r="W28" s="45">
        <f t="shared" si="11"/>
        <v>3.83</v>
      </c>
      <c r="X28" s="46">
        <f t="shared" si="46"/>
        <v>856</v>
      </c>
      <c r="Y28" s="46">
        <v>0</v>
      </c>
      <c r="Z28" s="46">
        <v>0</v>
      </c>
      <c r="AA28" s="46">
        <f t="shared" si="12"/>
        <v>856</v>
      </c>
      <c r="AB28" s="46">
        <f t="shared" si="13"/>
        <v>1172</v>
      </c>
      <c r="AE28" s="7">
        <f t="shared" si="14"/>
        <v>2039</v>
      </c>
      <c r="AF28" s="46">
        <f t="shared" si="15"/>
        <v>1462</v>
      </c>
      <c r="AG28" s="16">
        <f t="shared" si="16"/>
        <v>566</v>
      </c>
      <c r="AH28" s="46">
        <f t="shared" si="39"/>
        <v>2028</v>
      </c>
      <c r="AJ28" s="32">
        <f t="shared" si="17"/>
        <v>0</v>
      </c>
      <c r="AK28" s="32">
        <f t="shared" si="17"/>
        <v>0</v>
      </c>
      <c r="AL28" s="32">
        <f t="shared" si="18"/>
        <v>0</v>
      </c>
      <c r="AN28" s="77">
        <f t="shared" si="19"/>
        <v>2028</v>
      </c>
      <c r="AQ28" s="7">
        <f t="shared" si="20"/>
        <v>2039</v>
      </c>
      <c r="AR28" s="46">
        <f t="shared" si="1"/>
        <v>1462</v>
      </c>
      <c r="AS28" s="46">
        <f t="shared" si="2"/>
        <v>566</v>
      </c>
      <c r="AT28" s="91">
        <f t="shared" si="21"/>
        <v>4.4999999999999998E-2</v>
      </c>
      <c r="AU28" s="16">
        <f t="shared" si="47"/>
        <v>0</v>
      </c>
      <c r="AV28" s="53">
        <f t="shared" si="22"/>
        <v>2.617</v>
      </c>
      <c r="AW28" s="46">
        <f t="shared" si="23"/>
        <v>741</v>
      </c>
      <c r="AX28" s="91"/>
      <c r="AY28" s="92"/>
      <c r="AZ28" s="46">
        <f t="shared" si="24"/>
        <v>2769</v>
      </c>
      <c r="BA28" s="17"/>
      <c r="BB28" s="46">
        <v>0</v>
      </c>
      <c r="BC28" s="46">
        <v>0</v>
      </c>
      <c r="BD28" s="47">
        <f t="shared" si="25"/>
        <v>0</v>
      </c>
      <c r="BE28" s="46">
        <f t="shared" si="40"/>
        <v>2769</v>
      </c>
      <c r="BH28" s="7">
        <f t="shared" si="26"/>
        <v>2039</v>
      </c>
      <c r="BI28" s="46">
        <v>0</v>
      </c>
      <c r="BJ28" s="16">
        <f t="shared" si="3"/>
        <v>283</v>
      </c>
      <c r="BK28" s="87">
        <f t="shared" si="27"/>
        <v>12.638</v>
      </c>
      <c r="BL28" s="46">
        <f t="shared" si="41"/>
        <v>3577</v>
      </c>
      <c r="BM28" s="87">
        <f t="shared" si="28"/>
        <v>0.20399999999999999</v>
      </c>
      <c r="BN28" s="16">
        <f t="shared" si="48"/>
        <v>0</v>
      </c>
      <c r="BO28" s="16"/>
      <c r="BP28" s="46">
        <f t="shared" si="42"/>
        <v>3577</v>
      </c>
      <c r="BR28" s="46">
        <f t="shared" si="49"/>
        <v>0</v>
      </c>
      <c r="BS28" s="46"/>
      <c r="BT28" s="46">
        <f t="shared" si="29"/>
        <v>3577</v>
      </c>
      <c r="BW28" s="7">
        <f t="shared" si="30"/>
        <v>2039</v>
      </c>
      <c r="BX28" s="46">
        <f t="shared" si="4"/>
        <v>1462</v>
      </c>
      <c r="BY28" s="16">
        <f t="shared" si="31"/>
        <v>566</v>
      </c>
      <c r="BZ28" s="116">
        <f t="shared" si="32"/>
        <v>0</v>
      </c>
      <c r="CA28" s="46">
        <f t="shared" si="33"/>
        <v>2028</v>
      </c>
      <c r="CC28" s="46">
        <f t="shared" si="34"/>
        <v>0</v>
      </c>
      <c r="CD28" s="46">
        <f t="shared" si="34"/>
        <v>0</v>
      </c>
      <c r="CE28" s="46">
        <f t="shared" si="35"/>
        <v>0</v>
      </c>
      <c r="CF28" s="46"/>
      <c r="CG28" s="46">
        <f t="shared" si="43"/>
        <v>2028</v>
      </c>
    </row>
    <row r="29" spans="1:106">
      <c r="A29" s="3" t="s">
        <v>47</v>
      </c>
      <c r="C29" s="15">
        <f>+'Gas Input Table Summary'!$D$20</f>
        <v>0.03</v>
      </c>
      <c r="E29" s="3"/>
      <c r="F29" s="250"/>
      <c r="G29" s="16"/>
      <c r="H29" s="16"/>
      <c r="J29" s="2">
        <f t="shared" si="5"/>
        <v>15</v>
      </c>
      <c r="L29" s="7">
        <f t="shared" si="6"/>
        <v>2040</v>
      </c>
      <c r="M29" s="16">
        <f t="shared" si="44"/>
        <v>283</v>
      </c>
      <c r="N29" s="53">
        <f t="shared" si="36"/>
        <v>5.3220000000000001</v>
      </c>
      <c r="O29" s="32">
        <f t="shared" si="37"/>
        <v>1506</v>
      </c>
      <c r="P29" s="53">
        <f t="shared" si="0"/>
        <v>0</v>
      </c>
      <c r="Q29" s="46">
        <f t="shared" si="7"/>
        <v>0</v>
      </c>
      <c r="R29" s="43">
        <f t="shared" si="45"/>
        <v>1506</v>
      </c>
      <c r="S29" s="42">
        <f t="shared" si="8"/>
        <v>2.8</v>
      </c>
      <c r="T29" s="46">
        <f t="shared" si="9"/>
        <v>204</v>
      </c>
      <c r="U29" s="44">
        <f t="shared" si="38"/>
        <v>571</v>
      </c>
      <c r="V29" s="16">
        <f t="shared" si="10"/>
        <v>2077</v>
      </c>
      <c r="W29" s="45">
        <f t="shared" si="11"/>
        <v>3.9449999999999998</v>
      </c>
      <c r="X29" s="46">
        <f>ROUND((1-$H$38)*(W29*M29),0)</f>
        <v>882</v>
      </c>
      <c r="Y29" s="49">
        <v>0</v>
      </c>
      <c r="Z29" s="49">
        <v>0</v>
      </c>
      <c r="AA29" s="49">
        <f t="shared" si="12"/>
        <v>882</v>
      </c>
      <c r="AB29" s="49">
        <f t="shared" si="13"/>
        <v>1195</v>
      </c>
      <c r="AE29" s="7">
        <f t="shared" si="14"/>
        <v>2040</v>
      </c>
      <c r="AF29" s="46">
        <f t="shared" si="15"/>
        <v>1506</v>
      </c>
      <c r="AG29" s="16">
        <f t="shared" si="16"/>
        <v>571</v>
      </c>
      <c r="AH29" s="46">
        <f t="shared" si="39"/>
        <v>2077</v>
      </c>
      <c r="AJ29" s="32">
        <f t="shared" si="17"/>
        <v>0</v>
      </c>
      <c r="AK29" s="32">
        <f t="shared" si="17"/>
        <v>0</v>
      </c>
      <c r="AL29" s="32">
        <f t="shared" si="18"/>
        <v>0</v>
      </c>
      <c r="AN29" s="77">
        <f t="shared" si="19"/>
        <v>2077</v>
      </c>
      <c r="AQ29" s="7">
        <f t="shared" si="20"/>
        <v>2040</v>
      </c>
      <c r="AR29" s="49">
        <f t="shared" si="1"/>
        <v>1506</v>
      </c>
      <c r="AS29" s="46">
        <f t="shared" si="2"/>
        <v>571</v>
      </c>
      <c r="AT29" s="91">
        <f t="shared" si="21"/>
        <v>4.5999999999999999E-2</v>
      </c>
      <c r="AU29" s="16">
        <f t="shared" si="47"/>
        <v>0</v>
      </c>
      <c r="AV29" s="53">
        <f t="shared" si="22"/>
        <v>2.6619999999999999</v>
      </c>
      <c r="AW29" s="46">
        <f t="shared" si="23"/>
        <v>753</v>
      </c>
      <c r="AX29" s="91"/>
      <c r="AY29" s="92"/>
      <c r="AZ29" s="49">
        <f t="shared" si="24"/>
        <v>2830</v>
      </c>
      <c r="BA29" s="17"/>
      <c r="BB29" s="49">
        <v>0</v>
      </c>
      <c r="BC29" s="46">
        <v>0</v>
      </c>
      <c r="BD29" s="47">
        <f t="shared" si="25"/>
        <v>0</v>
      </c>
      <c r="BE29" s="49">
        <f t="shared" si="40"/>
        <v>2830</v>
      </c>
      <c r="BH29" s="7">
        <f t="shared" si="26"/>
        <v>2040</v>
      </c>
      <c r="BI29" s="46">
        <v>0</v>
      </c>
      <c r="BJ29" s="16">
        <f t="shared" si="3"/>
        <v>283</v>
      </c>
      <c r="BK29" s="87">
        <f t="shared" si="27"/>
        <v>13.016999999999999</v>
      </c>
      <c r="BL29" s="46">
        <f t="shared" si="41"/>
        <v>3684</v>
      </c>
      <c r="BM29" s="87">
        <f t="shared" si="28"/>
        <v>0.21</v>
      </c>
      <c r="BN29" s="16">
        <f t="shared" si="48"/>
        <v>0</v>
      </c>
      <c r="BO29" s="16"/>
      <c r="BP29" s="46">
        <f t="shared" si="42"/>
        <v>3684</v>
      </c>
      <c r="BR29" s="46">
        <f t="shared" si="49"/>
        <v>0</v>
      </c>
      <c r="BS29" s="46"/>
      <c r="BT29" s="46">
        <f t="shared" si="29"/>
        <v>3684</v>
      </c>
      <c r="BW29" s="7">
        <f t="shared" si="30"/>
        <v>2040</v>
      </c>
      <c r="BX29" s="46">
        <f t="shared" si="4"/>
        <v>1506</v>
      </c>
      <c r="BY29" s="16">
        <f t="shared" si="31"/>
        <v>571</v>
      </c>
      <c r="BZ29" s="116">
        <f t="shared" si="32"/>
        <v>0</v>
      </c>
      <c r="CA29" s="46">
        <f t="shared" si="33"/>
        <v>2077</v>
      </c>
      <c r="CC29" s="46">
        <f t="shared" si="34"/>
        <v>0</v>
      </c>
      <c r="CD29" s="46">
        <f t="shared" si="34"/>
        <v>0</v>
      </c>
      <c r="CE29" s="46">
        <f t="shared" si="35"/>
        <v>0</v>
      </c>
      <c r="CF29" s="46"/>
      <c r="CG29" s="46">
        <f t="shared" si="43"/>
        <v>2077</v>
      </c>
    </row>
    <row r="30" spans="1:106">
      <c r="E30" s="3" t="s">
        <v>73</v>
      </c>
      <c r="F30" s="138">
        <f>ROUND('Database Inputs'!C10,0)</f>
        <v>44</v>
      </c>
      <c r="G30" s="132"/>
      <c r="H30" s="132"/>
      <c r="J30" s="2">
        <f t="shared" si="5"/>
        <v>16</v>
      </c>
      <c r="L30" s="7">
        <f t="shared" si="6"/>
        <v>2041</v>
      </c>
      <c r="M30" s="16">
        <f t="shared" si="44"/>
        <v>283</v>
      </c>
      <c r="N30" s="53">
        <f t="shared" si="36"/>
        <v>5.4820000000000002</v>
      </c>
      <c r="O30" s="32">
        <f t="shared" si="37"/>
        <v>1551</v>
      </c>
      <c r="P30" s="53">
        <f t="shared" si="0"/>
        <v>0</v>
      </c>
      <c r="Q30" s="46">
        <f t="shared" si="7"/>
        <v>0</v>
      </c>
      <c r="R30" s="43">
        <f t="shared" si="45"/>
        <v>1551</v>
      </c>
      <c r="S30" s="42">
        <f t="shared" si="8"/>
        <v>2.8</v>
      </c>
      <c r="T30" s="46">
        <f t="shared" si="9"/>
        <v>206</v>
      </c>
      <c r="U30" s="44">
        <f t="shared" si="38"/>
        <v>577</v>
      </c>
      <c r="V30" s="16">
        <f>ROUND(+U30+R30,0)</f>
        <v>2128</v>
      </c>
      <c r="W30" s="45">
        <f t="shared" si="11"/>
        <v>4.0629999999999997</v>
      </c>
      <c r="X30" s="46">
        <f>ROUND((1-$H$38)*(W30*M30),0)</f>
        <v>908</v>
      </c>
      <c r="Y30" s="49">
        <v>0</v>
      </c>
      <c r="Z30" s="49">
        <v>0</v>
      </c>
      <c r="AA30" s="49">
        <f t="shared" si="12"/>
        <v>908</v>
      </c>
      <c r="AB30" s="49">
        <f t="shared" si="13"/>
        <v>1220</v>
      </c>
      <c r="AE30" s="7">
        <f t="shared" si="14"/>
        <v>2041</v>
      </c>
      <c r="AF30" s="46">
        <f t="shared" si="15"/>
        <v>1551</v>
      </c>
      <c r="AG30" s="16">
        <f t="shared" si="16"/>
        <v>577</v>
      </c>
      <c r="AH30" s="46">
        <f t="shared" si="39"/>
        <v>2128</v>
      </c>
      <c r="AJ30" s="32">
        <f t="shared" si="17"/>
        <v>0</v>
      </c>
      <c r="AK30" s="32">
        <f t="shared" si="17"/>
        <v>0</v>
      </c>
      <c r="AL30" s="32">
        <f t="shared" si="18"/>
        <v>0</v>
      </c>
      <c r="AN30" s="77">
        <f t="shared" si="19"/>
        <v>2128</v>
      </c>
      <c r="AQ30" s="7">
        <f t="shared" si="20"/>
        <v>2041</v>
      </c>
      <c r="AR30" s="49">
        <f t="shared" si="1"/>
        <v>1551</v>
      </c>
      <c r="AS30" s="46">
        <f t="shared" si="2"/>
        <v>577</v>
      </c>
      <c r="AT30" s="91">
        <f t="shared" si="21"/>
        <v>4.7E-2</v>
      </c>
      <c r="AU30" s="16">
        <f t="shared" si="47"/>
        <v>0</v>
      </c>
      <c r="AV30" s="53">
        <f t="shared" si="22"/>
        <v>2.7069999999999999</v>
      </c>
      <c r="AW30" s="46">
        <f t="shared" si="23"/>
        <v>766</v>
      </c>
      <c r="AX30" s="91"/>
      <c r="AY30" s="92"/>
      <c r="AZ30" s="49">
        <f t="shared" si="24"/>
        <v>2894</v>
      </c>
      <c r="BA30" s="17"/>
      <c r="BB30" s="49">
        <v>0</v>
      </c>
      <c r="BC30" s="46">
        <v>0</v>
      </c>
      <c r="BD30" s="47">
        <f t="shared" si="25"/>
        <v>0</v>
      </c>
      <c r="BE30" s="49">
        <f t="shared" si="40"/>
        <v>2894</v>
      </c>
      <c r="BH30" s="7">
        <f t="shared" si="26"/>
        <v>2041</v>
      </c>
      <c r="BI30" s="46">
        <v>0</v>
      </c>
      <c r="BJ30" s="16">
        <f t="shared" si="3"/>
        <v>283</v>
      </c>
      <c r="BK30" s="87">
        <f t="shared" si="27"/>
        <v>13.407</v>
      </c>
      <c r="BL30" s="46">
        <f t="shared" si="41"/>
        <v>3794</v>
      </c>
      <c r="BM30" s="87">
        <f t="shared" si="28"/>
        <v>0.217</v>
      </c>
      <c r="BN30" s="16">
        <f t="shared" si="48"/>
        <v>0</v>
      </c>
      <c r="BO30" s="16"/>
      <c r="BP30" s="46">
        <f t="shared" si="42"/>
        <v>3794</v>
      </c>
      <c r="BR30" s="46">
        <f t="shared" si="49"/>
        <v>0</v>
      </c>
      <c r="BS30" s="46"/>
      <c r="BT30" s="46">
        <f t="shared" si="29"/>
        <v>3794</v>
      </c>
      <c r="BW30" s="7">
        <f t="shared" si="30"/>
        <v>2041</v>
      </c>
      <c r="BX30" s="46">
        <f t="shared" si="4"/>
        <v>1551</v>
      </c>
      <c r="BY30" s="16">
        <f t="shared" si="31"/>
        <v>577</v>
      </c>
      <c r="BZ30" s="116">
        <f t="shared" si="32"/>
        <v>0</v>
      </c>
      <c r="CA30" s="46">
        <f t="shared" si="33"/>
        <v>2128</v>
      </c>
      <c r="CC30" s="46">
        <f t="shared" si="34"/>
        <v>0</v>
      </c>
      <c r="CD30" s="46">
        <f t="shared" si="34"/>
        <v>0</v>
      </c>
      <c r="CE30" s="46">
        <f t="shared" si="35"/>
        <v>0</v>
      </c>
      <c r="CF30" s="46"/>
      <c r="CG30" s="46">
        <f t="shared" si="43"/>
        <v>2128</v>
      </c>
    </row>
    <row r="31" spans="1:106">
      <c r="A31" s="2" t="s">
        <v>74</v>
      </c>
      <c r="C31" s="13">
        <f>+'Gas Input Table Summary'!$D$21</f>
        <v>7.7189999999999995E-2</v>
      </c>
      <c r="F31" s="16"/>
      <c r="G31" s="16"/>
      <c r="H31" s="16"/>
      <c r="J31" s="2">
        <f t="shared" si="5"/>
        <v>17</v>
      </c>
      <c r="L31" s="7">
        <f t="shared" si="6"/>
        <v>2042</v>
      </c>
      <c r="M31" s="16">
        <f>ROUND(IF($C$47+$F$23&gt;L31,$F$25*$F$30,0)+IF($C$48+$G$23&gt;L31,$G$25*$G$30,0)+IF($C$49+$H$23&gt;L31,$H$25*$H$30,0),0)</f>
        <v>283</v>
      </c>
      <c r="N31" s="53">
        <f t="shared" si="36"/>
        <v>5.6459999999999999</v>
      </c>
      <c r="O31" s="32">
        <f t="shared" si="37"/>
        <v>1598</v>
      </c>
      <c r="P31" s="53">
        <f t="shared" si="0"/>
        <v>0</v>
      </c>
      <c r="Q31" s="46">
        <f t="shared" si="7"/>
        <v>0</v>
      </c>
      <c r="R31" s="43">
        <f t="shared" si="45"/>
        <v>1598</v>
      </c>
      <c r="S31" s="42">
        <f t="shared" si="8"/>
        <v>2.8</v>
      </c>
      <c r="T31" s="46">
        <f t="shared" si="9"/>
        <v>208</v>
      </c>
      <c r="U31" s="44">
        <f t="shared" si="38"/>
        <v>582</v>
      </c>
      <c r="V31" s="16">
        <f>ROUND(+U31+R31,0)</f>
        <v>2180</v>
      </c>
      <c r="W31" s="45">
        <f t="shared" si="11"/>
        <v>4.1849999999999996</v>
      </c>
      <c r="X31" s="46">
        <f t="shared" si="46"/>
        <v>936</v>
      </c>
      <c r="Y31" s="49">
        <v>0</v>
      </c>
      <c r="Z31" s="49">
        <v>0</v>
      </c>
      <c r="AA31" s="49">
        <f t="shared" si="12"/>
        <v>936</v>
      </c>
      <c r="AB31" s="49">
        <f t="shared" si="13"/>
        <v>1244</v>
      </c>
      <c r="AE31" s="7">
        <f t="shared" si="14"/>
        <v>2042</v>
      </c>
      <c r="AF31" s="46">
        <f t="shared" si="15"/>
        <v>1598</v>
      </c>
      <c r="AG31" s="16">
        <f t="shared" si="16"/>
        <v>582</v>
      </c>
      <c r="AH31" s="46">
        <f t="shared" si="39"/>
        <v>2180</v>
      </c>
      <c r="AJ31" s="32">
        <f t="shared" si="17"/>
        <v>0</v>
      </c>
      <c r="AK31" s="32">
        <f t="shared" si="17"/>
        <v>0</v>
      </c>
      <c r="AL31" s="32">
        <f t="shared" si="18"/>
        <v>0</v>
      </c>
      <c r="AN31" s="77">
        <f t="shared" si="19"/>
        <v>2180</v>
      </c>
      <c r="AQ31" s="7">
        <f t="shared" si="20"/>
        <v>2042</v>
      </c>
      <c r="AR31" s="49">
        <f t="shared" si="1"/>
        <v>1598</v>
      </c>
      <c r="AS31" s="46">
        <f t="shared" si="2"/>
        <v>582</v>
      </c>
      <c r="AT31" s="91">
        <f t="shared" si="21"/>
        <v>4.9000000000000002E-2</v>
      </c>
      <c r="AU31" s="16">
        <f t="shared" si="47"/>
        <v>0</v>
      </c>
      <c r="AV31" s="53">
        <f t="shared" si="22"/>
        <v>2.7519999999999998</v>
      </c>
      <c r="AW31" s="46">
        <f t="shared" si="23"/>
        <v>779</v>
      </c>
      <c r="AX31" s="91"/>
      <c r="AY31" s="92"/>
      <c r="AZ31" s="49">
        <f t="shared" si="24"/>
        <v>2959</v>
      </c>
      <c r="BA31" s="17"/>
      <c r="BB31" s="49">
        <v>0</v>
      </c>
      <c r="BC31" s="46">
        <v>0</v>
      </c>
      <c r="BD31" s="47">
        <f t="shared" si="25"/>
        <v>0</v>
      </c>
      <c r="BE31" s="49">
        <f t="shared" si="40"/>
        <v>2959</v>
      </c>
      <c r="BH31" s="7">
        <f t="shared" si="26"/>
        <v>2042</v>
      </c>
      <c r="BI31" s="46">
        <v>0</v>
      </c>
      <c r="BJ31" s="16">
        <f t="shared" si="3"/>
        <v>283</v>
      </c>
      <c r="BK31" s="87">
        <f t="shared" si="27"/>
        <v>13.81</v>
      </c>
      <c r="BL31" s="46">
        <f t="shared" si="41"/>
        <v>3908</v>
      </c>
      <c r="BM31" s="87">
        <f t="shared" si="28"/>
        <v>0.223</v>
      </c>
      <c r="BN31" s="16">
        <f t="shared" si="48"/>
        <v>0</v>
      </c>
      <c r="BO31" s="16"/>
      <c r="BP31" s="46">
        <f t="shared" si="42"/>
        <v>3908</v>
      </c>
      <c r="BR31" s="46">
        <f t="shared" si="49"/>
        <v>0</v>
      </c>
      <c r="BS31" s="46"/>
      <c r="BT31" s="46">
        <f t="shared" si="29"/>
        <v>3908</v>
      </c>
      <c r="BW31" s="7">
        <f t="shared" si="30"/>
        <v>2042</v>
      </c>
      <c r="BX31" s="46">
        <f t="shared" si="4"/>
        <v>1598</v>
      </c>
      <c r="BY31" s="16">
        <f t="shared" si="31"/>
        <v>582</v>
      </c>
      <c r="BZ31" s="116">
        <f t="shared" si="32"/>
        <v>0</v>
      </c>
      <c r="CA31" s="46">
        <f t="shared" si="33"/>
        <v>2180</v>
      </c>
      <c r="CC31" s="46">
        <f t="shared" si="34"/>
        <v>0</v>
      </c>
      <c r="CD31" s="46">
        <f t="shared" si="34"/>
        <v>0</v>
      </c>
      <c r="CE31" s="46">
        <f t="shared" si="35"/>
        <v>0</v>
      </c>
      <c r="CF31" s="46"/>
      <c r="CG31" s="46">
        <f t="shared" si="43"/>
        <v>2180</v>
      </c>
    </row>
    <row r="32" spans="1:106">
      <c r="E32" s="48" t="s">
        <v>103</v>
      </c>
      <c r="F32" s="22">
        <f>+'Total Program Inputs'!G11</f>
        <v>283</v>
      </c>
      <c r="G32" s="22"/>
      <c r="H32" s="22"/>
      <c r="J32" s="2">
        <f t="shared" si="5"/>
        <v>18</v>
      </c>
      <c r="L32" s="7">
        <f t="shared" si="6"/>
        <v>2043</v>
      </c>
      <c r="M32" s="16">
        <f t="shared" si="44"/>
        <v>283</v>
      </c>
      <c r="N32" s="53">
        <f t="shared" si="36"/>
        <v>5.8159999999999998</v>
      </c>
      <c r="O32" s="32">
        <f t="shared" si="37"/>
        <v>1646</v>
      </c>
      <c r="P32" s="53">
        <f t="shared" si="0"/>
        <v>0</v>
      </c>
      <c r="Q32" s="46">
        <f t="shared" si="7"/>
        <v>0</v>
      </c>
      <c r="R32" s="43">
        <f t="shared" si="45"/>
        <v>1646</v>
      </c>
      <c r="S32" s="42">
        <f t="shared" si="8"/>
        <v>2.8</v>
      </c>
      <c r="T32" s="46">
        <f t="shared" si="9"/>
        <v>210</v>
      </c>
      <c r="U32" s="44">
        <f t="shared" si="38"/>
        <v>588</v>
      </c>
      <c r="V32" s="16">
        <f t="shared" si="10"/>
        <v>2234</v>
      </c>
      <c r="W32" s="45">
        <f t="shared" si="11"/>
        <v>4.3109999999999999</v>
      </c>
      <c r="X32" s="46">
        <f t="shared" si="46"/>
        <v>964</v>
      </c>
      <c r="Y32" s="49">
        <v>0</v>
      </c>
      <c r="Z32" s="49">
        <v>0</v>
      </c>
      <c r="AA32" s="49">
        <f t="shared" si="12"/>
        <v>964</v>
      </c>
      <c r="AB32" s="49">
        <f t="shared" si="13"/>
        <v>1270</v>
      </c>
      <c r="AE32" s="7">
        <f t="shared" si="14"/>
        <v>2043</v>
      </c>
      <c r="AF32" s="46">
        <f t="shared" si="15"/>
        <v>1646</v>
      </c>
      <c r="AG32" s="16">
        <f t="shared" si="16"/>
        <v>588</v>
      </c>
      <c r="AH32" s="46">
        <f t="shared" si="39"/>
        <v>2234</v>
      </c>
      <c r="AJ32" s="32">
        <f t="shared" si="17"/>
        <v>0</v>
      </c>
      <c r="AK32" s="32">
        <f t="shared" si="17"/>
        <v>0</v>
      </c>
      <c r="AL32" s="32">
        <f t="shared" si="18"/>
        <v>0</v>
      </c>
      <c r="AN32" s="77">
        <f t="shared" si="19"/>
        <v>2234</v>
      </c>
      <c r="AQ32" s="7">
        <f t="shared" si="20"/>
        <v>2043</v>
      </c>
      <c r="AR32" s="49">
        <f t="shared" si="1"/>
        <v>1646</v>
      </c>
      <c r="AS32" s="46">
        <f t="shared" si="2"/>
        <v>588</v>
      </c>
      <c r="AT32" s="91">
        <f t="shared" si="21"/>
        <v>0.05</v>
      </c>
      <c r="AU32" s="16">
        <f t="shared" si="47"/>
        <v>0</v>
      </c>
      <c r="AV32" s="53">
        <f t="shared" si="22"/>
        <v>2.7989999999999999</v>
      </c>
      <c r="AW32" s="46">
        <f t="shared" si="23"/>
        <v>792</v>
      </c>
      <c r="AX32" s="91"/>
      <c r="AY32" s="92"/>
      <c r="AZ32" s="49">
        <f t="shared" si="24"/>
        <v>3026</v>
      </c>
      <c r="BA32" s="17"/>
      <c r="BB32" s="49">
        <v>0</v>
      </c>
      <c r="BC32" s="46">
        <v>0</v>
      </c>
      <c r="BD32" s="47">
        <f t="shared" si="25"/>
        <v>0</v>
      </c>
      <c r="BE32" s="49">
        <f t="shared" si="40"/>
        <v>3026</v>
      </c>
      <c r="BH32" s="7">
        <f t="shared" si="26"/>
        <v>2043</v>
      </c>
      <c r="BI32" s="46">
        <v>0</v>
      </c>
      <c r="BJ32" s="16">
        <f t="shared" si="3"/>
        <v>283</v>
      </c>
      <c r="BK32" s="87">
        <f t="shared" si="27"/>
        <v>14.224</v>
      </c>
      <c r="BL32" s="46">
        <f t="shared" si="41"/>
        <v>4025</v>
      </c>
      <c r="BM32" s="87">
        <f t="shared" si="28"/>
        <v>0.23</v>
      </c>
      <c r="BN32" s="16">
        <f t="shared" si="48"/>
        <v>0</v>
      </c>
      <c r="BO32" s="16"/>
      <c r="BP32" s="46">
        <f t="shared" si="42"/>
        <v>4025</v>
      </c>
      <c r="BR32" s="46">
        <f t="shared" si="49"/>
        <v>0</v>
      </c>
      <c r="BS32" s="46"/>
      <c r="BT32" s="46">
        <f t="shared" si="29"/>
        <v>4025</v>
      </c>
      <c r="BW32" s="7">
        <f t="shared" si="30"/>
        <v>2043</v>
      </c>
      <c r="BX32" s="46">
        <f t="shared" si="4"/>
        <v>1646</v>
      </c>
      <c r="BY32" s="16">
        <f t="shared" si="31"/>
        <v>588</v>
      </c>
      <c r="BZ32" s="116">
        <f t="shared" si="32"/>
        <v>0</v>
      </c>
      <c r="CA32" s="46">
        <f t="shared" si="33"/>
        <v>2234</v>
      </c>
      <c r="CC32" s="46">
        <f t="shared" si="34"/>
        <v>0</v>
      </c>
      <c r="CD32" s="46">
        <f t="shared" si="34"/>
        <v>0</v>
      </c>
      <c r="CE32" s="46">
        <f t="shared" si="35"/>
        <v>0</v>
      </c>
      <c r="CF32" s="46"/>
      <c r="CG32" s="46">
        <f t="shared" si="43"/>
        <v>2234</v>
      </c>
    </row>
    <row r="33" spans="1:87">
      <c r="A33" s="2" t="s">
        <v>75</v>
      </c>
      <c r="C33" s="11">
        <f>+'Gas Input Table Summary'!$D$22</f>
        <v>2.0699999999999998</v>
      </c>
      <c r="F33" s="16"/>
      <c r="G33" s="16"/>
      <c r="H33" s="16"/>
      <c r="J33" s="2">
        <f t="shared" si="5"/>
        <v>19</v>
      </c>
      <c r="L33" s="7">
        <f t="shared" si="6"/>
        <v>2044</v>
      </c>
      <c r="M33" s="16">
        <f t="shared" si="44"/>
        <v>283</v>
      </c>
      <c r="N33" s="53">
        <f t="shared" si="36"/>
        <v>5.99</v>
      </c>
      <c r="O33" s="32">
        <f t="shared" si="37"/>
        <v>1695</v>
      </c>
      <c r="P33" s="53">
        <f t="shared" si="0"/>
        <v>0</v>
      </c>
      <c r="Q33" s="46">
        <f t="shared" si="7"/>
        <v>0</v>
      </c>
      <c r="R33" s="43">
        <f t="shared" si="45"/>
        <v>1695</v>
      </c>
      <c r="S33" s="42">
        <f t="shared" si="8"/>
        <v>2.8</v>
      </c>
      <c r="T33" s="46">
        <f t="shared" si="9"/>
        <v>212</v>
      </c>
      <c r="U33" s="44">
        <f t="shared" si="38"/>
        <v>594</v>
      </c>
      <c r="V33" s="16">
        <f t="shared" si="10"/>
        <v>2289</v>
      </c>
      <c r="W33" s="45">
        <f t="shared" si="11"/>
        <v>4.4400000000000004</v>
      </c>
      <c r="X33" s="46">
        <f t="shared" si="46"/>
        <v>993</v>
      </c>
      <c r="Y33" s="49">
        <v>0</v>
      </c>
      <c r="Z33" s="49">
        <v>0</v>
      </c>
      <c r="AA33" s="49">
        <f t="shared" si="12"/>
        <v>993</v>
      </c>
      <c r="AB33" s="49">
        <f t="shared" si="13"/>
        <v>1296</v>
      </c>
      <c r="AE33" s="7">
        <f t="shared" si="14"/>
        <v>2044</v>
      </c>
      <c r="AF33" s="46">
        <f t="shared" si="15"/>
        <v>1695</v>
      </c>
      <c r="AG33" s="16">
        <f t="shared" si="16"/>
        <v>594</v>
      </c>
      <c r="AH33" s="46">
        <f t="shared" si="39"/>
        <v>2289</v>
      </c>
      <c r="AJ33" s="32">
        <f t="shared" si="17"/>
        <v>0</v>
      </c>
      <c r="AK33" s="32">
        <f t="shared" si="17"/>
        <v>0</v>
      </c>
      <c r="AL33" s="32">
        <f t="shared" si="18"/>
        <v>0</v>
      </c>
      <c r="AN33" s="77">
        <f t="shared" si="19"/>
        <v>2289</v>
      </c>
      <c r="AQ33" s="7">
        <f t="shared" si="20"/>
        <v>2044</v>
      </c>
      <c r="AR33" s="49">
        <f t="shared" si="1"/>
        <v>1695</v>
      </c>
      <c r="AS33" s="46">
        <f t="shared" si="2"/>
        <v>594</v>
      </c>
      <c r="AT33" s="91">
        <f t="shared" si="21"/>
        <v>5.1999999999999998E-2</v>
      </c>
      <c r="AU33" s="16">
        <f t="shared" si="47"/>
        <v>0</v>
      </c>
      <c r="AV33" s="53">
        <f t="shared" si="22"/>
        <v>2.8460000000000001</v>
      </c>
      <c r="AW33" s="46">
        <f t="shared" si="23"/>
        <v>805</v>
      </c>
      <c r="AX33" s="91"/>
      <c r="AY33" s="92"/>
      <c r="AZ33" s="49">
        <f t="shared" si="24"/>
        <v>3094</v>
      </c>
      <c r="BA33" s="17"/>
      <c r="BB33" s="49">
        <v>0</v>
      </c>
      <c r="BC33" s="46">
        <v>0</v>
      </c>
      <c r="BD33" s="47">
        <f t="shared" si="25"/>
        <v>0</v>
      </c>
      <c r="BE33" s="49">
        <f t="shared" si="40"/>
        <v>3094</v>
      </c>
      <c r="BH33" s="7">
        <f t="shared" si="26"/>
        <v>2044</v>
      </c>
      <c r="BI33" s="46">
        <v>0</v>
      </c>
      <c r="BJ33" s="16">
        <f t="shared" si="3"/>
        <v>283</v>
      </c>
      <c r="BK33" s="87">
        <f t="shared" si="27"/>
        <v>14.651</v>
      </c>
      <c r="BL33" s="46">
        <f t="shared" si="41"/>
        <v>4146</v>
      </c>
      <c r="BM33" s="87">
        <f t="shared" si="28"/>
        <v>0.23699999999999999</v>
      </c>
      <c r="BN33" s="16">
        <f t="shared" si="48"/>
        <v>0</v>
      </c>
      <c r="BO33" s="16"/>
      <c r="BP33" s="46">
        <f t="shared" si="42"/>
        <v>4146</v>
      </c>
      <c r="BR33" s="46">
        <f t="shared" si="49"/>
        <v>0</v>
      </c>
      <c r="BS33" s="46"/>
      <c r="BT33" s="46">
        <f t="shared" si="29"/>
        <v>4146</v>
      </c>
      <c r="BW33" s="7">
        <f t="shared" si="30"/>
        <v>2044</v>
      </c>
      <c r="BX33" s="46">
        <f t="shared" si="4"/>
        <v>1695</v>
      </c>
      <c r="BY33" s="16">
        <f t="shared" si="31"/>
        <v>594</v>
      </c>
      <c r="BZ33" s="116">
        <f t="shared" si="32"/>
        <v>0</v>
      </c>
      <c r="CA33" s="46">
        <f t="shared" si="33"/>
        <v>2289</v>
      </c>
      <c r="CC33" s="46">
        <f t="shared" si="34"/>
        <v>0</v>
      </c>
      <c r="CD33" s="46">
        <f t="shared" si="34"/>
        <v>0</v>
      </c>
      <c r="CE33" s="46">
        <f t="shared" si="35"/>
        <v>0</v>
      </c>
      <c r="CF33" s="46"/>
      <c r="CG33" s="46">
        <f t="shared" si="43"/>
        <v>2289</v>
      </c>
    </row>
    <row r="34" spans="1:87">
      <c r="A34" s="3" t="s">
        <v>18</v>
      </c>
      <c r="C34" s="15">
        <f>+'Gas Input Table Summary'!$D$23</f>
        <v>1.6899999999999998E-2</v>
      </c>
      <c r="E34" s="2" t="s">
        <v>76</v>
      </c>
      <c r="F34" s="259">
        <f>ROUND('Database Inputs'!L10,0)</f>
        <v>150</v>
      </c>
      <c r="G34" s="135"/>
      <c r="H34" s="135"/>
      <c r="J34" s="2">
        <f t="shared" si="5"/>
        <v>20</v>
      </c>
      <c r="L34" s="7">
        <f t="shared" si="6"/>
        <v>2045</v>
      </c>
      <c r="M34" s="16">
        <f>ROUND(IF($C$47+$F$23&gt;L34,$F$25*$F$30,0)+IF($C$48+$G$23&gt;L34,$G$25*$G$30,0)+IF($C$49+$H$23&gt;L34,$H$25*$H$30,0),0)</f>
        <v>0</v>
      </c>
      <c r="N34" s="95">
        <f t="shared" si="36"/>
        <v>6.17</v>
      </c>
      <c r="O34" s="32">
        <f t="shared" si="37"/>
        <v>0</v>
      </c>
      <c r="P34" s="95">
        <f t="shared" si="0"/>
        <v>0</v>
      </c>
      <c r="Q34" s="49">
        <f t="shared" si="7"/>
        <v>0</v>
      </c>
      <c r="R34" s="96">
        <f t="shared" si="45"/>
        <v>0</v>
      </c>
      <c r="S34" s="97">
        <f t="shared" si="8"/>
        <v>0</v>
      </c>
      <c r="T34" s="49">
        <f t="shared" si="9"/>
        <v>214</v>
      </c>
      <c r="U34" s="99">
        <f t="shared" si="38"/>
        <v>0</v>
      </c>
      <c r="V34" s="16">
        <f t="shared" si="10"/>
        <v>0</v>
      </c>
      <c r="W34" s="87">
        <f t="shared" si="11"/>
        <v>4.5730000000000004</v>
      </c>
      <c r="X34" s="49">
        <f t="shared" si="46"/>
        <v>0</v>
      </c>
      <c r="Y34" s="49">
        <v>0</v>
      </c>
      <c r="Z34" s="49">
        <v>0</v>
      </c>
      <c r="AA34" s="49">
        <f t="shared" si="12"/>
        <v>0</v>
      </c>
      <c r="AB34" s="49">
        <f t="shared" si="13"/>
        <v>0</v>
      </c>
      <c r="AE34" s="7">
        <f t="shared" si="14"/>
        <v>2045</v>
      </c>
      <c r="AF34" s="49">
        <f>+R34</f>
        <v>0</v>
      </c>
      <c r="AG34" s="16">
        <f t="shared" si="16"/>
        <v>0</v>
      </c>
      <c r="AH34" s="49">
        <f t="shared" si="39"/>
        <v>0</v>
      </c>
      <c r="AJ34" s="32">
        <f t="shared" si="17"/>
        <v>0</v>
      </c>
      <c r="AK34" s="32">
        <f t="shared" si="17"/>
        <v>0</v>
      </c>
      <c r="AL34" s="32">
        <f t="shared" si="18"/>
        <v>0</v>
      </c>
      <c r="AN34" s="179">
        <f t="shared" si="19"/>
        <v>0</v>
      </c>
      <c r="AQ34" s="7">
        <f t="shared" si="20"/>
        <v>2045</v>
      </c>
      <c r="AR34" s="49">
        <f t="shared" si="1"/>
        <v>0</v>
      </c>
      <c r="AS34" s="49">
        <f t="shared" si="2"/>
        <v>0</v>
      </c>
      <c r="AT34" s="98">
        <f t="shared" si="21"/>
        <v>5.2999999999999999E-2</v>
      </c>
      <c r="AU34" s="16">
        <f t="shared" si="47"/>
        <v>0</v>
      </c>
      <c r="AV34" s="95">
        <f t="shared" si="22"/>
        <v>2.8940000000000001</v>
      </c>
      <c r="AW34" s="49">
        <f t="shared" si="23"/>
        <v>0</v>
      </c>
      <c r="AX34" s="98"/>
      <c r="AY34" s="180"/>
      <c r="AZ34" s="49">
        <f t="shared" si="24"/>
        <v>0</v>
      </c>
      <c r="BA34" s="17"/>
      <c r="BB34" s="49">
        <v>0</v>
      </c>
      <c r="BC34" s="49">
        <v>0</v>
      </c>
      <c r="BD34" s="181">
        <f t="shared" si="25"/>
        <v>0</v>
      </c>
      <c r="BE34" s="49">
        <f t="shared" si="40"/>
        <v>0</v>
      </c>
      <c r="BH34" s="7">
        <f t="shared" si="26"/>
        <v>2045</v>
      </c>
      <c r="BI34" s="49">
        <v>0</v>
      </c>
      <c r="BJ34" s="16">
        <f t="shared" si="3"/>
        <v>0</v>
      </c>
      <c r="BK34" s="87">
        <f t="shared" si="27"/>
        <v>15.09</v>
      </c>
      <c r="BL34" s="49">
        <f t="shared" si="41"/>
        <v>0</v>
      </c>
      <c r="BM34" s="87">
        <f t="shared" si="28"/>
        <v>0.24399999999999999</v>
      </c>
      <c r="BN34" s="16">
        <f t="shared" si="48"/>
        <v>0</v>
      </c>
      <c r="BO34" s="16"/>
      <c r="BP34" s="49">
        <f t="shared" si="42"/>
        <v>0</v>
      </c>
      <c r="BR34" s="49">
        <f t="shared" si="49"/>
        <v>0</v>
      </c>
      <c r="BS34" s="49"/>
      <c r="BT34" s="49">
        <f t="shared" si="29"/>
        <v>0</v>
      </c>
      <c r="BW34" s="7">
        <f t="shared" si="30"/>
        <v>2045</v>
      </c>
      <c r="BX34" s="49">
        <f t="shared" si="4"/>
        <v>0</v>
      </c>
      <c r="BY34" s="16">
        <f t="shared" si="31"/>
        <v>0</v>
      </c>
      <c r="BZ34" s="116">
        <f t="shared" si="32"/>
        <v>0</v>
      </c>
      <c r="CA34" s="49">
        <f t="shared" si="33"/>
        <v>0</v>
      </c>
      <c r="CC34" s="49">
        <f t="shared" si="34"/>
        <v>0</v>
      </c>
      <c r="CD34" s="49">
        <f t="shared" si="34"/>
        <v>0</v>
      </c>
      <c r="CE34" s="49">
        <f t="shared" si="35"/>
        <v>0</v>
      </c>
      <c r="CF34" s="49"/>
      <c r="CG34" s="49">
        <f t="shared" si="43"/>
        <v>0</v>
      </c>
    </row>
    <row r="35" spans="1:87">
      <c r="A35" s="3"/>
      <c r="C35" s="15"/>
      <c r="E35" s="3"/>
      <c r="F35" s="22"/>
      <c r="G35" s="50"/>
      <c r="H35" s="50"/>
      <c r="J35" s="2">
        <f t="shared" si="5"/>
        <v>21</v>
      </c>
      <c r="L35" s="7">
        <f t="shared" si="6"/>
        <v>2046</v>
      </c>
      <c r="M35" s="16">
        <f>ROUND(IF($C$47+$F$23&gt;L35,$F$25*$F$30,0)+IF($C$48+$G$23&gt;L35,$G$25*$G$30,0)+IF($C$49+$H$23&gt;L35,$H$25*$H$30,0),0)</f>
        <v>0</v>
      </c>
      <c r="N35" s="95">
        <f t="shared" ref="N35:N36" si="50">ROUND($C$17*(1+$C$18)^J35,3)</f>
        <v>6.3550000000000004</v>
      </c>
      <c r="O35" s="32">
        <f t="shared" ref="O35:O36" si="51">ROUND(M35*N35,0)</f>
        <v>0</v>
      </c>
      <c r="P35" s="95">
        <f t="shared" ref="P35:P36" si="52">ROUND($C$25*(1+$C$26)^J35,3)</f>
        <v>0</v>
      </c>
      <c r="Q35" s="49">
        <f t="shared" ref="Q35:Q36" si="53">ROUND(M35*P35,0)</f>
        <v>0</v>
      </c>
      <c r="R35" s="96">
        <f t="shared" ref="R35:R36" si="54">O35+Q35</f>
        <v>0</v>
      </c>
      <c r="S35" s="97">
        <f t="shared" ref="S35:S36" si="55">ROUND(M35*$C$23,1)</f>
        <v>0</v>
      </c>
      <c r="T35" s="49">
        <f t="shared" ref="T35:T36" si="56">ROUND($C$20*(1+$C$21)^J35,0)</f>
        <v>216</v>
      </c>
      <c r="U35" s="99">
        <f t="shared" ref="U35:U36" si="57">ROUND(S35*T35,0)</f>
        <v>0</v>
      </c>
      <c r="V35" s="16">
        <f>ROUND(+U35+R35,0)</f>
        <v>0</v>
      </c>
      <c r="W35" s="87">
        <f t="shared" ref="W35:W36" si="58">ROUND($H$36*(1+$C$11)^J35,3)</f>
        <v>4.71</v>
      </c>
      <c r="X35" s="49">
        <f t="shared" ref="X35:X36" si="59">ROUND((1-$H$38)*(W35*M35),0)</f>
        <v>0</v>
      </c>
      <c r="Y35" s="49">
        <v>0</v>
      </c>
      <c r="Z35" s="49">
        <v>0</v>
      </c>
      <c r="AA35" s="49">
        <f t="shared" ref="AA35:AA36" si="60">SUM(X35:Z35)</f>
        <v>0</v>
      </c>
      <c r="AB35" s="49">
        <f t="shared" ref="AB35:AB36" si="61">V35-AA35</f>
        <v>0</v>
      </c>
      <c r="AE35" s="7">
        <f t="shared" si="14"/>
        <v>2046</v>
      </c>
      <c r="AF35" s="49">
        <f t="shared" ref="AF35:AF36" si="62">+R35</f>
        <v>0</v>
      </c>
      <c r="AG35" s="16">
        <f t="shared" ref="AG35:AG36" si="63">+U35</f>
        <v>0</v>
      </c>
      <c r="AH35" s="49">
        <f t="shared" ref="AH35:AH36" si="64">+AG35+AF35</f>
        <v>0</v>
      </c>
      <c r="AJ35" s="32">
        <f t="shared" ref="AJ35:AJ36" si="65">ROUND(Y35,0)</f>
        <v>0</v>
      </c>
      <c r="AK35" s="32">
        <f t="shared" ref="AK35:AK36" si="66">ROUND(Z35,0)</f>
        <v>0</v>
      </c>
      <c r="AL35" s="32">
        <f t="shared" ref="AL35:AL36" si="67">SUM(AJ35:AK35)</f>
        <v>0</v>
      </c>
      <c r="AN35" s="179">
        <f t="shared" ref="AN35:AN36" si="68">+AH35-AL35</f>
        <v>0</v>
      </c>
      <c r="AQ35" s="7">
        <f t="shared" si="20"/>
        <v>2046</v>
      </c>
      <c r="AR35" s="49">
        <f t="shared" ref="AR35" si="69">AF35</f>
        <v>0</v>
      </c>
      <c r="AS35" s="49">
        <f t="shared" ref="AS35:AS36" si="70">+AG35</f>
        <v>0</v>
      </c>
      <c r="AT35" s="98">
        <f t="shared" ref="AT35:AT36" si="71">ROUND(($C$28/(1-$C$31))*(1+$C$29)^J35,3)</f>
        <v>5.5E-2</v>
      </c>
      <c r="AU35" s="16">
        <f t="shared" ref="AU35:AU36" si="72">ROUND((IF($C$47+$F$23&gt;$AQ35,$F$27*$F$30,0)+IF($C$48+$G$23&gt;AQ35,$G$27*$G$30,0)+IF($C$49+$H$23&gt;AQ35,$H$27*$H$30,0))*AT35,0)</f>
        <v>0</v>
      </c>
      <c r="AV35" s="95">
        <f t="shared" ref="AV35:AV36" si="73">ROUND($C$33*(1+$C$34)^J35,3)</f>
        <v>2.9430000000000001</v>
      </c>
      <c r="AW35" s="49">
        <f t="shared" ref="AW35:AW36" si="74">ROUND(AV35*M35,0)</f>
        <v>0</v>
      </c>
      <c r="AX35" s="98"/>
      <c r="AY35" s="180"/>
      <c r="AZ35" s="49">
        <f t="shared" ref="AZ35:AZ36" si="75">ROUND(AR35+AS35+AU35+AW35+AY35,0)</f>
        <v>0</v>
      </c>
      <c r="BA35" s="17"/>
      <c r="BB35" s="49">
        <v>0</v>
      </c>
      <c r="BC35" s="49">
        <v>0</v>
      </c>
      <c r="BD35" s="181">
        <f t="shared" ref="BD35:BD36" si="76">BB35+BC35</f>
        <v>0</v>
      </c>
      <c r="BE35" s="49">
        <f t="shared" ref="BE35:BE36" si="77">AZ35-BD35</f>
        <v>0</v>
      </c>
      <c r="BH35" s="7">
        <f t="shared" si="26"/>
        <v>2046</v>
      </c>
      <c r="BI35" s="49">
        <v>0</v>
      </c>
      <c r="BJ35" s="16">
        <f t="shared" ref="BJ35:BJ36" si="78">+M35</f>
        <v>0</v>
      </c>
      <c r="BK35" s="87">
        <f t="shared" ref="BK35:BK36" si="79">ROUND($C$10*(1+$C$11)^J35,3)</f>
        <v>15.542999999999999</v>
      </c>
      <c r="BL35" s="49">
        <f t="shared" ref="BL35:BL36" si="80">ROUND(BJ35*BK35,0)</f>
        <v>0</v>
      </c>
      <c r="BM35" s="87">
        <f t="shared" ref="BM35:BM36" si="81">ROUND($C$13*(1+$C$14)^J35,3)</f>
        <v>0.251</v>
      </c>
      <c r="BN35" s="16">
        <f t="shared" ref="BN35:BN36" si="82">ROUND((IF($C$47+$F$23&gt;BH35,$F$27*$F$30,0)+IF($C$49+$H$23&gt;BH35,$H$27*$H$30,0)+IF($C$48+$G$23&gt;BH35,$G$27*$G$30,0))*BM35,0)</f>
        <v>0</v>
      </c>
      <c r="BO35" s="16"/>
      <c r="BP35" s="49">
        <f t="shared" ref="BP35:BP36" si="83">BI35+BL35+BN35+BO35</f>
        <v>0</v>
      </c>
      <c r="BR35" s="49">
        <f t="shared" ref="BR35:BR36" si="84">+BC35</f>
        <v>0</v>
      </c>
      <c r="BS35" s="49"/>
      <c r="BT35" s="49">
        <f t="shared" ref="BT35" si="85">BP35-BR35</f>
        <v>0</v>
      </c>
      <c r="BW35" s="7">
        <f t="shared" si="30"/>
        <v>2046</v>
      </c>
      <c r="BX35" s="49">
        <f t="shared" si="4"/>
        <v>0</v>
      </c>
      <c r="BY35" s="16">
        <f t="shared" ref="BY35:BY36" si="86">U35</f>
        <v>0</v>
      </c>
      <c r="BZ35" s="116">
        <f t="shared" ref="BZ35:BZ36" si="87">AU35</f>
        <v>0</v>
      </c>
      <c r="CA35" s="49">
        <f t="shared" ref="CA35:CA36" si="88">SUM(BX35:BZ35)</f>
        <v>0</v>
      </c>
      <c r="CC35" s="49">
        <f t="shared" ref="CC35:CC36" si="89">BB35</f>
        <v>0</v>
      </c>
      <c r="CD35" s="49">
        <f t="shared" ref="CD35:CD36" si="90">BC35</f>
        <v>0</v>
      </c>
      <c r="CE35" s="49">
        <f t="shared" ref="CE35:CE36" si="91">SUM(CC35:CD35)</f>
        <v>0</v>
      </c>
      <c r="CF35" s="49"/>
      <c r="CG35" s="49">
        <f t="shared" ref="CG35:CG36" si="92">CA35-CE35</f>
        <v>0</v>
      </c>
    </row>
    <row r="36" spans="1:87">
      <c r="A36" s="3" t="s">
        <v>77</v>
      </c>
      <c r="C36" s="11">
        <f>+'Gas Input Table Summary'!$D$24</f>
        <v>0</v>
      </c>
      <c r="E36" s="3" t="s">
        <v>91</v>
      </c>
      <c r="F36" s="27"/>
      <c r="H36" s="30">
        <f>+'Gas Input Table Summary'!$D$58</f>
        <v>2.532</v>
      </c>
      <c r="J36" s="2">
        <f t="shared" si="5"/>
        <v>22</v>
      </c>
      <c r="L36" s="7">
        <f t="shared" si="6"/>
        <v>2047</v>
      </c>
      <c r="M36" s="33">
        <f t="shared" ref="M36" si="93">ROUND(IF($C$47+$F$23&gt;L36,$F$25*$F$30,0)+IF($C$48+$G$23&gt;L36,$G$25*$G$30,0)+IF($C$49+$H$23&gt;L36,$H$25*$H$30,0),0)</f>
        <v>0</v>
      </c>
      <c r="N36" s="53">
        <f t="shared" si="50"/>
        <v>6.5449999999999999</v>
      </c>
      <c r="O36" s="32">
        <f t="shared" si="51"/>
        <v>0</v>
      </c>
      <c r="P36" s="95">
        <f t="shared" si="52"/>
        <v>0</v>
      </c>
      <c r="Q36" s="49">
        <f t="shared" si="53"/>
        <v>0</v>
      </c>
      <c r="R36" s="96">
        <f t="shared" si="54"/>
        <v>0</v>
      </c>
      <c r="S36" s="97">
        <f t="shared" si="55"/>
        <v>0</v>
      </c>
      <c r="T36" s="49">
        <f t="shared" si="56"/>
        <v>218</v>
      </c>
      <c r="U36" s="99">
        <f t="shared" si="57"/>
        <v>0</v>
      </c>
      <c r="V36" s="33">
        <f t="shared" ref="V36" si="94">ROUND(+U36+R36,0)</f>
        <v>0</v>
      </c>
      <c r="W36" s="45">
        <f t="shared" si="58"/>
        <v>4.8520000000000003</v>
      </c>
      <c r="X36" s="49">
        <f t="shared" si="59"/>
        <v>0</v>
      </c>
      <c r="Y36" s="49">
        <v>0</v>
      </c>
      <c r="Z36" s="49">
        <v>0</v>
      </c>
      <c r="AA36" s="54">
        <f t="shared" si="60"/>
        <v>0</v>
      </c>
      <c r="AB36" s="54">
        <f t="shared" si="61"/>
        <v>0</v>
      </c>
      <c r="AE36" s="7">
        <f t="shared" si="14"/>
        <v>2047</v>
      </c>
      <c r="AF36" s="49">
        <f t="shared" si="62"/>
        <v>0</v>
      </c>
      <c r="AG36" s="16">
        <f t="shared" si="63"/>
        <v>0</v>
      </c>
      <c r="AH36" s="54">
        <f t="shared" si="64"/>
        <v>0</v>
      </c>
      <c r="AJ36" s="32">
        <f t="shared" si="65"/>
        <v>0</v>
      </c>
      <c r="AK36" s="32">
        <f t="shared" si="66"/>
        <v>0</v>
      </c>
      <c r="AL36" s="34">
        <f t="shared" si="67"/>
        <v>0</v>
      </c>
      <c r="AN36" s="78">
        <f t="shared" si="68"/>
        <v>0</v>
      </c>
      <c r="AQ36" s="7">
        <f t="shared" si="20"/>
        <v>2047</v>
      </c>
      <c r="AR36" s="49">
        <f>AF36</f>
        <v>0</v>
      </c>
      <c r="AS36" s="49">
        <f t="shared" si="70"/>
        <v>0</v>
      </c>
      <c r="AT36" s="98">
        <f t="shared" si="71"/>
        <v>5.7000000000000002E-2</v>
      </c>
      <c r="AU36" s="16">
        <f t="shared" si="72"/>
        <v>0</v>
      </c>
      <c r="AV36" s="95">
        <f t="shared" si="73"/>
        <v>2.9929999999999999</v>
      </c>
      <c r="AW36" s="49">
        <f t="shared" si="74"/>
        <v>0</v>
      </c>
      <c r="AX36" s="91"/>
      <c r="AY36" s="93"/>
      <c r="AZ36" s="54">
        <f t="shared" si="75"/>
        <v>0</v>
      </c>
      <c r="BA36" s="17"/>
      <c r="BB36" s="49">
        <v>0</v>
      </c>
      <c r="BC36" s="49">
        <v>0</v>
      </c>
      <c r="BD36" s="55">
        <f t="shared" si="76"/>
        <v>0</v>
      </c>
      <c r="BE36" s="54">
        <f t="shared" si="77"/>
        <v>0</v>
      </c>
      <c r="BH36" s="7">
        <f t="shared" si="26"/>
        <v>2047</v>
      </c>
      <c r="BI36" s="49">
        <v>0</v>
      </c>
      <c r="BJ36" s="33">
        <f t="shared" si="78"/>
        <v>0</v>
      </c>
      <c r="BK36" s="87">
        <f t="shared" si="79"/>
        <v>16.009</v>
      </c>
      <c r="BL36" s="49">
        <f t="shared" si="80"/>
        <v>0</v>
      </c>
      <c r="BM36" s="87">
        <f t="shared" si="81"/>
        <v>0.25900000000000001</v>
      </c>
      <c r="BN36" s="16">
        <f t="shared" si="82"/>
        <v>0</v>
      </c>
      <c r="BO36" s="33"/>
      <c r="BP36" s="54">
        <f t="shared" si="83"/>
        <v>0</v>
      </c>
      <c r="BR36" s="54">
        <f t="shared" si="84"/>
        <v>0</v>
      </c>
      <c r="BS36" s="54"/>
      <c r="BT36" s="54">
        <f>BP36-BR36</f>
        <v>0</v>
      </c>
      <c r="BW36" s="7">
        <f t="shared" si="30"/>
        <v>2047</v>
      </c>
      <c r="BX36" s="49">
        <f t="shared" si="4"/>
        <v>0</v>
      </c>
      <c r="BY36" s="16">
        <f t="shared" si="86"/>
        <v>0</v>
      </c>
      <c r="BZ36" s="116">
        <f t="shared" si="87"/>
        <v>0</v>
      </c>
      <c r="CA36" s="54">
        <f t="shared" si="88"/>
        <v>0</v>
      </c>
      <c r="CC36" s="54">
        <f t="shared" si="89"/>
        <v>0</v>
      </c>
      <c r="CD36" s="54">
        <f t="shared" si="90"/>
        <v>0</v>
      </c>
      <c r="CE36" s="54">
        <f t="shared" si="91"/>
        <v>0</v>
      </c>
      <c r="CF36" s="54"/>
      <c r="CG36" s="54">
        <f t="shared" si="92"/>
        <v>0</v>
      </c>
    </row>
    <row r="37" spans="1:87">
      <c r="A37" s="2" t="s">
        <v>47</v>
      </c>
      <c r="C37" s="15">
        <f>+'Gas Input Table Summary'!$D$25</f>
        <v>0</v>
      </c>
      <c r="F37" s="16"/>
      <c r="M37" s="5"/>
      <c r="N37" s="2"/>
      <c r="R37" s="24"/>
      <c r="T37" s="18"/>
      <c r="V37" s="5"/>
      <c r="AA37" s="5"/>
      <c r="AB37" s="5"/>
      <c r="AF37" s="5"/>
      <c r="AH37" s="5"/>
      <c r="AN37" s="5"/>
      <c r="AR37" s="5"/>
      <c r="AU37" s="47"/>
      <c r="AW37" s="47"/>
      <c r="AY37" s="47"/>
      <c r="AZ37" s="47"/>
      <c r="BC37" s="16"/>
      <c r="BG37" s="7"/>
      <c r="BJ37" s="23"/>
      <c r="BP37" s="5"/>
      <c r="BT37" s="5"/>
      <c r="BV37" s="7"/>
      <c r="BY37" s="23"/>
      <c r="CA37" s="5"/>
      <c r="CG37" s="5"/>
    </row>
    <row r="38" spans="1:87">
      <c r="C38" s="15"/>
      <c r="E38" s="51" t="s">
        <v>98</v>
      </c>
      <c r="H38" s="128">
        <f>+'Gas Input Table Summary'!$D$59</f>
        <v>0.21</v>
      </c>
      <c r="J38" s="24"/>
      <c r="K38" s="2" t="s">
        <v>212</v>
      </c>
      <c r="M38" s="16">
        <f>SUM(M14:M36)</f>
        <v>5660</v>
      </c>
      <c r="N38" s="2"/>
      <c r="R38" s="24"/>
      <c r="S38" s="12"/>
      <c r="T38" s="18"/>
      <c r="V38" s="12">
        <f>SUM(V14:V36)</f>
        <v>36796</v>
      </c>
      <c r="X38" s="12"/>
      <c r="Y38" s="12"/>
      <c r="Z38" s="12"/>
      <c r="AA38" s="12">
        <f>SUM(AA14:AA36)</f>
        <v>24041</v>
      </c>
      <c r="AB38" s="12">
        <f>SUM(AB14:AB36)</f>
        <v>12755</v>
      </c>
      <c r="AD38" s="3" t="s">
        <v>78</v>
      </c>
      <c r="AE38" s="16"/>
      <c r="AF38" s="12"/>
      <c r="AG38" s="12"/>
      <c r="AH38" s="12">
        <f>SUM(AH14:AH36)</f>
        <v>36796</v>
      </c>
      <c r="AL38" s="12">
        <f>SUM(AL14:AL36)</f>
        <v>8829</v>
      </c>
      <c r="AN38" s="12">
        <f>SUM(AN14:AN36)</f>
        <v>27967</v>
      </c>
      <c r="AP38" s="3" t="s">
        <v>78</v>
      </c>
      <c r="AQ38" s="16"/>
      <c r="AR38" s="12"/>
      <c r="AS38" s="12"/>
      <c r="AU38" s="46"/>
      <c r="AW38" s="46"/>
      <c r="AY38" s="46"/>
      <c r="AZ38" s="94">
        <f>SUM(AZ14:AZ36)</f>
        <v>50599</v>
      </c>
      <c r="BB38" s="12"/>
      <c r="BC38" s="12"/>
      <c r="BD38" s="12">
        <f>SUM(BD14:BD36)</f>
        <v>9489</v>
      </c>
      <c r="BE38" s="12">
        <f>SUM(BE14:BE36)</f>
        <v>41110</v>
      </c>
      <c r="BG38" s="3" t="s">
        <v>212</v>
      </c>
      <c r="BI38" s="12"/>
      <c r="BJ38" s="16">
        <f>SUM(BJ14:BJ36)</f>
        <v>5660</v>
      </c>
      <c r="BK38" s="18"/>
      <c r="BL38" s="12"/>
      <c r="BN38" s="12"/>
      <c r="BO38" s="12"/>
      <c r="BP38" s="12">
        <f>SUM(BP14:BP36)</f>
        <v>70133</v>
      </c>
      <c r="BR38" s="12">
        <f>SUM(BR14:BR36)</f>
        <v>7260</v>
      </c>
      <c r="BS38" s="12"/>
      <c r="BT38" s="12">
        <f>SUM(BT14:BT36)</f>
        <v>62873</v>
      </c>
      <c r="BX38" s="12"/>
      <c r="BY38" s="16"/>
      <c r="BZ38" s="3" t="s">
        <v>212</v>
      </c>
      <c r="CA38" s="12">
        <f>SUM(CA14:CA36)</f>
        <v>36796</v>
      </c>
      <c r="CC38" s="12"/>
      <c r="CD38" s="12"/>
      <c r="CE38" s="12">
        <f>SUM(CE14:CE36)</f>
        <v>9489</v>
      </c>
      <c r="CF38" s="12"/>
      <c r="CG38" s="12">
        <f>SUM(CG14:CG36)</f>
        <v>27307</v>
      </c>
    </row>
    <row r="39" spans="1:87">
      <c r="A39" s="3" t="s">
        <v>79</v>
      </c>
      <c r="C39" s="13">
        <f>+'Gas Input Table Summary'!$D$26</f>
        <v>9.8699999999999996E-2</v>
      </c>
      <c r="E39" s="119" t="s">
        <v>227</v>
      </c>
      <c r="M39" s="16"/>
      <c r="N39" s="2"/>
      <c r="R39" s="24"/>
      <c r="S39" s="52"/>
      <c r="T39" s="5" t="s">
        <v>80</v>
      </c>
      <c r="V39" s="52">
        <f>ROUND(V14+NPV($C$41,V15:V36),0)</f>
        <v>19773</v>
      </c>
      <c r="X39" s="12"/>
      <c r="Y39" s="12"/>
      <c r="Z39" s="12"/>
      <c r="AA39" s="12">
        <f>ROUND(AA14+NPV($C$41,AA15:AA36),0)</f>
        <v>16898</v>
      </c>
      <c r="AB39" s="12">
        <f>ROUND(AB14+NPV($C$41,AB15:AB36),0)</f>
        <v>2875</v>
      </c>
      <c r="AF39" s="12"/>
      <c r="AG39" s="3" t="s">
        <v>80</v>
      </c>
      <c r="AH39" s="12">
        <f>ROUND(AH14+NPV($C$41,AH15:AH36),0)</f>
        <v>19773</v>
      </c>
      <c r="AL39" s="12">
        <f>ROUND(AL14+NPV($C$41,AL15:AL36),0)</f>
        <v>8829</v>
      </c>
      <c r="AN39" s="12">
        <f>+AH39-AL39</f>
        <v>10944</v>
      </c>
      <c r="AR39" s="12"/>
      <c r="AS39" s="12"/>
      <c r="AU39" s="46"/>
      <c r="AW39" s="3" t="s">
        <v>80</v>
      </c>
      <c r="AY39" s="46"/>
      <c r="AZ39" s="12">
        <f>ROUND(AZ14+NPV($C$43,AZ15:AZ36),0)</f>
        <v>40484</v>
      </c>
      <c r="BB39" s="12"/>
      <c r="BC39" s="12"/>
      <c r="BD39" s="12">
        <f>ROUND(BD14+NPV($C$43,BD15:BD36),0)</f>
        <v>9489</v>
      </c>
      <c r="BE39" s="12">
        <f>AZ39-BD39</f>
        <v>30995</v>
      </c>
      <c r="BG39" s="7"/>
      <c r="BI39" s="12"/>
      <c r="BL39" s="12"/>
      <c r="BN39" s="12" t="s">
        <v>205</v>
      </c>
      <c r="BO39" s="12"/>
      <c r="BP39" s="12">
        <f>ROUND(BP14+NPV($C$39,BP15:BP36),0)</f>
        <v>34019</v>
      </c>
      <c r="BR39" s="12">
        <f>ROUND(BR14+NPV($C$39,BR15:BR36),0)</f>
        <v>7260</v>
      </c>
      <c r="BS39" s="12"/>
      <c r="BT39" s="16">
        <f>ROUND(BT14+NPV($C$39,BT15:BT36),0)</f>
        <v>26759</v>
      </c>
      <c r="BV39" s="7"/>
      <c r="BX39" s="12"/>
      <c r="BZ39" s="12" t="s">
        <v>205</v>
      </c>
      <c r="CA39" s="12">
        <f>ROUND(CA14+NPV($C$41,CA15:CA36),0)</f>
        <v>19773</v>
      </c>
      <c r="CC39" s="12"/>
      <c r="CD39" s="12"/>
      <c r="CE39" s="12">
        <f>ROUND(CE14+NPV($C$41,CE15:CE36),0)</f>
        <v>9489</v>
      </c>
      <c r="CF39" s="12"/>
      <c r="CG39" s="16">
        <f>ROUND(CG14+NPV($C$41,CG15:CG36),0)</f>
        <v>10284</v>
      </c>
    </row>
    <row r="40" spans="1:87">
      <c r="A40" s="3"/>
      <c r="C40" s="13"/>
      <c r="F40" s="16"/>
      <c r="M40" s="16"/>
      <c r="N40" s="2"/>
      <c r="R40" s="24"/>
      <c r="T40" s="18"/>
      <c r="V40" s="16"/>
      <c r="X40" s="3" t="s">
        <v>81</v>
      </c>
      <c r="Z40" s="16"/>
      <c r="AA40" s="16"/>
      <c r="AB40" s="16"/>
      <c r="AF40" s="16"/>
      <c r="AH40" s="16"/>
      <c r="AI40" s="16"/>
      <c r="AR40" s="16"/>
      <c r="AY40" s="16"/>
      <c r="AZ40" s="16"/>
      <c r="BA40" s="16"/>
      <c r="BB40" s="16"/>
      <c r="BC40" s="16"/>
      <c r="BD40" s="16"/>
      <c r="BE40" s="16"/>
      <c r="BF40" s="16"/>
      <c r="BG40" s="7"/>
      <c r="BI40" s="12"/>
      <c r="BP40" s="16"/>
      <c r="BS40" s="16"/>
      <c r="BU40" s="16"/>
      <c r="BV40" s="7"/>
      <c r="BX40" s="12"/>
      <c r="CA40" s="16"/>
      <c r="CE40" s="12"/>
      <c r="CF40" s="16"/>
    </row>
    <row r="41" spans="1:87">
      <c r="A41" s="3" t="s">
        <v>82</v>
      </c>
      <c r="C41" s="13">
        <f>+'Gas Input Table Summary'!$D$27</f>
        <v>7.0099999999999996E-2</v>
      </c>
      <c r="E41" s="39" t="s">
        <v>88</v>
      </c>
      <c r="F41" s="40" t="s">
        <v>89</v>
      </c>
      <c r="G41" s="41" t="s">
        <v>90</v>
      </c>
      <c r="K41" s="3" t="s">
        <v>83</v>
      </c>
      <c r="M41" s="16"/>
      <c r="N41" s="12">
        <f>AB39</f>
        <v>2875</v>
      </c>
      <c r="Q41" s="12"/>
      <c r="R41" s="24"/>
      <c r="T41" s="18"/>
      <c r="U41" s="18"/>
      <c r="V41" s="16"/>
      <c r="X41" s="3" t="s">
        <v>81</v>
      </c>
      <c r="Z41" s="16"/>
      <c r="AA41" s="16"/>
      <c r="AB41" s="16"/>
      <c r="AD41" s="3" t="s">
        <v>83</v>
      </c>
      <c r="AF41" s="16"/>
      <c r="AG41" s="12">
        <f>AN39</f>
        <v>10944</v>
      </c>
      <c r="AH41" s="12"/>
      <c r="AI41" s="16"/>
      <c r="AM41" s="16"/>
      <c r="AP41" s="3" t="s">
        <v>83</v>
      </c>
      <c r="AR41" s="16"/>
      <c r="AS41" s="12">
        <f>BE39</f>
        <v>30995</v>
      </c>
      <c r="AU41" s="12"/>
      <c r="AW41" s="12"/>
      <c r="AY41" s="16"/>
      <c r="AZ41" s="16"/>
      <c r="BA41" s="25"/>
      <c r="BB41" s="16"/>
      <c r="BC41" s="16"/>
      <c r="BD41" s="16"/>
      <c r="BF41" s="16"/>
      <c r="BG41" s="3" t="s">
        <v>83</v>
      </c>
      <c r="BJ41" s="12">
        <f>BT39</f>
        <v>26759</v>
      </c>
      <c r="BK41" s="12"/>
      <c r="BP41" s="16"/>
      <c r="BS41" s="16"/>
      <c r="BT41" s="16"/>
      <c r="BU41" s="16"/>
      <c r="BV41" s="3" t="s">
        <v>83</v>
      </c>
      <c r="BY41" s="12">
        <f>CG39</f>
        <v>10284</v>
      </c>
      <c r="BZ41" s="12"/>
      <c r="CA41" s="16"/>
      <c r="CF41" s="16"/>
      <c r="CG41" s="16"/>
    </row>
    <row r="42" spans="1:87" ht="13.5" thickBot="1">
      <c r="E42" s="121" t="s">
        <v>5</v>
      </c>
      <c r="F42" s="122">
        <f>N41</f>
        <v>2875</v>
      </c>
      <c r="G42" s="123">
        <f>N42</f>
        <v>1.17</v>
      </c>
      <c r="K42" s="3" t="s">
        <v>84</v>
      </c>
      <c r="N42" s="90">
        <f>ROUND(V39/AA39,2)</f>
        <v>1.17</v>
      </c>
      <c r="Q42" s="18"/>
      <c r="R42" s="24"/>
      <c r="AB42" s="16"/>
      <c r="AD42" s="3" t="s">
        <v>84</v>
      </c>
      <c r="AF42" s="18"/>
      <c r="AG42" s="35">
        <f>ROUND(AH39/AL39,2)</f>
        <v>2.2400000000000002</v>
      </c>
      <c r="AH42" s="18"/>
      <c r="AP42" s="3" t="s">
        <v>84</v>
      </c>
      <c r="AR42" s="18"/>
      <c r="AS42" s="35">
        <f>ROUND(AZ39/BD39,2)</f>
        <v>4.2699999999999996</v>
      </c>
      <c r="AU42" s="18"/>
      <c r="AW42" s="18"/>
      <c r="AZ42" s="2"/>
      <c r="BD42" s="16"/>
      <c r="BG42" s="3" t="s">
        <v>84</v>
      </c>
      <c r="BJ42" s="90">
        <f>ROUND(BP39/BR39,2)</f>
        <v>4.6900000000000004</v>
      </c>
      <c r="BK42" s="18"/>
      <c r="BV42" s="3" t="s">
        <v>84</v>
      </c>
      <c r="BY42" s="35">
        <f>ROUND(CA39/CE39,2)</f>
        <v>2.08</v>
      </c>
      <c r="BZ42" s="18"/>
    </row>
    <row r="43" spans="1:87" ht="13.5" thickTop="1">
      <c r="A43" s="2" t="s">
        <v>85</v>
      </c>
      <c r="C43" s="13">
        <f>+'Gas Input Table Summary'!$D$28</f>
        <v>2.29E-2</v>
      </c>
      <c r="E43" s="37" t="s">
        <v>6</v>
      </c>
      <c r="F43" s="12">
        <f>AG41</f>
        <v>10944</v>
      </c>
      <c r="G43" s="120">
        <f>AG42</f>
        <v>2.2400000000000002</v>
      </c>
      <c r="J43" s="74"/>
      <c r="K43" s="75"/>
      <c r="L43" s="74"/>
      <c r="M43" s="74"/>
      <c r="N43" s="74"/>
      <c r="O43" s="74"/>
      <c r="Q43" s="74"/>
      <c r="R43" s="76"/>
      <c r="S43" s="74"/>
      <c r="T43" s="74"/>
      <c r="U43" s="74"/>
      <c r="V43" s="74"/>
      <c r="W43" s="74"/>
      <c r="X43" s="74"/>
      <c r="AB43" s="16"/>
      <c r="AD43" s="3"/>
      <c r="AM43" s="26"/>
      <c r="AN43" s="3"/>
      <c r="AP43" s="3"/>
      <c r="AZ43" s="2"/>
      <c r="BB43" s="26"/>
      <c r="BE43" s="3"/>
      <c r="BV43" s="7"/>
      <c r="CI43" s="17"/>
    </row>
    <row r="44" spans="1:87">
      <c r="E44" s="38" t="s">
        <v>7</v>
      </c>
      <c r="F44" s="12">
        <f>AS41</f>
        <v>30995</v>
      </c>
      <c r="G44" s="120">
        <f>AS42</f>
        <v>4.2699999999999996</v>
      </c>
      <c r="J44" s="57" t="s">
        <v>125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AB44" s="16"/>
      <c r="AZ44" s="2"/>
      <c r="BD44" s="7"/>
      <c r="BV44" s="57" t="s">
        <v>125</v>
      </c>
      <c r="BW44" s="58"/>
      <c r="BX44" s="66"/>
      <c r="BY44" s="66"/>
      <c r="BZ44" s="67"/>
      <c r="CI44" s="17"/>
    </row>
    <row r="45" spans="1:87">
      <c r="A45" s="3" t="s">
        <v>86</v>
      </c>
      <c r="C45" s="136">
        <f>+'Gas Input Table Summary'!$D$29</f>
        <v>2025</v>
      </c>
      <c r="E45" s="37" t="s">
        <v>8</v>
      </c>
      <c r="F45" s="12">
        <f>BJ41</f>
        <v>26759</v>
      </c>
      <c r="G45" s="120">
        <f>BJ42</f>
        <v>4.6900000000000004</v>
      </c>
      <c r="J45" s="68" t="s">
        <v>48</v>
      </c>
      <c r="K45" s="69" t="s">
        <v>122</v>
      </c>
      <c r="L45" s="70"/>
      <c r="M45" s="70"/>
      <c r="N45" s="70"/>
      <c r="O45" s="70"/>
      <c r="P45" s="70"/>
      <c r="Q45" s="70"/>
      <c r="R45" s="70"/>
      <c r="S45" s="70"/>
      <c r="T45" s="71" t="s">
        <v>56</v>
      </c>
      <c r="U45" s="69" t="s">
        <v>143</v>
      </c>
      <c r="V45" s="70"/>
      <c r="W45" s="70"/>
      <c r="X45" s="72"/>
      <c r="AB45" s="16"/>
      <c r="AD45" s="57" t="s">
        <v>125</v>
      </c>
      <c r="AE45" s="58"/>
      <c r="AF45" s="66"/>
      <c r="AG45" s="66"/>
      <c r="AH45" s="67"/>
      <c r="AI45" s="67"/>
      <c r="AJ45" s="67"/>
      <c r="AK45" s="67"/>
      <c r="AN45" s="3"/>
      <c r="AP45" s="57" t="s">
        <v>125</v>
      </c>
      <c r="AQ45" s="58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7"/>
      <c r="BG45" s="57" t="s">
        <v>125</v>
      </c>
      <c r="BH45" s="58"/>
      <c r="BI45" s="66"/>
      <c r="BJ45" s="66"/>
      <c r="BK45" s="66"/>
      <c r="BL45" s="66"/>
      <c r="BM45" s="66"/>
      <c r="BN45" s="66"/>
      <c r="BO45" s="249"/>
      <c r="BP45" s="66"/>
      <c r="BQ45" s="66"/>
      <c r="BR45" s="66"/>
      <c r="BS45" s="66"/>
      <c r="BT45" s="67"/>
      <c r="BV45" s="85" t="s">
        <v>48</v>
      </c>
      <c r="BW45" s="118" t="s">
        <v>163</v>
      </c>
      <c r="BX45" s="70"/>
      <c r="BY45" s="70"/>
      <c r="BZ45" s="72"/>
      <c r="CA45" s="56" t="s">
        <v>81</v>
      </c>
      <c r="CB45" s="56"/>
      <c r="CC45" s="56"/>
      <c r="CD45" s="56"/>
      <c r="CE45" s="56"/>
      <c r="CI45" s="17"/>
    </row>
    <row r="46" spans="1:87">
      <c r="C46" s="7"/>
      <c r="E46" s="124" t="s">
        <v>218</v>
      </c>
      <c r="F46" s="125">
        <f>BY41</f>
        <v>10284</v>
      </c>
      <c r="G46" s="126">
        <f>BY42</f>
        <v>2.08</v>
      </c>
      <c r="J46" s="38" t="s">
        <v>49</v>
      </c>
      <c r="K46" s="48" t="s">
        <v>140</v>
      </c>
      <c r="N46" s="2"/>
      <c r="T46" s="5" t="s">
        <v>57</v>
      </c>
      <c r="U46" s="48" t="s">
        <v>144</v>
      </c>
      <c r="X46" s="60"/>
      <c r="AB46" s="5"/>
      <c r="AD46" s="68" t="s">
        <v>48</v>
      </c>
      <c r="AE46" s="69" t="s">
        <v>163</v>
      </c>
      <c r="AF46" s="70"/>
      <c r="AG46" s="70"/>
      <c r="AH46" s="70"/>
      <c r="AI46" s="70"/>
      <c r="AJ46" s="70"/>
      <c r="AK46" s="72"/>
      <c r="AN46" s="3"/>
      <c r="AP46" s="82" t="s">
        <v>48</v>
      </c>
      <c r="AQ46" s="69" t="s">
        <v>163</v>
      </c>
      <c r="AR46" s="70"/>
      <c r="AS46" s="70"/>
      <c r="AU46" s="70"/>
      <c r="AW46" s="5" t="s">
        <v>55</v>
      </c>
      <c r="AZ46" s="48" t="s">
        <v>153</v>
      </c>
      <c r="BD46" s="70"/>
      <c r="BE46" s="72"/>
      <c r="BG46" s="85" t="s">
        <v>48</v>
      </c>
      <c r="BH46" s="69" t="s">
        <v>157</v>
      </c>
      <c r="BI46" s="70"/>
      <c r="BJ46" s="70"/>
      <c r="BK46" s="70"/>
      <c r="BL46" s="246" t="s">
        <v>54</v>
      </c>
      <c r="BM46" s="69" t="s">
        <v>158</v>
      </c>
      <c r="BN46" s="70"/>
      <c r="BO46" s="70"/>
      <c r="BP46" s="70"/>
      <c r="BQ46" s="70"/>
      <c r="BR46" s="70"/>
      <c r="BS46" s="70"/>
      <c r="BT46" s="72"/>
      <c r="BV46" s="86" t="s">
        <v>49</v>
      </c>
      <c r="BW46" s="119" t="s">
        <v>164</v>
      </c>
      <c r="BZ46" s="60"/>
      <c r="CI46" s="17"/>
    </row>
    <row r="47" spans="1:87">
      <c r="A47" s="3" t="s">
        <v>87</v>
      </c>
      <c r="C47" s="136">
        <f>+'Total Program Inputs'!C6</f>
        <v>2025</v>
      </c>
      <c r="J47" s="38" t="s">
        <v>50</v>
      </c>
      <c r="K47" s="19" t="s">
        <v>121</v>
      </c>
      <c r="N47" s="2"/>
      <c r="T47" s="5" t="s">
        <v>58</v>
      </c>
      <c r="U47" s="48" t="s">
        <v>160</v>
      </c>
      <c r="X47" s="60"/>
      <c r="AB47" s="12"/>
      <c r="AD47" s="38" t="s">
        <v>49</v>
      </c>
      <c r="AE47" s="19" t="s">
        <v>164</v>
      </c>
      <c r="AK47" s="60"/>
      <c r="AP47" s="83" t="s">
        <v>54</v>
      </c>
      <c r="AQ47" s="48" t="s">
        <v>164</v>
      </c>
      <c r="AW47" s="5" t="s">
        <v>56</v>
      </c>
      <c r="AZ47" s="19" t="s">
        <v>154</v>
      </c>
      <c r="BE47" s="60"/>
      <c r="BG47" s="86" t="s">
        <v>49</v>
      </c>
      <c r="BH47" s="48" t="s">
        <v>126</v>
      </c>
      <c r="BL47" s="7" t="s">
        <v>55</v>
      </c>
      <c r="BM47" s="19" t="s">
        <v>167</v>
      </c>
      <c r="BO47" s="56"/>
      <c r="BP47" s="56"/>
      <c r="BQ47" s="56"/>
      <c r="BR47" s="56"/>
      <c r="BT47" s="60"/>
      <c r="BV47" s="86" t="s">
        <v>50</v>
      </c>
      <c r="BW47" s="119" t="s">
        <v>220</v>
      </c>
      <c r="BZ47" s="60"/>
      <c r="CI47" s="17"/>
    </row>
    <row r="48" spans="1:87">
      <c r="A48" s="127"/>
      <c r="C48" s="7"/>
      <c r="J48" s="38" t="s">
        <v>51</v>
      </c>
      <c r="K48" s="48" t="s">
        <v>139</v>
      </c>
      <c r="N48" s="2"/>
      <c r="T48" s="5" t="s">
        <v>59</v>
      </c>
      <c r="U48" s="19" t="s">
        <v>161</v>
      </c>
      <c r="X48" s="60"/>
      <c r="AB48" s="16"/>
      <c r="AD48" s="38" t="s">
        <v>50</v>
      </c>
      <c r="AE48" s="19" t="s">
        <v>165</v>
      </c>
      <c r="AK48" s="60"/>
      <c r="AP48" s="83" t="s">
        <v>50</v>
      </c>
      <c r="AQ48" s="48" t="s">
        <v>201</v>
      </c>
      <c r="AW48" s="5" t="s">
        <v>57</v>
      </c>
      <c r="AZ48" s="19" t="s">
        <v>155</v>
      </c>
      <c r="BE48" s="60"/>
      <c r="BG48" s="86" t="s">
        <v>50</v>
      </c>
      <c r="BH48" s="19" t="s">
        <v>130</v>
      </c>
      <c r="BL48" s="7" t="s">
        <v>56</v>
      </c>
      <c r="BM48" s="19" t="s">
        <v>159</v>
      </c>
      <c r="BT48" s="60"/>
      <c r="BV48" s="86" t="s">
        <v>51</v>
      </c>
      <c r="BW48" s="119" t="s">
        <v>128</v>
      </c>
      <c r="BZ48" s="60"/>
      <c r="CI48" s="17"/>
    </row>
    <row r="49" spans="1:108">
      <c r="A49" s="127"/>
      <c r="C49" s="7"/>
      <c r="J49" s="38" t="s">
        <v>52</v>
      </c>
      <c r="K49" s="19" t="s">
        <v>141</v>
      </c>
      <c r="N49" s="2"/>
      <c r="O49" s="24"/>
      <c r="T49" s="5" t="s">
        <v>60</v>
      </c>
      <c r="U49" s="48" t="s">
        <v>147</v>
      </c>
      <c r="X49" s="60"/>
      <c r="AB49" s="16"/>
      <c r="AD49" s="38" t="s">
        <v>51</v>
      </c>
      <c r="AE49" s="48" t="s">
        <v>127</v>
      </c>
      <c r="AK49" s="60"/>
      <c r="AO49" s="3"/>
      <c r="AP49" s="83" t="s">
        <v>51</v>
      </c>
      <c r="AQ49" s="48" t="s">
        <v>152</v>
      </c>
      <c r="AW49" s="5" t="s">
        <v>58</v>
      </c>
      <c r="AZ49" s="19" t="s">
        <v>156</v>
      </c>
      <c r="BE49" s="60"/>
      <c r="BG49" s="86" t="s">
        <v>51</v>
      </c>
      <c r="BH49" s="48" t="s">
        <v>131</v>
      </c>
      <c r="BT49" s="60"/>
      <c r="BV49" s="86" t="s">
        <v>52</v>
      </c>
      <c r="BW49" s="119" t="s">
        <v>224</v>
      </c>
      <c r="BZ49" s="60"/>
    </row>
    <row r="50" spans="1:108">
      <c r="J50" s="38" t="s">
        <v>53</v>
      </c>
      <c r="K50" s="48" t="s">
        <v>142</v>
      </c>
      <c r="N50" s="2"/>
      <c r="T50" s="5" t="s">
        <v>61</v>
      </c>
      <c r="U50" s="19" t="s">
        <v>129</v>
      </c>
      <c r="X50" s="60"/>
      <c r="AD50" s="38" t="s">
        <v>52</v>
      </c>
      <c r="AE50" s="48" t="s">
        <v>157</v>
      </c>
      <c r="AK50" s="60"/>
      <c r="AP50" s="83" t="s">
        <v>52</v>
      </c>
      <c r="AQ50" s="48" t="s">
        <v>135</v>
      </c>
      <c r="AW50" s="5"/>
      <c r="AZ50" s="2"/>
      <c r="BE50" s="60"/>
      <c r="BG50" s="86" t="s">
        <v>52</v>
      </c>
      <c r="BH50" s="48" t="s">
        <v>166</v>
      </c>
      <c r="BT50" s="60"/>
      <c r="BV50" s="86" t="s">
        <v>53</v>
      </c>
      <c r="BW50" s="119" t="s">
        <v>225</v>
      </c>
      <c r="BZ50" s="60"/>
    </row>
    <row r="51" spans="1:108" ht="14.1" customHeight="1">
      <c r="J51" s="38" t="s">
        <v>54</v>
      </c>
      <c r="K51" s="48" t="s">
        <v>123</v>
      </c>
      <c r="N51" s="2"/>
      <c r="T51" s="5" t="s">
        <v>138</v>
      </c>
      <c r="U51" s="19" t="s">
        <v>162</v>
      </c>
      <c r="X51" s="60"/>
      <c r="AD51" s="38" t="s">
        <v>53</v>
      </c>
      <c r="AE51" s="19" t="s">
        <v>149</v>
      </c>
      <c r="AK51" s="60"/>
      <c r="AP51" s="83" t="s">
        <v>53</v>
      </c>
      <c r="AQ51" s="48" t="s">
        <v>136</v>
      </c>
      <c r="AW51" s="5"/>
      <c r="AZ51" s="2"/>
      <c r="BE51" s="60"/>
      <c r="BG51" s="247" t="s">
        <v>53</v>
      </c>
      <c r="BH51" s="251" t="s">
        <v>330</v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64"/>
      <c r="BV51" s="86" t="s">
        <v>54</v>
      </c>
      <c r="BW51" s="119" t="s">
        <v>221</v>
      </c>
      <c r="BZ51" s="60"/>
    </row>
    <row r="52" spans="1:108" ht="14.1" customHeight="1">
      <c r="A52" s="3"/>
      <c r="C52" s="13"/>
      <c r="J52" s="89" t="s">
        <v>55</v>
      </c>
      <c r="K52" s="62" t="s">
        <v>124</v>
      </c>
      <c r="L52" s="10"/>
      <c r="M52" s="10"/>
      <c r="N52" s="10"/>
      <c r="O52" s="10"/>
      <c r="P52" s="10"/>
      <c r="Q52" s="10"/>
      <c r="R52" s="10"/>
      <c r="S52" s="10"/>
      <c r="T52" s="63" t="s">
        <v>146</v>
      </c>
      <c r="U52" s="62" t="s">
        <v>148</v>
      </c>
      <c r="V52" s="10"/>
      <c r="W52" s="10"/>
      <c r="X52" s="64"/>
      <c r="AD52" s="61" t="s">
        <v>54</v>
      </c>
      <c r="AE52" s="73" t="s">
        <v>150</v>
      </c>
      <c r="AF52" s="10"/>
      <c r="AG52" s="10"/>
      <c r="AH52" s="10"/>
      <c r="AI52" s="10"/>
      <c r="AJ52" s="10"/>
      <c r="AK52" s="64"/>
      <c r="AP52" s="84" t="s">
        <v>54</v>
      </c>
      <c r="AQ52" s="73" t="s">
        <v>151</v>
      </c>
      <c r="AR52" s="10"/>
      <c r="AS52" s="10"/>
      <c r="AT52" s="10"/>
      <c r="AU52" s="10"/>
      <c r="AV52" s="10"/>
      <c r="AW52" s="63"/>
      <c r="AX52" s="63"/>
      <c r="AY52" s="63"/>
      <c r="AZ52" s="63"/>
      <c r="BA52" s="10"/>
      <c r="BB52" s="10"/>
      <c r="BC52" s="10"/>
      <c r="BD52" s="10"/>
      <c r="BE52" s="64"/>
      <c r="BV52" s="247" t="s">
        <v>55</v>
      </c>
      <c r="BW52" s="248" t="s">
        <v>222</v>
      </c>
      <c r="BX52" s="10"/>
      <c r="BY52" s="10"/>
      <c r="BZ52" s="64"/>
      <c r="CL52" s="18"/>
      <c r="DB52" s="16"/>
    </row>
    <row r="53" spans="1:108" ht="14.1" customHeight="1">
      <c r="C53" s="3"/>
      <c r="AD53" s="5"/>
      <c r="AZ53" s="2"/>
      <c r="CL53" s="12"/>
      <c r="DD53" s="16"/>
    </row>
    <row r="54" spans="1:108" ht="14.1" customHeight="1">
      <c r="C54" s="17"/>
      <c r="K54" s="48"/>
      <c r="N54" s="2"/>
      <c r="R54" s="24"/>
      <c r="AZ54" s="2"/>
      <c r="BV54" s="7"/>
    </row>
    <row r="55" spans="1:108" ht="14.1" customHeight="1">
      <c r="C55" s="17"/>
      <c r="K55" s="48"/>
      <c r="N55" s="2"/>
      <c r="R55" s="24"/>
      <c r="AB55" s="16"/>
      <c r="AP55" s="5"/>
      <c r="AZ55" s="2"/>
      <c r="BG55" s="7"/>
      <c r="BV55" s="7"/>
    </row>
    <row r="56" spans="1:108">
      <c r="C56" s="17"/>
      <c r="K56" s="48"/>
      <c r="N56" s="2"/>
      <c r="R56" s="24"/>
      <c r="AP56" s="3"/>
      <c r="AZ56" s="2"/>
      <c r="BH56" s="7"/>
      <c r="BW56" s="7"/>
    </row>
    <row r="57" spans="1:108">
      <c r="C57" s="28"/>
      <c r="N57" s="2"/>
      <c r="R57" s="24"/>
      <c r="AP57" s="3"/>
      <c r="AZ57" s="2"/>
      <c r="BH57" s="7"/>
      <c r="BW57" s="7"/>
    </row>
    <row r="58" spans="1:108">
      <c r="C58" s="28"/>
      <c r="N58" s="2"/>
      <c r="Q58" s="24"/>
      <c r="AO58" s="3"/>
      <c r="AZ58" s="2"/>
      <c r="BG58" s="7"/>
      <c r="BV58" s="7"/>
    </row>
    <row r="59" spans="1:108">
      <c r="C59" s="17"/>
      <c r="N59" s="2"/>
      <c r="Q59" s="24"/>
      <c r="AZ59" s="2"/>
      <c r="BG59" s="7"/>
      <c r="BV59" s="7"/>
    </row>
    <row r="60" spans="1:108">
      <c r="N60" s="2"/>
      <c r="Q60" s="24"/>
      <c r="AZ60" s="2"/>
      <c r="BG60" s="7"/>
      <c r="BV60" s="7"/>
    </row>
    <row r="61" spans="1:108">
      <c r="N61" s="2"/>
      <c r="Q61" s="24"/>
      <c r="AZ61" s="2"/>
      <c r="BG61" s="7"/>
      <c r="BV61" s="7"/>
    </row>
    <row r="62" spans="1:108" ht="12" customHeight="1">
      <c r="N62" s="2"/>
      <c r="Q62" s="24"/>
      <c r="AZ62" s="2"/>
      <c r="BG62" s="7"/>
      <c r="BV62" s="7"/>
    </row>
    <row r="63" spans="1:108">
      <c r="N63" s="2"/>
      <c r="Q63" s="24"/>
      <c r="AZ63" s="2"/>
      <c r="BG63" s="7"/>
      <c r="BV63" s="7"/>
    </row>
    <row r="64" spans="1:108">
      <c r="N64" s="2"/>
      <c r="Q64" s="24"/>
      <c r="AZ64" s="2"/>
      <c r="BG64" s="7"/>
      <c r="BV64" s="7"/>
    </row>
    <row r="65" spans="1:74">
      <c r="C65" s="12"/>
      <c r="N65" s="2"/>
      <c r="Q65" s="24"/>
      <c r="AZ65" s="2"/>
      <c r="BG65" s="7"/>
      <c r="BV65" s="7"/>
    </row>
    <row r="66" spans="1:74">
      <c r="A66" s="9"/>
      <c r="B66" s="3"/>
      <c r="N66" s="2"/>
      <c r="Q66" s="24"/>
      <c r="AZ66" s="2"/>
      <c r="BG66" s="7"/>
      <c r="BV66" s="7"/>
    </row>
    <row r="67" spans="1:74">
      <c r="A67" s="9"/>
      <c r="B67" s="3"/>
      <c r="N67" s="2"/>
      <c r="Q67" s="24"/>
      <c r="AZ67" s="2"/>
      <c r="BG67" s="7"/>
      <c r="BV67" s="7"/>
    </row>
    <row r="68" spans="1:74">
      <c r="N68" s="2"/>
      <c r="Q68" s="24"/>
      <c r="AZ68" s="2"/>
      <c r="BG68" s="7"/>
      <c r="BV68" s="7"/>
    </row>
    <row r="69" spans="1:74">
      <c r="N69" s="2"/>
      <c r="Q69" s="24"/>
      <c r="AZ69" s="2"/>
      <c r="BG69" s="7"/>
      <c r="BV69" s="7"/>
    </row>
    <row r="70" spans="1:74">
      <c r="N70" s="2"/>
      <c r="Q70" s="24"/>
      <c r="AZ70" s="2"/>
      <c r="BG70" s="7"/>
      <c r="BV70" s="7"/>
    </row>
    <row r="71" spans="1:74">
      <c r="N71" s="2"/>
      <c r="Q71" s="24"/>
      <c r="AZ71" s="2"/>
      <c r="BG71" s="7"/>
      <c r="BV71" s="7"/>
    </row>
    <row r="72" spans="1:74">
      <c r="N72" s="2"/>
      <c r="Q72" s="24"/>
      <c r="AZ72" s="2"/>
      <c r="BG72" s="7"/>
      <c r="BV72" s="7"/>
    </row>
    <row r="73" spans="1:74">
      <c r="N73" s="2"/>
      <c r="Q73" s="24"/>
      <c r="AZ73" s="2"/>
      <c r="BG73" s="7"/>
      <c r="BV73" s="7"/>
    </row>
    <row r="74" spans="1:74">
      <c r="N74" s="2"/>
      <c r="Q74" s="24"/>
      <c r="AZ74" s="2"/>
      <c r="BG74" s="7"/>
      <c r="BV74" s="7"/>
    </row>
    <row r="75" spans="1:74">
      <c r="N75" s="2"/>
      <c r="Q75" s="24"/>
      <c r="AZ75" s="2"/>
      <c r="BG75" s="7"/>
      <c r="BV75" s="7"/>
    </row>
    <row r="76" spans="1:74">
      <c r="N76" s="2"/>
      <c r="Q76" s="24"/>
      <c r="AZ76" s="2"/>
      <c r="BG76" s="7"/>
      <c r="BV76" s="7"/>
    </row>
    <row r="77" spans="1:74">
      <c r="N77" s="2"/>
      <c r="Q77" s="24"/>
      <c r="AZ77" s="2"/>
      <c r="BG77" s="7"/>
      <c r="BV77" s="7"/>
    </row>
    <row r="78" spans="1:74">
      <c r="N78" s="2"/>
      <c r="Q78" s="24"/>
      <c r="AZ78" s="2"/>
      <c r="BG78" s="7"/>
      <c r="BV78" s="7"/>
    </row>
    <row r="79" spans="1:74">
      <c r="N79" s="2"/>
      <c r="Q79" s="24"/>
      <c r="AZ79" s="2"/>
      <c r="BG79" s="7"/>
      <c r="BV79" s="7"/>
    </row>
    <row r="80" spans="1:74">
      <c r="N80" s="2"/>
      <c r="Q80" s="24"/>
      <c r="AZ80" s="2"/>
      <c r="BG80" s="7"/>
      <c r="BV80" s="7"/>
    </row>
    <row r="81" spans="6:74">
      <c r="F81" s="26"/>
      <c r="G81" s="26"/>
      <c r="N81" s="2"/>
      <c r="Q81" s="24"/>
      <c r="AZ81" s="2"/>
      <c r="BG81" s="7"/>
      <c r="BV81" s="7"/>
    </row>
    <row r="82" spans="6:74">
      <c r="N82" s="2"/>
      <c r="Q82" s="24"/>
      <c r="AZ82" s="2"/>
      <c r="BG82" s="7"/>
      <c r="BV82" s="7"/>
    </row>
    <row r="83" spans="6:74">
      <c r="N83" s="2"/>
      <c r="Q83" s="24"/>
      <c r="AZ83" s="2"/>
      <c r="BG83" s="7"/>
      <c r="BV83" s="7"/>
    </row>
    <row r="84" spans="6:74">
      <c r="N84" s="2"/>
      <c r="Q84" s="24"/>
      <c r="AZ84" s="2"/>
      <c r="BG84" s="7"/>
      <c r="BV84" s="7"/>
    </row>
    <row r="85" spans="6:74">
      <c r="N85" s="2"/>
      <c r="Q85" s="24"/>
      <c r="AZ85" s="2"/>
      <c r="BG85" s="7"/>
      <c r="BV85" s="7"/>
    </row>
    <row r="86" spans="6:74">
      <c r="N86" s="2"/>
      <c r="Q86" s="24"/>
      <c r="AZ86" s="2"/>
      <c r="BG86" s="7"/>
      <c r="BV86" s="7"/>
    </row>
    <row r="87" spans="6:74">
      <c r="N87" s="2"/>
      <c r="Q87" s="24"/>
      <c r="AZ87" s="2"/>
      <c r="BG87" s="7"/>
      <c r="BV87" s="7"/>
    </row>
    <row r="88" spans="6:74">
      <c r="N88" s="2"/>
      <c r="Q88" s="24"/>
      <c r="AZ88" s="2"/>
      <c r="BG88" s="7"/>
      <c r="BV88" s="7"/>
    </row>
    <row r="89" spans="6:74">
      <c r="N89" s="2"/>
      <c r="Q89" s="24"/>
      <c r="AZ89" s="2"/>
      <c r="BG89" s="7"/>
      <c r="BV89" s="7"/>
    </row>
    <row r="90" spans="6:74">
      <c r="N90" s="2"/>
      <c r="Q90" s="24"/>
      <c r="AZ90" s="2"/>
      <c r="BG90" s="7"/>
      <c r="BV90" s="7"/>
    </row>
    <row r="91" spans="6:74">
      <c r="N91" s="2"/>
      <c r="Q91" s="24"/>
      <c r="AZ91" s="2"/>
      <c r="BG91" s="7"/>
      <c r="BV91" s="7"/>
    </row>
    <row r="92" spans="6:74">
      <c r="N92" s="2"/>
      <c r="Q92" s="24"/>
      <c r="AZ92" s="2"/>
      <c r="BG92" s="7"/>
      <c r="BV92" s="7"/>
    </row>
    <row r="93" spans="6:74">
      <c r="N93" s="2"/>
      <c r="Q93" s="24"/>
      <c r="AZ93" s="2"/>
      <c r="BG93" s="7"/>
      <c r="BV93" s="7"/>
    </row>
    <row r="94" spans="6:74">
      <c r="N94" s="2"/>
      <c r="Q94" s="24"/>
      <c r="AZ94" s="2"/>
      <c r="BG94" s="7"/>
      <c r="BV94" s="7"/>
    </row>
    <row r="95" spans="6:74">
      <c r="N95" s="2"/>
      <c r="Q95" s="24"/>
      <c r="AZ95" s="2"/>
      <c r="BG95" s="7"/>
      <c r="BV95" s="7"/>
    </row>
    <row r="96" spans="6:74">
      <c r="N96" s="2"/>
      <c r="Q96" s="24"/>
      <c r="AZ96" s="2"/>
      <c r="BG96" s="7"/>
      <c r="BV96" s="7"/>
    </row>
    <row r="97" spans="1:74">
      <c r="N97" s="2"/>
      <c r="Q97" s="24"/>
      <c r="AZ97" s="2"/>
      <c r="BG97" s="7"/>
      <c r="BV97" s="7"/>
    </row>
    <row r="98" spans="1:74">
      <c r="N98" s="2"/>
      <c r="Q98" s="24"/>
      <c r="AZ98" s="2"/>
      <c r="BG98" s="7"/>
      <c r="BV98" s="7"/>
    </row>
    <row r="99" spans="1:74">
      <c r="N99" s="2"/>
      <c r="Q99" s="24"/>
      <c r="AZ99" s="2"/>
      <c r="BG99" s="7"/>
      <c r="BV99" s="7"/>
    </row>
    <row r="100" spans="1:74">
      <c r="N100" s="2"/>
      <c r="Q100" s="24"/>
      <c r="AZ100" s="2"/>
      <c r="BG100" s="7"/>
      <c r="BV100" s="7"/>
    </row>
    <row r="101" spans="1:74">
      <c r="N101" s="2"/>
      <c r="Q101" s="24"/>
      <c r="AZ101" s="2"/>
      <c r="BG101" s="7"/>
      <c r="BV101" s="7"/>
    </row>
    <row r="102" spans="1:74">
      <c r="N102" s="2"/>
      <c r="Q102" s="24"/>
      <c r="AZ102" s="2"/>
      <c r="BG102" s="7"/>
      <c r="BV102" s="7"/>
    </row>
    <row r="103" spans="1:74">
      <c r="N103" s="2"/>
      <c r="Q103" s="24"/>
      <c r="AZ103" s="2"/>
      <c r="BG103" s="7"/>
      <c r="BV103" s="7"/>
    </row>
    <row r="104" spans="1:74">
      <c r="N104" s="2"/>
      <c r="Q104" s="24"/>
      <c r="AZ104" s="2"/>
      <c r="BG104" s="7"/>
      <c r="BV104" s="7"/>
    </row>
    <row r="105" spans="1:74">
      <c r="E105" s="29"/>
      <c r="N105" s="2"/>
      <c r="Q105" s="24"/>
      <c r="AZ105" s="2"/>
      <c r="BG105" s="7"/>
      <c r="BV105" s="7"/>
    </row>
    <row r="106" spans="1:74">
      <c r="N106" s="2"/>
      <c r="Q106" s="24"/>
      <c r="AZ106" s="2"/>
      <c r="BG106" s="7"/>
      <c r="BV106" s="7"/>
    </row>
    <row r="107" spans="1:74">
      <c r="N107" s="2"/>
      <c r="Q107" s="24"/>
      <c r="AZ107" s="2"/>
      <c r="BG107" s="7"/>
      <c r="BV107" s="7"/>
    </row>
    <row r="108" spans="1:74">
      <c r="N108" s="2"/>
      <c r="Q108" s="24"/>
      <c r="AZ108" s="2"/>
      <c r="BG108" s="7"/>
      <c r="BV108" s="7"/>
    </row>
    <row r="109" spans="1:74">
      <c r="N109" s="2"/>
      <c r="Q109" s="24"/>
      <c r="AZ109" s="2"/>
      <c r="BG109" s="7"/>
      <c r="BV109" s="7"/>
    </row>
    <row r="110" spans="1:74">
      <c r="N110" s="2"/>
      <c r="Q110" s="24"/>
      <c r="AZ110" s="2"/>
      <c r="BG110" s="7"/>
      <c r="BV110" s="7"/>
    </row>
    <row r="111" spans="1:74">
      <c r="A111" s="9"/>
      <c r="B111" s="3"/>
      <c r="N111" s="2"/>
      <c r="Q111" s="24"/>
      <c r="AZ111" s="2"/>
      <c r="BG111" s="7"/>
      <c r="BV111" s="7"/>
    </row>
    <row r="112" spans="1:74">
      <c r="N112" s="2"/>
      <c r="Q112" s="24"/>
      <c r="AZ112" s="2"/>
      <c r="BG112" s="7"/>
      <c r="BV112" s="7"/>
    </row>
    <row r="113" spans="1:74">
      <c r="N113" s="2"/>
      <c r="Q113" s="24"/>
      <c r="AZ113" s="2"/>
      <c r="BG113" s="7"/>
      <c r="BV113" s="7"/>
    </row>
    <row r="114" spans="1:74">
      <c r="N114" s="2"/>
      <c r="Q114" s="24"/>
      <c r="AZ114" s="2"/>
      <c r="BG114" s="7"/>
      <c r="BV114" s="7"/>
    </row>
    <row r="115" spans="1:74">
      <c r="N115" s="2"/>
      <c r="Q115" s="24"/>
      <c r="AZ115" s="2"/>
      <c r="BG115" s="7"/>
      <c r="BV115" s="7"/>
    </row>
    <row r="116" spans="1:74">
      <c r="N116" s="2"/>
      <c r="Q116" s="24"/>
      <c r="AZ116" s="2"/>
      <c r="BG116" s="7"/>
      <c r="BV116" s="7"/>
    </row>
    <row r="117" spans="1:74">
      <c r="N117" s="2"/>
      <c r="Q117" s="24"/>
      <c r="AZ117" s="2"/>
      <c r="BG117" s="7"/>
      <c r="BV117" s="7"/>
    </row>
    <row r="118" spans="1:74">
      <c r="N118" s="2"/>
      <c r="Q118" s="24"/>
      <c r="AZ118" s="2"/>
      <c r="BG118" s="7"/>
      <c r="BV118" s="7"/>
    </row>
    <row r="119" spans="1:74">
      <c r="N119" s="2"/>
      <c r="Q119" s="24"/>
      <c r="AZ119" s="2"/>
      <c r="BG119" s="7"/>
      <c r="BV119" s="7"/>
    </row>
    <row r="120" spans="1:74">
      <c r="N120" s="2"/>
      <c r="Q120" s="24"/>
      <c r="AZ120" s="2"/>
      <c r="BG120" s="7"/>
      <c r="BV120" s="7"/>
    </row>
    <row r="121" spans="1:74">
      <c r="N121" s="2"/>
      <c r="Q121" s="24"/>
      <c r="AZ121" s="2"/>
      <c r="BG121" s="7"/>
      <c r="BV121" s="7"/>
    </row>
    <row r="122" spans="1:74">
      <c r="N122" s="2"/>
      <c r="Q122" s="24"/>
      <c r="AZ122" s="2"/>
      <c r="BG122" s="7"/>
      <c r="BV122" s="7"/>
    </row>
    <row r="123" spans="1:74">
      <c r="N123" s="2"/>
      <c r="Q123" s="24"/>
      <c r="AZ123" s="2"/>
      <c r="BG123" s="7"/>
      <c r="BV123" s="7"/>
    </row>
    <row r="124" spans="1:74">
      <c r="N124" s="2"/>
      <c r="Q124" s="24"/>
      <c r="AZ124" s="2"/>
      <c r="BG124" s="7"/>
      <c r="BV124" s="7"/>
    </row>
    <row r="125" spans="1:74">
      <c r="N125" s="2"/>
      <c r="Q125" s="24"/>
      <c r="AZ125" s="2"/>
      <c r="BG125" s="7"/>
      <c r="BV125" s="7"/>
    </row>
    <row r="126" spans="1:74">
      <c r="N126" s="2"/>
      <c r="Q126" s="24"/>
      <c r="AZ126" s="2"/>
      <c r="BG126" s="7"/>
      <c r="BV126" s="7"/>
    </row>
    <row r="127" spans="1:74">
      <c r="N127" s="2"/>
      <c r="Q127" s="24"/>
      <c r="AZ127" s="2"/>
      <c r="BG127" s="7"/>
      <c r="BV127" s="7"/>
    </row>
    <row r="128" spans="1:74">
      <c r="A128" s="3"/>
      <c r="N128" s="2"/>
      <c r="Q128" s="24"/>
      <c r="AZ128" s="2"/>
      <c r="BG128" s="7"/>
      <c r="BV128" s="7"/>
    </row>
    <row r="129" spans="1:74">
      <c r="A129" s="3"/>
      <c r="N129" s="2"/>
      <c r="Q129" s="24"/>
      <c r="AZ129" s="2"/>
      <c r="BG129" s="7"/>
      <c r="BV129" s="7"/>
    </row>
    <row r="130" spans="1:74">
      <c r="A130" s="3"/>
      <c r="B130" s="3"/>
      <c r="N130" s="2"/>
      <c r="Q130" s="24"/>
      <c r="AZ130" s="2"/>
      <c r="BG130" s="7"/>
      <c r="BV130" s="7"/>
    </row>
    <row r="131" spans="1:74">
      <c r="N131" s="2"/>
      <c r="Q131" s="24"/>
      <c r="AZ131" s="2"/>
      <c r="BG131" s="7"/>
      <c r="BV131" s="7"/>
    </row>
    <row r="132" spans="1:74">
      <c r="A132" s="3"/>
      <c r="B132" s="3"/>
      <c r="N132" s="2"/>
      <c r="Q132" s="24"/>
      <c r="AZ132" s="2"/>
      <c r="BG132" s="7"/>
      <c r="BV132" s="7"/>
    </row>
    <row r="133" spans="1:74">
      <c r="N133" s="2"/>
      <c r="Q133" s="24"/>
      <c r="AZ133" s="2"/>
      <c r="BG133" s="7"/>
      <c r="BV133" s="7"/>
    </row>
    <row r="134" spans="1:74">
      <c r="A134" s="3"/>
      <c r="B134" s="3"/>
      <c r="N134" s="2"/>
      <c r="Q134" s="24"/>
      <c r="AZ134" s="2"/>
      <c r="BG134" s="7"/>
      <c r="BV134" s="7"/>
    </row>
    <row r="135" spans="1:74">
      <c r="N135" s="2"/>
      <c r="Q135" s="24"/>
      <c r="AZ135" s="2"/>
      <c r="BG135" s="7"/>
      <c r="BV135" s="7"/>
    </row>
    <row r="136" spans="1:74">
      <c r="A136" s="3"/>
      <c r="B136" s="3"/>
      <c r="N136" s="2"/>
      <c r="Q136" s="24"/>
      <c r="AZ136" s="2"/>
      <c r="BG136" s="7"/>
      <c r="BV136" s="7"/>
    </row>
    <row r="137" spans="1:74">
      <c r="N137" s="2"/>
      <c r="Q137" s="24"/>
      <c r="AZ137" s="2"/>
      <c r="BG137" s="7"/>
      <c r="BV137" s="7"/>
    </row>
    <row r="138" spans="1:74">
      <c r="A138" s="3"/>
      <c r="B138" s="3"/>
      <c r="N138" s="2"/>
      <c r="Q138" s="24"/>
      <c r="AZ138" s="2"/>
      <c r="BG138" s="7"/>
      <c r="BV138" s="7"/>
    </row>
    <row r="139" spans="1:74">
      <c r="N139" s="2"/>
      <c r="Q139" s="24"/>
      <c r="AZ139" s="2"/>
      <c r="BG139" s="7"/>
      <c r="BV139" s="7"/>
    </row>
    <row r="140" spans="1:74">
      <c r="A140" s="3"/>
      <c r="B140" s="3"/>
      <c r="N140" s="2"/>
      <c r="Q140" s="24"/>
      <c r="AZ140" s="2"/>
      <c r="BG140" s="7"/>
      <c r="BV140" s="7"/>
    </row>
    <row r="141" spans="1:74">
      <c r="N141" s="2"/>
      <c r="Q141" s="24"/>
      <c r="AZ141" s="2"/>
      <c r="BG141" s="7"/>
      <c r="BV141" s="7"/>
    </row>
    <row r="142" spans="1:74">
      <c r="A142" s="3"/>
      <c r="B142" s="3"/>
      <c r="N142" s="2"/>
      <c r="Q142" s="24"/>
      <c r="AZ142" s="2"/>
      <c r="BG142" s="7"/>
      <c r="BV142" s="7"/>
    </row>
    <row r="143" spans="1:74">
      <c r="N143" s="2"/>
      <c r="Q143" s="24"/>
      <c r="AZ143" s="2"/>
      <c r="BG143" s="7"/>
      <c r="BV143" s="7"/>
    </row>
    <row r="144" spans="1:74">
      <c r="A144" s="3"/>
      <c r="B144" s="3"/>
      <c r="N144" s="2"/>
      <c r="Q144" s="24"/>
      <c r="AZ144" s="2"/>
      <c r="BG144" s="7"/>
      <c r="BV144" s="7"/>
    </row>
    <row r="145" spans="1:74">
      <c r="N145" s="2"/>
      <c r="Q145" s="24"/>
      <c r="AZ145" s="2"/>
      <c r="BG145" s="7"/>
      <c r="BV145" s="7"/>
    </row>
    <row r="146" spans="1:74">
      <c r="N146" s="2"/>
      <c r="Q146" s="24"/>
      <c r="AZ146" s="2"/>
      <c r="BG146" s="7"/>
      <c r="BV146" s="7"/>
    </row>
    <row r="147" spans="1:74">
      <c r="N147" s="2"/>
      <c r="Q147" s="24"/>
      <c r="AZ147" s="2"/>
      <c r="BG147" s="7"/>
      <c r="BV147" s="7"/>
    </row>
    <row r="148" spans="1:74">
      <c r="A148" s="3"/>
      <c r="N148" s="2"/>
      <c r="Q148" s="24"/>
      <c r="AZ148" s="2"/>
      <c r="BG148" s="7"/>
      <c r="BV148" s="7"/>
    </row>
    <row r="149" spans="1:74">
      <c r="A149" s="3"/>
      <c r="N149" s="2"/>
      <c r="Q149" s="24"/>
      <c r="AZ149" s="2"/>
      <c r="BG149" s="7"/>
      <c r="BV149" s="7"/>
    </row>
    <row r="150" spans="1:74">
      <c r="A150" s="3"/>
      <c r="B150" s="3"/>
      <c r="N150" s="2"/>
      <c r="Q150" s="24"/>
      <c r="AZ150" s="2"/>
      <c r="BG150" s="7"/>
      <c r="BV150" s="7"/>
    </row>
    <row r="151" spans="1:74">
      <c r="B151" s="3"/>
      <c r="N151" s="2"/>
      <c r="Q151" s="24"/>
      <c r="AZ151" s="2"/>
      <c r="BG151" s="7"/>
      <c r="BV151" s="7"/>
    </row>
    <row r="152" spans="1:74">
      <c r="B152" s="3"/>
      <c r="N152" s="2"/>
      <c r="Q152" s="24"/>
      <c r="AZ152" s="2"/>
      <c r="BG152" s="7"/>
      <c r="BV152" s="7"/>
    </row>
    <row r="153" spans="1:74">
      <c r="B153" s="3"/>
      <c r="N153" s="2"/>
      <c r="Q153" s="24"/>
      <c r="AZ153" s="2"/>
      <c r="BG153" s="7"/>
      <c r="BV153" s="7"/>
    </row>
    <row r="154" spans="1:74">
      <c r="B154" s="3"/>
      <c r="N154" s="2"/>
      <c r="Q154" s="24"/>
      <c r="AZ154" s="2"/>
      <c r="BG154" s="7"/>
      <c r="BV154" s="7"/>
    </row>
    <row r="155" spans="1:74">
      <c r="B155" s="3"/>
      <c r="N155" s="2"/>
      <c r="Q155" s="24"/>
      <c r="AZ155" s="2"/>
      <c r="BG155" s="7"/>
      <c r="BV155" s="7"/>
    </row>
    <row r="156" spans="1:74">
      <c r="B156" s="3"/>
      <c r="N156" s="2"/>
      <c r="Q156" s="24"/>
      <c r="AZ156" s="2"/>
      <c r="BG156" s="7"/>
      <c r="BV156" s="7"/>
    </row>
    <row r="157" spans="1:74">
      <c r="B157" s="3"/>
      <c r="N157" s="2"/>
      <c r="Q157" s="24"/>
      <c r="AZ157" s="2"/>
      <c r="BG157" s="7"/>
      <c r="BV157" s="7"/>
    </row>
    <row r="158" spans="1:74">
      <c r="N158" s="2"/>
      <c r="Q158" s="24"/>
      <c r="AZ158" s="2"/>
      <c r="BG158" s="7"/>
      <c r="BV158" s="7"/>
    </row>
    <row r="159" spans="1:74">
      <c r="N159" s="2"/>
      <c r="Q159" s="24"/>
      <c r="AZ159" s="2"/>
      <c r="BG159" s="7"/>
      <c r="BV159" s="7"/>
    </row>
    <row r="160" spans="1:74">
      <c r="N160" s="2"/>
      <c r="Q160" s="24"/>
      <c r="AZ160" s="2"/>
      <c r="BG160" s="7"/>
      <c r="BV160" s="7"/>
    </row>
    <row r="161" spans="1:74">
      <c r="A161" s="3"/>
      <c r="B161" s="3"/>
      <c r="N161" s="2"/>
      <c r="Q161" s="24"/>
      <c r="AZ161" s="2"/>
      <c r="BG161" s="7"/>
      <c r="BV161" s="7"/>
    </row>
    <row r="162" spans="1:74">
      <c r="B162" s="3"/>
      <c r="N162" s="2"/>
      <c r="Q162" s="24"/>
      <c r="AZ162" s="2"/>
      <c r="BG162" s="7"/>
      <c r="BV162" s="7"/>
    </row>
    <row r="163" spans="1:74">
      <c r="N163" s="2"/>
      <c r="Q163" s="24"/>
      <c r="AZ163" s="2"/>
      <c r="BG163" s="7"/>
      <c r="BV163" s="7"/>
    </row>
    <row r="164" spans="1:74">
      <c r="N164" s="2"/>
      <c r="Q164" s="24"/>
      <c r="AZ164" s="2"/>
      <c r="BG164" s="7"/>
      <c r="BV164" s="7"/>
    </row>
    <row r="165" spans="1:74">
      <c r="N165" s="2"/>
      <c r="Q165" s="24"/>
      <c r="AZ165" s="2"/>
      <c r="BG165" s="7"/>
      <c r="BV165" s="7"/>
    </row>
    <row r="166" spans="1:74">
      <c r="N166" s="2"/>
      <c r="Q166" s="24"/>
      <c r="AZ166" s="2"/>
      <c r="BG166" s="7"/>
      <c r="BV166" s="7"/>
    </row>
    <row r="167" spans="1:74">
      <c r="N167" s="2"/>
      <c r="Q167" s="24"/>
      <c r="AZ167" s="2"/>
      <c r="BG167" s="7"/>
      <c r="BV167" s="7"/>
    </row>
    <row r="168" spans="1:74">
      <c r="A168" s="3"/>
      <c r="N168" s="2"/>
      <c r="Q168" s="24"/>
      <c r="AZ168" s="2"/>
      <c r="BG168" s="7"/>
      <c r="BV168" s="7"/>
    </row>
    <row r="169" spans="1:74">
      <c r="A169" s="3"/>
      <c r="N169" s="2"/>
      <c r="Q169" s="24"/>
      <c r="AZ169" s="2"/>
      <c r="BG169" s="7"/>
      <c r="BV169" s="7"/>
    </row>
    <row r="170" spans="1:74">
      <c r="A170" s="3"/>
      <c r="B170" s="3"/>
      <c r="N170" s="2"/>
      <c r="Q170" s="24"/>
      <c r="AZ170" s="2"/>
      <c r="BG170" s="7"/>
      <c r="BV170" s="7"/>
    </row>
    <row r="171" spans="1:74">
      <c r="B171" s="3"/>
      <c r="N171" s="2"/>
      <c r="Q171" s="24"/>
      <c r="AZ171" s="2"/>
      <c r="BG171" s="7"/>
      <c r="BV171" s="7"/>
    </row>
    <row r="172" spans="1:74">
      <c r="A172" s="3"/>
      <c r="B172" s="3"/>
      <c r="N172" s="2"/>
      <c r="Q172" s="24"/>
      <c r="AZ172" s="2"/>
      <c r="BG172" s="7"/>
      <c r="BV172" s="7"/>
    </row>
    <row r="173" spans="1:74">
      <c r="N173" s="2"/>
      <c r="Q173" s="24"/>
      <c r="AZ173" s="2"/>
      <c r="BG173" s="7"/>
      <c r="BV173" s="7"/>
    </row>
    <row r="174" spans="1:74">
      <c r="N174" s="2"/>
      <c r="Q174" s="24"/>
      <c r="AZ174" s="2"/>
      <c r="BG174" s="7"/>
      <c r="BV174" s="7"/>
    </row>
    <row r="175" spans="1:74">
      <c r="AZ175" s="2"/>
      <c r="BC175" s="7"/>
    </row>
    <row r="176" spans="1:74">
      <c r="AZ176" s="2"/>
      <c r="BC176" s="7"/>
    </row>
    <row r="177" spans="52:55">
      <c r="AZ177" s="2"/>
      <c r="BC177" s="7"/>
    </row>
    <row r="178" spans="52:55">
      <c r="AZ178" s="2"/>
      <c r="BC178" s="7"/>
    </row>
    <row r="179" spans="52:55">
      <c r="AZ179" s="2"/>
      <c r="BC179" s="7"/>
    </row>
    <row r="180" spans="52:55">
      <c r="AZ180" s="2"/>
      <c r="BC180" s="7"/>
    </row>
    <row r="181" spans="52:55">
      <c r="AZ181" s="2"/>
      <c r="BC181" s="7"/>
    </row>
    <row r="182" spans="52:55">
      <c r="AZ182" s="2"/>
      <c r="BC182" s="7"/>
    </row>
    <row r="183" spans="52:55">
      <c r="AZ183" s="2"/>
      <c r="BC183" s="7"/>
    </row>
    <row r="184" spans="52:55">
      <c r="AZ184" s="2"/>
      <c r="BC184" s="7"/>
    </row>
    <row r="185" spans="52:55">
      <c r="AZ185" s="2"/>
      <c r="BC185" s="7"/>
    </row>
    <row r="186" spans="52:55">
      <c r="AZ186" s="2"/>
      <c r="BC186" s="7"/>
    </row>
    <row r="187" spans="52:55">
      <c r="AZ187" s="2"/>
      <c r="BC187" s="7"/>
    </row>
    <row r="188" spans="52:55">
      <c r="AZ188" s="2"/>
      <c r="BC188" s="7"/>
    </row>
    <row r="189" spans="52:55">
      <c r="AZ189" s="2"/>
      <c r="BC189" s="7"/>
    </row>
    <row r="190" spans="52:55">
      <c r="AZ190" s="2"/>
      <c r="BC190" s="7"/>
    </row>
    <row r="191" spans="52:55">
      <c r="AZ191" s="2"/>
      <c r="BC191" s="7"/>
    </row>
    <row r="192" spans="52:55">
      <c r="AZ192" s="2"/>
      <c r="BC192" s="7"/>
    </row>
    <row r="193" spans="52:55">
      <c r="AZ193" s="2"/>
      <c r="BC193" s="7"/>
    </row>
    <row r="194" spans="52:55">
      <c r="AZ194" s="2"/>
      <c r="BC194" s="7"/>
    </row>
    <row r="195" spans="52:55">
      <c r="AZ195" s="2"/>
      <c r="BC195" s="7"/>
    </row>
    <row r="196" spans="52:55">
      <c r="AZ196" s="2"/>
      <c r="BC196" s="7"/>
    </row>
    <row r="197" spans="52:55">
      <c r="AZ197" s="2"/>
      <c r="BC197" s="7"/>
    </row>
    <row r="198" spans="52:55">
      <c r="AZ198" s="2"/>
      <c r="BC198" s="7"/>
    </row>
    <row r="199" spans="52:55">
      <c r="AZ199" s="2"/>
      <c r="BC199" s="7"/>
    </row>
    <row r="200" spans="52:55">
      <c r="AZ200" s="2"/>
      <c r="BC200" s="7"/>
    </row>
    <row r="201" spans="52:55">
      <c r="AZ201" s="2"/>
      <c r="BC201" s="7"/>
    </row>
    <row r="202" spans="52:55">
      <c r="AZ202" s="2"/>
      <c r="BC202" s="7"/>
    </row>
    <row r="203" spans="52:55">
      <c r="AZ203" s="2"/>
      <c r="BC203" s="7"/>
    </row>
    <row r="204" spans="52:55">
      <c r="AZ204" s="2"/>
      <c r="BC204" s="7"/>
    </row>
    <row r="205" spans="52:55">
      <c r="AZ205" s="2"/>
      <c r="BC205" s="7"/>
    </row>
    <row r="206" spans="52:55">
      <c r="AZ206" s="2"/>
      <c r="BC206" s="7"/>
    </row>
    <row r="207" spans="52:55">
      <c r="AZ207" s="2"/>
      <c r="BC207" s="7"/>
    </row>
    <row r="208" spans="52:55">
      <c r="AZ208" s="2"/>
      <c r="BC208" s="7"/>
    </row>
    <row r="209" spans="52:55">
      <c r="AZ209" s="2"/>
      <c r="BC209" s="7"/>
    </row>
    <row r="210" spans="52:55">
      <c r="AZ210" s="2"/>
      <c r="BC210" s="7"/>
    </row>
    <row r="211" spans="52:55">
      <c r="AZ211" s="2"/>
      <c r="BC211" s="7"/>
    </row>
    <row r="212" spans="52:55">
      <c r="AZ212" s="2"/>
      <c r="BC212" s="7"/>
    </row>
    <row r="213" spans="52:55">
      <c r="AZ213" s="2"/>
      <c r="BC213" s="7"/>
    </row>
    <row r="214" spans="52:55">
      <c r="AZ214" s="2"/>
      <c r="BC214" s="7"/>
    </row>
    <row r="215" spans="52:55">
      <c r="AZ215" s="2"/>
      <c r="BC215" s="7"/>
    </row>
    <row r="216" spans="52:55">
      <c r="AZ216" s="2"/>
      <c r="BC216" s="7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DC69865291C4A91E33D3B00BE6A70" ma:contentTypeVersion="3" ma:contentTypeDescription="Create a new document." ma:contentTypeScope="" ma:versionID="dd5a4c2ee67306aa9dcece55cd17192e">
  <xsd:schema xmlns:xsd="http://www.w3.org/2001/XMLSchema" xmlns:xs="http://www.w3.org/2001/XMLSchema" xmlns:p="http://schemas.microsoft.com/office/2006/metadata/properties" xmlns:ns2="2f1a765f-7fe7-4b5a-a26a-8977ef9ad3b1" targetNamespace="http://schemas.microsoft.com/office/2006/metadata/properties" ma:root="true" ma:fieldsID="3d89a172c8048ef9b026e590bae11cda" ns2:_="">
    <xsd:import namespace="2f1a765f-7fe7-4b5a-a26a-8977ef9ad3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a765f-7fe7-4b5a-a26a-8977ef9ad3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469F71-6C7A-4A91-A6B0-ACCBBEDF292E}">
  <ds:schemaRefs>
    <ds:schemaRef ds:uri="2f1a765f-7fe7-4b5a-a26a-8977ef9ad3b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D5D256-85DD-4AD0-AF01-2D257A5B9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1a765f-7fe7-4b5a-a26a-8977ef9ad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67AB2-446F-4917-A9A7-CA5F846AB2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114</vt:i4>
      </vt:variant>
    </vt:vector>
  </HeadingPairs>
  <TitlesOfParts>
    <vt:vector size="129" baseType="lpstr">
      <vt:lpstr>Total Program Inputs</vt:lpstr>
      <vt:lpstr>Database Inputs</vt:lpstr>
      <vt:lpstr>Gas Input Table Summary</vt:lpstr>
      <vt:lpstr>Gas Costs</vt:lpstr>
      <vt:lpstr>T bill</vt:lpstr>
      <vt:lpstr>Summary by Yr</vt:lpstr>
      <vt:lpstr>Summary of Ratios</vt:lpstr>
      <vt:lpstr>Total Program</vt:lpstr>
      <vt:lpstr>Res .95+% Res Furnace - NEW</vt:lpstr>
      <vt:lpstr>Res .95+% Res Furnace - Replace</vt:lpstr>
      <vt:lpstr>Programmable Tstats - Tier 1</vt:lpstr>
      <vt:lpstr>Programmable Tstats - Tier 2</vt:lpstr>
      <vt:lpstr>Comm 95+% Furnace - NEW</vt:lpstr>
      <vt:lpstr>Comm 95+% Furnace - Replace</vt:lpstr>
      <vt:lpstr>Comm Custom</vt:lpstr>
      <vt:lpstr>'Comm 95+% Furnace - NEW'!\A</vt:lpstr>
      <vt:lpstr>'Comm 95+% Furnace - Replace'!\A</vt:lpstr>
      <vt:lpstr>'Comm Custom'!\A</vt:lpstr>
      <vt:lpstr>'Programmable Tstats - Tier 1'!\A</vt:lpstr>
      <vt:lpstr>'Programmable Tstats - Tier 2'!\A</vt:lpstr>
      <vt:lpstr>'Res .95+% Res Furnace - NEW'!\A</vt:lpstr>
      <vt:lpstr>'Res .95+% Res Furnace - Replace'!\A</vt:lpstr>
      <vt:lpstr>'Total Program'!\A</vt:lpstr>
      <vt:lpstr>'Comm 95+% Furnace - NEW'!\B</vt:lpstr>
      <vt:lpstr>'Comm 95+% Furnace - Replace'!\B</vt:lpstr>
      <vt:lpstr>'Comm Custom'!\B</vt:lpstr>
      <vt:lpstr>'Programmable Tstats - Tier 1'!\B</vt:lpstr>
      <vt:lpstr>'Programmable Tstats - Tier 2'!\B</vt:lpstr>
      <vt:lpstr>'Res .95+% Res Furnace - NEW'!\B</vt:lpstr>
      <vt:lpstr>'Res .95+% Res Furnace - Replace'!\B</vt:lpstr>
      <vt:lpstr>'Total Program'!\B</vt:lpstr>
      <vt:lpstr>'Comm 95+% Furnace - NEW'!\C</vt:lpstr>
      <vt:lpstr>'Comm 95+% Furnace - Replace'!\C</vt:lpstr>
      <vt:lpstr>'Comm Custom'!\C</vt:lpstr>
      <vt:lpstr>'Programmable Tstats - Tier 1'!\C</vt:lpstr>
      <vt:lpstr>'Programmable Tstats - Tier 2'!\C</vt:lpstr>
      <vt:lpstr>'Res .95+% Res Furnace - NEW'!\C</vt:lpstr>
      <vt:lpstr>'Res .95+% Res Furnace - Replace'!\C</vt:lpstr>
      <vt:lpstr>'Total Program'!\C</vt:lpstr>
      <vt:lpstr>'Comm 95+% Furnace - NEW'!\D</vt:lpstr>
      <vt:lpstr>'Comm 95+% Furnace - Replace'!\D</vt:lpstr>
      <vt:lpstr>'Comm Custom'!\D</vt:lpstr>
      <vt:lpstr>'Programmable Tstats - Tier 1'!\D</vt:lpstr>
      <vt:lpstr>'Programmable Tstats - Tier 2'!\D</vt:lpstr>
      <vt:lpstr>'Res .95+% Res Furnace - NEW'!\D</vt:lpstr>
      <vt:lpstr>'Res .95+% Res Furnace - Replace'!\D</vt:lpstr>
      <vt:lpstr>'Total Program'!\D</vt:lpstr>
      <vt:lpstr>'Comm 95+% Furnace - NEW'!\I</vt:lpstr>
      <vt:lpstr>'Comm 95+% Furnace - Replace'!\I</vt:lpstr>
      <vt:lpstr>'Comm Custom'!\I</vt:lpstr>
      <vt:lpstr>'Programmable Tstats - Tier 1'!\I</vt:lpstr>
      <vt:lpstr>'Programmable Tstats - Tier 2'!\I</vt:lpstr>
      <vt:lpstr>'Res .95+% Res Furnace - NEW'!\I</vt:lpstr>
      <vt:lpstr>'Res .95+% Res Furnace - Replace'!\I</vt:lpstr>
      <vt:lpstr>'Total Program'!\I</vt:lpstr>
      <vt:lpstr>'Comm 95+% Furnace - NEW'!\J</vt:lpstr>
      <vt:lpstr>'Comm 95+% Furnace - Replace'!\J</vt:lpstr>
      <vt:lpstr>'Comm Custom'!\J</vt:lpstr>
      <vt:lpstr>'Programmable Tstats - Tier 1'!\J</vt:lpstr>
      <vt:lpstr>'Programmable Tstats - Tier 2'!\J</vt:lpstr>
      <vt:lpstr>'Res .95+% Res Furnace - NEW'!\J</vt:lpstr>
      <vt:lpstr>'Res .95+% Res Furnace - Replace'!\J</vt:lpstr>
      <vt:lpstr>'Total Program'!\J</vt:lpstr>
      <vt:lpstr>'Comm 95+% Furnace - NEW'!\P</vt:lpstr>
      <vt:lpstr>'Comm 95+% Furnace - Replace'!\P</vt:lpstr>
      <vt:lpstr>'Comm Custom'!\P</vt:lpstr>
      <vt:lpstr>'Programmable Tstats - Tier 1'!\P</vt:lpstr>
      <vt:lpstr>'Programmable Tstats - Tier 2'!\P</vt:lpstr>
      <vt:lpstr>'Res .95+% Res Furnace - NEW'!\P</vt:lpstr>
      <vt:lpstr>'Res .95+% Res Furnace - Replace'!\P</vt:lpstr>
      <vt:lpstr>'Total Program'!\P</vt:lpstr>
      <vt:lpstr>'Comm 95+% Furnace - NEW'!\Q</vt:lpstr>
      <vt:lpstr>'Comm 95+% Furnace - Replace'!\Q</vt:lpstr>
      <vt:lpstr>'Comm Custom'!\Q</vt:lpstr>
      <vt:lpstr>'Programmable Tstats - Tier 1'!\Q</vt:lpstr>
      <vt:lpstr>'Programmable Tstats - Tier 2'!\Q</vt:lpstr>
      <vt:lpstr>'Res .95+% Res Furnace - NEW'!\Q</vt:lpstr>
      <vt:lpstr>'Res .95+% Res Furnace - Replace'!\Q</vt:lpstr>
      <vt:lpstr>'Total Program'!\Q</vt:lpstr>
      <vt:lpstr>'Comm 95+% Furnace - NEW'!\R</vt:lpstr>
      <vt:lpstr>'Comm 95+% Furnace - Replace'!\R</vt:lpstr>
      <vt:lpstr>'Comm Custom'!\R</vt:lpstr>
      <vt:lpstr>'Programmable Tstats - Tier 1'!\R</vt:lpstr>
      <vt:lpstr>'Programmable Tstats - Tier 2'!\R</vt:lpstr>
      <vt:lpstr>'Res .95+% Res Furnace - NEW'!\R</vt:lpstr>
      <vt:lpstr>'Res .95+% Res Furnace - Replace'!\R</vt:lpstr>
      <vt:lpstr>'Total Program'!\R</vt:lpstr>
      <vt:lpstr>'Comm 95+% Furnace - NEW'!\S</vt:lpstr>
      <vt:lpstr>'Comm 95+% Furnace - Replace'!\S</vt:lpstr>
      <vt:lpstr>'Comm Custom'!\S</vt:lpstr>
      <vt:lpstr>'Programmable Tstats - Tier 1'!\S</vt:lpstr>
      <vt:lpstr>'Programmable Tstats - Tier 2'!\S</vt:lpstr>
      <vt:lpstr>'Res .95+% Res Furnace - NEW'!\S</vt:lpstr>
      <vt:lpstr>'Res .95+% Res Furnace - Replace'!\S</vt:lpstr>
      <vt:lpstr>'Total Program'!\S</vt:lpstr>
      <vt:lpstr>'Comm 95+% Furnace - NEW'!\X</vt:lpstr>
      <vt:lpstr>'Comm 95+% Furnace - Replace'!\X</vt:lpstr>
      <vt:lpstr>'Comm Custom'!\X</vt:lpstr>
      <vt:lpstr>'Programmable Tstats - Tier 1'!\X</vt:lpstr>
      <vt:lpstr>'Programmable Tstats - Tier 2'!\X</vt:lpstr>
      <vt:lpstr>'Res .95+% Res Furnace - NEW'!\X</vt:lpstr>
      <vt:lpstr>'Res .95+% Res Furnace - Replace'!\X</vt:lpstr>
      <vt:lpstr>'Total Program'!\X</vt:lpstr>
      <vt:lpstr>'Comm 95+% Furnace - NEW'!_A</vt:lpstr>
      <vt:lpstr>'Comm 95+% Furnace - Replace'!_A</vt:lpstr>
      <vt:lpstr>'Comm Custom'!_A</vt:lpstr>
      <vt:lpstr>'Programmable Tstats - Tier 1'!_A</vt:lpstr>
      <vt:lpstr>'Programmable Tstats - Tier 2'!_A</vt:lpstr>
      <vt:lpstr>'Res .95+% Res Furnace - NEW'!_A</vt:lpstr>
      <vt:lpstr>'Res .95+% Res Furnace - Replace'!_A</vt:lpstr>
      <vt:lpstr>'Total Program'!_A</vt:lpstr>
      <vt:lpstr>'Comm 95+% Furnace - NEW'!Print_Area</vt:lpstr>
      <vt:lpstr>'Comm 95+% Furnace - Replace'!Print_Area</vt:lpstr>
      <vt:lpstr>'Comm Custom'!Print_Area</vt:lpstr>
      <vt:lpstr>'Database Inputs'!Print_Area</vt:lpstr>
      <vt:lpstr>'Gas Costs'!Print_Area</vt:lpstr>
      <vt:lpstr>'Gas Input Table Summary'!Print_Area</vt:lpstr>
      <vt:lpstr>'Programmable Tstats - Tier 1'!Print_Area</vt:lpstr>
      <vt:lpstr>'Programmable Tstats - Tier 2'!Print_Area</vt:lpstr>
      <vt:lpstr>'Res .95+% Res Furnace - NEW'!Print_Area</vt:lpstr>
      <vt:lpstr>'Res .95+% Res Furnace - Replace'!Print_Area</vt:lpstr>
      <vt:lpstr>'Summary by Yr'!Print_Area</vt:lpstr>
      <vt:lpstr>'Summary of Ratios'!Print_Area</vt:lpstr>
      <vt:lpstr>'T bill'!Print_Area</vt:lpstr>
      <vt:lpstr>'Total Program'!Print_Area</vt:lpstr>
      <vt:lpstr>'Total Program Inputs'!Print_Area</vt:lpstr>
      <vt:lpstr>'Database Inputs'!Print_Titles</vt:lpstr>
      <vt:lpstr>'Gas Input Table Summary'!Print_Titles</vt:lpstr>
      <vt:lpstr>'Summary of Ratios'!Print_Titles</vt:lpstr>
    </vt:vector>
  </TitlesOfParts>
  <Company>Montana Dakota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WBIH</dc:creator>
  <cp:lastModifiedBy>Merriman, Janeth</cp:lastModifiedBy>
  <cp:lastPrinted>2026-01-20T21:13:01Z</cp:lastPrinted>
  <dcterms:created xsi:type="dcterms:W3CDTF">2009-02-06T16:17:42Z</dcterms:created>
  <dcterms:modified xsi:type="dcterms:W3CDTF">2026-02-19T15:28:03Z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2024-09-25T02:13:51Z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b048b8de-f3aa-41bc-97ec-351611cb8f94</vt:lpwstr>
  </property>
  <property fmtid="{D5CDD505-2E9C-101B-9397-08002B2CF9AE}" pid="8" name="MSIP_Label_1da8032d-c4fe-48b8-9054-92634c9ea061_ContentBits">
    <vt:lpwstr>0</vt:lpwstr>
  </property>
  <property fmtid="{D5CDD505-2E9C-101B-9397-08002B2CF9AE}" pid="9" name="ContentTypeId">
    <vt:lpwstr>0x010100181DC69865291C4A91E33D3B00BE6A70</vt:lpwstr>
  </property>
  <property fmtid="{D5CDD505-2E9C-101B-9397-08002B2CF9AE}" pid="10" name="MSIP_Label_ec3b1a8e-41ed-4bc7-92d1-0305fbefd661_Enabled">
    <vt:lpwstr>true</vt:lpwstr>
  </property>
  <property fmtid="{D5CDD505-2E9C-101B-9397-08002B2CF9AE}" pid="11" name="MSIP_Label_ec3b1a8e-41ed-4bc7-92d1-0305fbefd661_SetDate">
    <vt:lpwstr>2026-02-19T15:27:20Z</vt:lpwstr>
  </property>
  <property fmtid="{D5CDD505-2E9C-101B-9397-08002B2CF9AE}" pid="12" name="MSIP_Label_ec3b1a8e-41ed-4bc7-92d1-0305fbefd661_Method">
    <vt:lpwstr>Standard</vt:lpwstr>
  </property>
  <property fmtid="{D5CDD505-2E9C-101B-9397-08002B2CF9AE}" pid="13" name="MSIP_Label_ec3b1a8e-41ed-4bc7-92d1-0305fbefd661_Name">
    <vt:lpwstr>M365-General - Anyone (Unrestricted)-Prod</vt:lpwstr>
  </property>
  <property fmtid="{D5CDD505-2E9C-101B-9397-08002B2CF9AE}" pid="14" name="MSIP_Label_ec3b1a8e-41ed-4bc7-92d1-0305fbefd661_SiteId">
    <vt:lpwstr>70af547c-69ab-416d-b4a6-543b5ce52b99</vt:lpwstr>
  </property>
  <property fmtid="{D5CDD505-2E9C-101B-9397-08002B2CF9AE}" pid="15" name="MSIP_Label_ec3b1a8e-41ed-4bc7-92d1-0305fbefd661_ActionId">
    <vt:lpwstr>6b287373-67dc-47c7-894c-f55765c956d2</vt:lpwstr>
  </property>
  <property fmtid="{D5CDD505-2E9C-101B-9397-08002B2CF9AE}" pid="16" name="MSIP_Label_ec3b1a8e-41ed-4bc7-92d1-0305fbefd661_ContentBits">
    <vt:lpwstr>0</vt:lpwstr>
  </property>
  <property fmtid="{D5CDD505-2E9C-101B-9397-08002B2CF9AE}" pid="17" name="MSIP_Label_ec3b1a8e-41ed-4bc7-92d1-0305fbefd661_Tag">
    <vt:lpwstr>10, 3, 0, 1</vt:lpwstr>
  </property>
</Properties>
</file>