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2\NG22-011\"/>
    </mc:Choice>
  </mc:AlternateContent>
  <xr:revisionPtr revIDLastSave="0" documentId="8_{AE57D8C0-13CC-437B-BA2E-82B96F0444E5}" xr6:coauthVersionLast="47" xr6:coauthVersionMax="47" xr10:uidLastSave="{00000000-0000-0000-0000-000000000000}"/>
  <bookViews>
    <workbookView xWindow="25800" yWindow="0" windowWidth="25800" windowHeight="10500" xr2:uid="{0B631343-C9D6-4FB9-8249-1F409AE5D87F}"/>
  </bookViews>
  <sheets>
    <sheet name="Customer Economics" sheetId="1" r:id="rId1"/>
  </sheets>
  <definedNames>
    <definedName name="_xlnm.Print_Area" localSheetId="0">'Customer Economics'!$A:$W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2" i="1"/>
  <c r="I21" i="1"/>
  <c r="I20" i="1"/>
  <c r="I19" i="1"/>
  <c r="I13" i="1"/>
  <c r="I12" i="1"/>
  <c r="I11" i="1"/>
  <c r="M29" i="1"/>
  <c r="M30" i="1"/>
  <c r="M31" i="1"/>
  <c r="M28" i="1"/>
  <c r="M20" i="1"/>
  <c r="M21" i="1"/>
  <c r="M22" i="1"/>
  <c r="M19" i="1"/>
  <c r="M11" i="1"/>
  <c r="M12" i="1"/>
  <c r="M13" i="1"/>
  <c r="M10" i="1"/>
  <c r="K31" i="1" l="1"/>
  <c r="K30" i="1"/>
  <c r="O30" i="1" s="1"/>
  <c r="K29" i="1"/>
  <c r="O29" i="1" s="1"/>
  <c r="K28" i="1"/>
  <c r="O28" i="1" s="1"/>
  <c r="K22" i="1"/>
  <c r="K21" i="1"/>
  <c r="K20" i="1"/>
  <c r="K19" i="1"/>
  <c r="K11" i="1"/>
  <c r="K12" i="1"/>
  <c r="K13" i="1"/>
  <c r="O31" i="1"/>
  <c r="U28" i="1" l="1"/>
  <c r="W28" i="1" s="1"/>
  <c r="Q28" i="1"/>
  <c r="S28" i="1" s="1"/>
  <c r="U29" i="1"/>
  <c r="W29" i="1" s="1"/>
  <c r="Q29" i="1"/>
  <c r="S29" i="1" s="1"/>
  <c r="Q30" i="1"/>
  <c r="S30" i="1" s="1"/>
  <c r="U30" i="1"/>
  <c r="W30" i="1" s="1"/>
  <c r="U31" i="1"/>
  <c r="W31" i="1" s="1"/>
  <c r="Q31" i="1"/>
  <c r="S31" i="1" s="1"/>
  <c r="K10" i="1"/>
  <c r="O19" i="1" l="1"/>
  <c r="U19" i="1" s="1"/>
  <c r="W19" i="1" s="1"/>
  <c r="O21" i="1"/>
  <c r="U21" i="1" s="1"/>
  <c r="W21" i="1" s="1"/>
  <c r="O22" i="1"/>
  <c r="Q22" i="1" s="1"/>
  <c r="S22" i="1" s="1"/>
  <c r="O20" i="1"/>
  <c r="U20" i="1" s="1"/>
  <c r="W20" i="1" s="1"/>
  <c r="Q19" i="1"/>
  <c r="S19" i="1" s="1"/>
  <c r="O10" i="1"/>
  <c r="U10" i="1" s="1"/>
  <c r="W10" i="1" s="1"/>
  <c r="O12" i="1"/>
  <c r="U12" i="1" s="1"/>
  <c r="W12" i="1" s="1"/>
  <c r="O11" i="1"/>
  <c r="U11" i="1" s="1"/>
  <c r="W11" i="1" s="1"/>
  <c r="O13" i="1"/>
  <c r="U13" i="1" s="1"/>
  <c r="W13" i="1" s="1"/>
  <c r="Q10" i="1" l="1"/>
  <c r="S10" i="1" s="1"/>
  <c r="U22" i="1"/>
  <c r="W22" i="1" s="1"/>
  <c r="Q11" i="1"/>
  <c r="S11" i="1" s="1"/>
  <c r="Q21" i="1"/>
  <c r="S21" i="1" s="1"/>
  <c r="Q20" i="1"/>
  <c r="S20" i="1" s="1"/>
  <c r="Q12" i="1"/>
  <c r="S12" i="1" s="1"/>
  <c r="Q13" i="1"/>
  <c r="S13" i="1" s="1"/>
</calcChain>
</file>

<file path=xl/sharedStrings.xml><?xml version="1.0" encoding="utf-8"?>
<sst xmlns="http://schemas.openxmlformats.org/spreadsheetml/2006/main" count="101" uniqueCount="44">
  <si>
    <t>Basic Service</t>
  </si>
  <si>
    <t>Distribuition</t>
  </si>
  <si>
    <t xml:space="preserve">Total </t>
  </si>
  <si>
    <t>Total With</t>
  </si>
  <si>
    <t>$/Gallon</t>
  </si>
  <si>
    <t>Savings</t>
  </si>
  <si>
    <t>$/kWh</t>
  </si>
  <si>
    <t xml:space="preserve">Savings </t>
  </si>
  <si>
    <t>Charge</t>
  </si>
  <si>
    <t>Annual Bill</t>
  </si>
  <si>
    <t>Surcharge</t>
  </si>
  <si>
    <t>Propane</t>
  </si>
  <si>
    <t>Over Propane</t>
  </si>
  <si>
    <t>Electric</t>
  </si>
  <si>
    <t>Over Electric</t>
  </si>
  <si>
    <t>Average Residential</t>
  </si>
  <si>
    <t>Average Multi Family</t>
  </si>
  <si>
    <t>Average Sm Commercial</t>
  </si>
  <si>
    <t>Average Lg Commercial</t>
  </si>
  <si>
    <t>$/Unit</t>
  </si>
  <si>
    <t>Current cost of Propane</t>
  </si>
  <si>
    <t>Gallon</t>
  </si>
  <si>
    <t>McGas 8/18/2022</t>
  </si>
  <si>
    <t>CBH Co-op 8/18/2022</t>
  </si>
  <si>
    <t>Current Cost of Electric</t>
  </si>
  <si>
    <t>kWh</t>
  </si>
  <si>
    <t>Butte Electric Residential Rate 1/1/2022 (Metered Heat)</t>
  </si>
  <si>
    <t>Montana-Dakota Utilities Co.</t>
  </si>
  <si>
    <t>Gas Utility - South Dakota</t>
  </si>
  <si>
    <t xml:space="preserve">Incremental Expansion Surcharge </t>
  </si>
  <si>
    <t>Avg Dk</t>
  </si>
  <si>
    <t>COG  1/</t>
  </si>
  <si>
    <t>Delivery Charge</t>
  </si>
  <si>
    <t>Annual</t>
  </si>
  <si>
    <t>Customer Cost Comparison at Proposed Surcharge Rates &amp; Participation Rates</t>
  </si>
  <si>
    <t>Surcharge/</t>
  </si>
  <si>
    <t>Month</t>
  </si>
  <si>
    <t>Dk</t>
  </si>
  <si>
    <t>Customer Cost Comparison Reflecting 3 Year Average Cost of Gas (2020 - 2022)</t>
  </si>
  <si>
    <t>1/  Three year average of firm cost of gas billed SD customers (2020 - 2022).</t>
  </si>
  <si>
    <t>Customer Cost Comparison at Surcharge Rates reflecting 75% Participation Rate  2/</t>
  </si>
  <si>
    <t>Customer Cost Comparison at Surcharge Rates reflecting 50% Participation Rate  3/</t>
  </si>
  <si>
    <t>2/  See Response No. 1-2b Attachment C page 1 for surcharge rates if 75% participation rate.</t>
  </si>
  <si>
    <t>3/  See Response No. 1-2b Attachment B page 1 for surcharge rates if 50% participation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</si>
</sst>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4" fontId="2" fillId="0" borderId="0" xfId="2" applyFont="1"/>
    <xf numFmtId="164" fontId="2" fillId="0" borderId="0" xfId="2" applyNumberFormat="1" applyFo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8" fontId="2" fillId="0" borderId="0" xfId="1" applyNumberFormat="1" applyFont="1"/>
    <xf numFmtId="44" fontId="2" fillId="0" borderId="0" xfId="2" applyNumberFormat="1" applyFont="1"/>
    <xf numFmtId="44" fontId="2" fillId="0" borderId="0" xfId="0" applyNumberFormat="1" applyFont="1"/>
    <xf numFmtId="165" fontId="2" fillId="0" borderId="0" xfId="2" applyNumberFormat="1" applyFont="1"/>
    <xf numFmtId="165" fontId="2" fillId="0" borderId="0" xfId="0" applyNumberFormat="1" applyFont="1"/>
    <xf numFmtId="42" fontId="2" fillId="0" borderId="0" xfId="2" applyNumberFormat="1" applyFont="1"/>
    <xf numFmtId="42" fontId="2" fillId="0" borderId="0" xfId="0" applyNumberFormat="1" applyFont="1"/>
    <xf numFmtId="42" fontId="2" fillId="2" borderId="0" xfId="2" applyNumberFormat="1" applyFont="1" applyFill="1"/>
    <xf numFmtId="0" fontId="4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8525-6C8C-402B-903D-313F3BEFD217}">
  <dimension ref="A1:AE45"/>
  <sheetViews>
    <sheetView showGridLines="0" tabSelected="1" workbookViewId="0">
      <selection activeCell="AB21" sqref="AB21"/>
    </sheetView>
  </sheetViews>
  <sheetFormatPr defaultRowHeight="12.75" x14ac:dyDescent="0.2"/>
  <cols>
    <col min="1" max="1" width="20.5703125" style="1" customWidth="1"/>
    <col min="2" max="2" width="2.28515625" style="1" customWidth="1"/>
    <col min="3" max="3" width="7.28515625" style="1" bestFit="1" customWidth="1"/>
    <col min="4" max="4" width="2.28515625" style="1" customWidth="1"/>
    <col min="5" max="5" width="13.42578125" style="1" bestFit="1" customWidth="1"/>
    <col min="6" max="6" width="2.28515625" style="1" customWidth="1"/>
    <col min="7" max="7" width="14.7109375" style="1" customWidth="1"/>
    <col min="8" max="8" width="2.28515625" style="1" customWidth="1"/>
    <col min="9" max="9" width="9.28515625" style="1" customWidth="1"/>
    <col min="10" max="10" width="2.28515625" style="1" customWidth="1"/>
    <col min="11" max="11" width="12.28515625" style="1" bestFit="1" customWidth="1"/>
    <col min="12" max="12" width="2.28515625" style="1" customWidth="1"/>
    <col min="13" max="13" width="12.28515625" style="1" bestFit="1" customWidth="1"/>
    <col min="14" max="14" width="2.28515625" style="1" customWidth="1"/>
    <col min="15" max="15" width="12.28515625" style="1" bestFit="1" customWidth="1"/>
    <col min="16" max="16" width="2.28515625" style="1" customWidth="1"/>
    <col min="17" max="17" width="9.140625" style="1"/>
    <col min="18" max="18" width="2.28515625" style="1" customWidth="1"/>
    <col min="19" max="19" width="13.28515625" style="1" bestFit="1" customWidth="1"/>
    <col min="20" max="20" width="2.28515625" style="1" customWidth="1"/>
    <col min="21" max="21" width="9.140625" style="1"/>
    <col min="22" max="22" width="2.28515625" style="1" customWidth="1"/>
    <col min="23" max="23" width="12.140625" style="1" bestFit="1" customWidth="1"/>
    <col min="24" max="24" width="9.140625" style="1"/>
    <col min="25" max="25" width="9.7109375" style="1" bestFit="1" customWidth="1"/>
    <col min="26" max="27" width="9.140625" style="1"/>
    <col min="28" max="28" width="10.28515625" style="1" bestFit="1" customWidth="1"/>
    <col min="29" max="31" width="11.28515625" style="1" bestFit="1" customWidth="1"/>
    <col min="32" max="16384" width="9.140625" style="1"/>
  </cols>
  <sheetData>
    <row r="1" spans="1:31" x14ac:dyDescent="0.2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1" x14ac:dyDescent="0.2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31" x14ac:dyDescent="0.2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31" x14ac:dyDescent="0.2">
      <c r="A4" s="6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7" spans="1:31" x14ac:dyDescent="0.2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Y7" s="18" t="s">
        <v>35</v>
      </c>
      <c r="Z7" s="18"/>
    </row>
    <row r="8" spans="1:31" x14ac:dyDescent="0.2">
      <c r="E8" s="2" t="s">
        <v>0</v>
      </c>
      <c r="F8" s="2"/>
      <c r="G8" s="2" t="s">
        <v>1</v>
      </c>
      <c r="H8" s="2"/>
      <c r="K8" s="2" t="s">
        <v>2</v>
      </c>
      <c r="L8" s="2"/>
      <c r="M8" s="2" t="s">
        <v>33</v>
      </c>
      <c r="O8" s="2" t="s">
        <v>3</v>
      </c>
      <c r="Q8" s="2" t="s">
        <v>4</v>
      </c>
      <c r="R8" s="2"/>
      <c r="S8" s="3" t="s">
        <v>5</v>
      </c>
      <c r="U8" s="2" t="s">
        <v>6</v>
      </c>
      <c r="W8" s="3" t="s">
        <v>7</v>
      </c>
      <c r="Y8" s="19" t="s">
        <v>36</v>
      </c>
      <c r="Z8" s="19" t="s">
        <v>37</v>
      </c>
    </row>
    <row r="9" spans="1:31" x14ac:dyDescent="0.2">
      <c r="C9" s="7" t="s">
        <v>30</v>
      </c>
      <c r="E9" s="7" t="s">
        <v>8</v>
      </c>
      <c r="F9" s="2"/>
      <c r="G9" s="7" t="s">
        <v>32</v>
      </c>
      <c r="H9" s="2"/>
      <c r="I9" s="7" t="s">
        <v>31</v>
      </c>
      <c r="J9" s="2"/>
      <c r="K9" s="7" t="s">
        <v>9</v>
      </c>
      <c r="L9" s="2"/>
      <c r="M9" s="7" t="s">
        <v>10</v>
      </c>
      <c r="N9" s="2"/>
      <c r="O9" s="7" t="s">
        <v>10</v>
      </c>
      <c r="Q9" s="7" t="s">
        <v>11</v>
      </c>
      <c r="R9" s="2"/>
      <c r="S9" s="8" t="s">
        <v>12</v>
      </c>
      <c r="U9" s="7" t="s">
        <v>13</v>
      </c>
      <c r="W9" s="8" t="s">
        <v>14</v>
      </c>
      <c r="Y9" s="20">
        <v>5</v>
      </c>
      <c r="Z9" s="20">
        <v>4</v>
      </c>
    </row>
    <row r="10" spans="1:31" x14ac:dyDescent="0.2">
      <c r="A10" s="1" t="s">
        <v>15</v>
      </c>
      <c r="C10" s="9">
        <v>69</v>
      </c>
      <c r="E10" s="10">
        <v>0.3</v>
      </c>
      <c r="G10" s="12">
        <v>1.8360000000000001</v>
      </c>
      <c r="H10" s="13"/>
      <c r="I10" s="12">
        <v>5.6550000000000002</v>
      </c>
      <c r="K10" s="14">
        <f>(E10*365)+((G10+I10)*C10)</f>
        <v>626.37900000000002</v>
      </c>
      <c r="L10" s="15"/>
      <c r="M10" s="15">
        <f>ROUND(($Y$9*12)+(C10*$Z$9),0)</f>
        <v>336</v>
      </c>
      <c r="N10" s="13"/>
      <c r="O10" s="15">
        <f>M10+K10</f>
        <v>962.37900000000002</v>
      </c>
      <c r="Q10" s="4">
        <f>O10/C10/10.3</f>
        <v>1.3541283241874207</v>
      </c>
      <c r="S10" s="16">
        <f>($E$43-Q10)*(C10*10.93)</f>
        <v>781.22334174757304</v>
      </c>
      <c r="U10" s="13">
        <f>O10/C10/293</f>
        <v>4.7602463273482713E-2</v>
      </c>
      <c r="W10" s="16">
        <f>($E$45-U10)*(C10*293)</f>
        <v>311.29199999999997</v>
      </c>
      <c r="Y10" s="21"/>
      <c r="Z10" s="21"/>
      <c r="AB10" s="11"/>
      <c r="AC10" s="11"/>
      <c r="AD10" s="11"/>
      <c r="AE10" s="11"/>
    </row>
    <row r="11" spans="1:31" x14ac:dyDescent="0.2">
      <c r="A11" s="1" t="s">
        <v>16</v>
      </c>
      <c r="C11" s="9">
        <v>50</v>
      </c>
      <c r="E11" s="10">
        <v>0.3</v>
      </c>
      <c r="G11" s="12">
        <v>1.8360000000000001</v>
      </c>
      <c r="H11" s="13"/>
      <c r="I11" s="12">
        <f>$I$10</f>
        <v>5.6550000000000002</v>
      </c>
      <c r="K11" s="14">
        <f t="shared" ref="K11:K13" si="0">(E11*365)+((G11+I11)*C11)</f>
        <v>484.05</v>
      </c>
      <c r="L11" s="15"/>
      <c r="M11" s="15">
        <f t="shared" ref="M11:M13" si="1">ROUND(($Y$9*12)+(C11*$Z$9),0)</f>
        <v>260</v>
      </c>
      <c r="N11" s="13"/>
      <c r="O11" s="15">
        <f t="shared" ref="O11:O13" si="2">M11+K11</f>
        <v>744.05</v>
      </c>
      <c r="Q11" s="4">
        <f>O11/C11/10.3</f>
        <v>1.4447572815533978</v>
      </c>
      <c r="S11" s="16">
        <f>($E$43-Q11)*(C11*10.93)</f>
        <v>516.57514563106815</v>
      </c>
      <c r="U11" s="13">
        <f t="shared" ref="U11:U13" si="3">O11/C11/293</f>
        <v>5.0788395904436852E-2</v>
      </c>
      <c r="W11" s="16">
        <f>($E$45-U11)*(C11*293)</f>
        <v>178.90000000000012</v>
      </c>
      <c r="AB11" s="11"/>
      <c r="AC11" s="11"/>
      <c r="AD11" s="11"/>
      <c r="AE11" s="11"/>
    </row>
    <row r="12" spans="1:31" x14ac:dyDescent="0.2">
      <c r="A12" s="1" t="s">
        <v>17</v>
      </c>
      <c r="C12" s="9">
        <v>300</v>
      </c>
      <c r="E12" s="10">
        <v>0.55000000000000004</v>
      </c>
      <c r="G12" s="13">
        <v>0.93</v>
      </c>
      <c r="H12" s="13"/>
      <c r="I12" s="12">
        <f t="shared" ref="I12:I13" si="4">$I$10</f>
        <v>5.6550000000000002</v>
      </c>
      <c r="K12" s="14">
        <f t="shared" si="0"/>
        <v>2176.25</v>
      </c>
      <c r="L12" s="15"/>
      <c r="M12" s="15">
        <f t="shared" si="1"/>
        <v>1260</v>
      </c>
      <c r="N12" s="13"/>
      <c r="O12" s="15">
        <f t="shared" si="2"/>
        <v>3436.25</v>
      </c>
      <c r="Q12" s="4">
        <f t="shared" ref="Q12:Q13" si="5">O12/C12/10.3</f>
        <v>1.1120550161812297</v>
      </c>
      <c r="S12" s="16">
        <f>($E$43-Q12)*(C12*10.93)</f>
        <v>4190.3816019417482</v>
      </c>
      <c r="U12" s="13">
        <f t="shared" si="3"/>
        <v>3.9092718998862346E-2</v>
      </c>
      <c r="W12" s="16">
        <f>($E$45-U12)*(C12*293)</f>
        <v>2101.4499999999998</v>
      </c>
      <c r="AB12" s="11"/>
      <c r="AC12" s="11"/>
      <c r="AD12" s="11"/>
      <c r="AE12" s="11"/>
    </row>
    <row r="13" spans="1:31" x14ac:dyDescent="0.2">
      <c r="A13" s="1" t="s">
        <v>18</v>
      </c>
      <c r="C13" s="9">
        <v>3000</v>
      </c>
      <c r="E13" s="10">
        <v>1.68</v>
      </c>
      <c r="G13" s="13">
        <v>1.147</v>
      </c>
      <c r="H13" s="13"/>
      <c r="I13" s="12">
        <f t="shared" si="4"/>
        <v>5.6550000000000002</v>
      </c>
      <c r="K13" s="14">
        <f t="shared" si="0"/>
        <v>21019.200000000001</v>
      </c>
      <c r="L13" s="15"/>
      <c r="M13" s="15">
        <f t="shared" si="1"/>
        <v>12060</v>
      </c>
      <c r="N13" s="13"/>
      <c r="O13" s="15">
        <f t="shared" si="2"/>
        <v>33079.199999999997</v>
      </c>
      <c r="Q13" s="4">
        <f t="shared" si="5"/>
        <v>1.0705242718446599</v>
      </c>
      <c r="S13" s="16">
        <f>($E$43-Q13)*(C13*10.93)</f>
        <v>43265.609126213603</v>
      </c>
      <c r="U13" s="13">
        <f t="shared" si="3"/>
        <v>3.7632764505119452E-2</v>
      </c>
      <c r="W13" s="16">
        <f>($E$45-U13)*(C13*293)</f>
        <v>22297.800000000003</v>
      </c>
      <c r="AB13" s="11"/>
      <c r="AC13" s="11"/>
      <c r="AD13" s="11"/>
      <c r="AE13" s="11"/>
    </row>
    <row r="14" spans="1:31" x14ac:dyDescent="0.2">
      <c r="E14" s="11"/>
    </row>
    <row r="16" spans="1:31" x14ac:dyDescent="0.2">
      <c r="A16" s="17" t="s">
        <v>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Y16" s="18" t="s">
        <v>35</v>
      </c>
      <c r="Z16" s="18"/>
    </row>
    <row r="17" spans="1:31" x14ac:dyDescent="0.2">
      <c r="E17" s="2" t="s">
        <v>0</v>
      </c>
      <c r="F17" s="2"/>
      <c r="G17" s="2" t="s">
        <v>1</v>
      </c>
      <c r="H17" s="2"/>
      <c r="K17" s="2" t="s">
        <v>2</v>
      </c>
      <c r="L17" s="2"/>
      <c r="M17" s="2" t="s">
        <v>33</v>
      </c>
      <c r="O17" s="2" t="s">
        <v>3</v>
      </c>
      <c r="Q17" s="2" t="s">
        <v>4</v>
      </c>
      <c r="R17" s="2"/>
      <c r="S17" s="3" t="s">
        <v>5</v>
      </c>
      <c r="U17" s="2" t="s">
        <v>6</v>
      </c>
      <c r="W17" s="3" t="s">
        <v>7</v>
      </c>
      <c r="Y17" s="19" t="s">
        <v>36</v>
      </c>
      <c r="Z17" s="19" t="s">
        <v>37</v>
      </c>
    </row>
    <row r="18" spans="1:31" x14ac:dyDescent="0.2">
      <c r="C18" s="7" t="s">
        <v>30</v>
      </c>
      <c r="E18" s="7" t="s">
        <v>8</v>
      </c>
      <c r="F18" s="2"/>
      <c r="G18" s="7" t="s">
        <v>32</v>
      </c>
      <c r="H18" s="2"/>
      <c r="I18" s="7" t="s">
        <v>31</v>
      </c>
      <c r="J18" s="2"/>
      <c r="K18" s="7" t="s">
        <v>9</v>
      </c>
      <c r="L18" s="2"/>
      <c r="M18" s="7" t="s">
        <v>10</v>
      </c>
      <c r="N18" s="2"/>
      <c r="O18" s="7" t="s">
        <v>10</v>
      </c>
      <c r="Q18" s="7" t="s">
        <v>11</v>
      </c>
      <c r="R18" s="2"/>
      <c r="S18" s="8" t="s">
        <v>12</v>
      </c>
      <c r="U18" s="7" t="s">
        <v>13</v>
      </c>
      <c r="W18" s="8" t="s">
        <v>14</v>
      </c>
      <c r="Y18" s="20">
        <v>6.67</v>
      </c>
      <c r="Z18" s="20">
        <v>5.33</v>
      </c>
    </row>
    <row r="19" spans="1:31" x14ac:dyDescent="0.2">
      <c r="A19" s="1" t="s">
        <v>15</v>
      </c>
      <c r="C19" s="9">
        <v>69</v>
      </c>
      <c r="E19" s="10">
        <v>0.3</v>
      </c>
      <c r="G19" s="12">
        <v>1.8360000000000001</v>
      </c>
      <c r="H19" s="13"/>
      <c r="I19" s="12">
        <f t="shared" ref="I19:I22" si="6">$I$10</f>
        <v>5.6550000000000002</v>
      </c>
      <c r="K19" s="14">
        <f>(E19*365)+((G19+I19)*C19)</f>
        <v>626.37900000000002</v>
      </c>
      <c r="L19" s="15"/>
      <c r="M19" s="15">
        <f>ROUND(($Y$18*12)+(C19*$Z$18),0)</f>
        <v>448</v>
      </c>
      <c r="N19" s="13"/>
      <c r="O19" s="15">
        <f>M19+K19</f>
        <v>1074.3789999999999</v>
      </c>
      <c r="Q19" s="4">
        <f>O19/C19/10.3</f>
        <v>1.5117194315463625</v>
      </c>
      <c r="S19" s="16">
        <f>($E$43-Q19)*(C19*10.93)</f>
        <v>662.37285631067994</v>
      </c>
      <c r="U19" s="13">
        <f>O19/C19/293</f>
        <v>5.3142355443438684E-2</v>
      </c>
      <c r="W19" s="16">
        <f>($E$45-U19)*(C19*293)</f>
        <v>199.29200000000014</v>
      </c>
      <c r="Y19" s="21"/>
      <c r="Z19" s="21"/>
      <c r="AB19" s="11"/>
      <c r="AC19" s="11"/>
      <c r="AD19" s="11"/>
      <c r="AE19" s="11"/>
    </row>
    <row r="20" spans="1:31" x14ac:dyDescent="0.2">
      <c r="A20" s="1" t="s">
        <v>16</v>
      </c>
      <c r="C20" s="9">
        <v>50</v>
      </c>
      <c r="E20" s="10">
        <v>0.3</v>
      </c>
      <c r="G20" s="12">
        <v>1.8360000000000001</v>
      </c>
      <c r="H20" s="13"/>
      <c r="I20" s="12">
        <f t="shared" si="6"/>
        <v>5.6550000000000002</v>
      </c>
      <c r="K20" s="14">
        <f t="shared" ref="K20:K22" si="7">(E20*365)+((G20+I20)*C20)</f>
        <v>484.05</v>
      </c>
      <c r="L20" s="15"/>
      <c r="M20" s="15">
        <f t="shared" ref="M20:M22" si="8">ROUND(($Y$18*12)+(C20*$Z$18),0)</f>
        <v>347</v>
      </c>
      <c r="N20" s="13"/>
      <c r="O20" s="15">
        <f t="shared" ref="O20:O22" si="9">M20+K20</f>
        <v>831.05</v>
      </c>
      <c r="Q20" s="4">
        <f>O20/C20/10.3</f>
        <v>1.6136893203883493</v>
      </c>
      <c r="S20" s="16">
        <f>($E$43-Q20)*(C20*10.93)</f>
        <v>424.25378640776717</v>
      </c>
      <c r="U20" s="13">
        <f t="shared" ref="U20:U22" si="10">O20/C20/293</f>
        <v>5.6726962457337882E-2</v>
      </c>
      <c r="W20" s="16">
        <f>($E$45-U20)*(C20*293)</f>
        <v>91.900000000000034</v>
      </c>
    </row>
    <row r="21" spans="1:31" x14ac:dyDescent="0.2">
      <c r="A21" s="1" t="s">
        <v>17</v>
      </c>
      <c r="C21" s="9">
        <v>300</v>
      </c>
      <c r="E21" s="10">
        <v>0.55000000000000004</v>
      </c>
      <c r="G21" s="13">
        <v>0.93</v>
      </c>
      <c r="H21" s="13"/>
      <c r="I21" s="12">
        <f t="shared" si="6"/>
        <v>5.6550000000000002</v>
      </c>
      <c r="K21" s="14">
        <f t="shared" si="7"/>
        <v>2176.25</v>
      </c>
      <c r="L21" s="15"/>
      <c r="M21" s="15">
        <f t="shared" si="8"/>
        <v>1679</v>
      </c>
      <c r="N21" s="13"/>
      <c r="O21" s="15">
        <f t="shared" si="9"/>
        <v>3855.25</v>
      </c>
      <c r="Q21" s="4">
        <f t="shared" ref="Q21:Q22" si="11">O21/C21/10.3</f>
        <v>1.2476537216828478</v>
      </c>
      <c r="S21" s="16">
        <f>($E$43-Q21)*(C21*10.93)</f>
        <v>3745.7534466019424</v>
      </c>
      <c r="U21" s="13">
        <f t="shared" si="10"/>
        <v>4.3859499431171789E-2</v>
      </c>
      <c r="W21" s="16">
        <f>($E$45-U21)*(C21*293)</f>
        <v>1682.4499999999998</v>
      </c>
      <c r="AB21" s="15"/>
    </row>
    <row r="22" spans="1:31" x14ac:dyDescent="0.2">
      <c r="A22" s="1" t="s">
        <v>18</v>
      </c>
      <c r="C22" s="9">
        <v>3000</v>
      </c>
      <c r="E22" s="10">
        <v>1.68</v>
      </c>
      <c r="G22" s="13">
        <v>1.147</v>
      </c>
      <c r="H22" s="13"/>
      <c r="I22" s="12">
        <f t="shared" si="6"/>
        <v>5.6550000000000002</v>
      </c>
      <c r="K22" s="14">
        <f t="shared" si="7"/>
        <v>21019.200000000001</v>
      </c>
      <c r="L22" s="15"/>
      <c r="M22" s="15">
        <f t="shared" si="8"/>
        <v>16070</v>
      </c>
      <c r="N22" s="13"/>
      <c r="O22" s="15">
        <f t="shared" si="9"/>
        <v>37089.199999999997</v>
      </c>
      <c r="Q22" s="4">
        <f t="shared" si="11"/>
        <v>1.2002977346278314</v>
      </c>
      <c r="S22" s="16">
        <f>($E$43-Q22)*(C22*10.93)</f>
        <v>39010.337281553409</v>
      </c>
      <c r="U22" s="13">
        <f t="shared" si="10"/>
        <v>4.2194766780432304E-2</v>
      </c>
      <c r="W22" s="16">
        <f>($E$45-U22)*(C22*293)</f>
        <v>18287.800000000007</v>
      </c>
    </row>
    <row r="23" spans="1:31" x14ac:dyDescent="0.2">
      <c r="E23" s="11"/>
    </row>
    <row r="25" spans="1:31" x14ac:dyDescent="0.2">
      <c r="A25" s="17" t="s">
        <v>41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Y25" s="18" t="s">
        <v>35</v>
      </c>
      <c r="Z25" s="18"/>
    </row>
    <row r="26" spans="1:31" x14ac:dyDescent="0.2">
      <c r="E26" s="2" t="s">
        <v>0</v>
      </c>
      <c r="F26" s="2"/>
      <c r="G26" s="2" t="s">
        <v>1</v>
      </c>
      <c r="H26" s="2"/>
      <c r="K26" s="2" t="s">
        <v>2</v>
      </c>
      <c r="L26" s="2"/>
      <c r="M26" s="2" t="s">
        <v>33</v>
      </c>
      <c r="O26" s="2" t="s">
        <v>3</v>
      </c>
      <c r="Q26" s="2" t="s">
        <v>4</v>
      </c>
      <c r="R26" s="2"/>
      <c r="S26" s="3" t="s">
        <v>5</v>
      </c>
      <c r="U26" s="2" t="s">
        <v>6</v>
      </c>
      <c r="W26" s="3" t="s">
        <v>7</v>
      </c>
      <c r="Y26" s="19" t="s">
        <v>36</v>
      </c>
      <c r="Z26" s="19" t="s">
        <v>37</v>
      </c>
    </row>
    <row r="27" spans="1:31" x14ac:dyDescent="0.2">
      <c r="C27" s="7" t="s">
        <v>30</v>
      </c>
      <c r="E27" s="7" t="s">
        <v>8</v>
      </c>
      <c r="F27" s="2"/>
      <c r="G27" s="7" t="s">
        <v>32</v>
      </c>
      <c r="H27" s="2"/>
      <c r="I27" s="7" t="s">
        <v>31</v>
      </c>
      <c r="J27" s="2"/>
      <c r="K27" s="7" t="s">
        <v>9</v>
      </c>
      <c r="L27" s="2"/>
      <c r="M27" s="7" t="s">
        <v>10</v>
      </c>
      <c r="N27" s="2"/>
      <c r="O27" s="7" t="s">
        <v>10</v>
      </c>
      <c r="Q27" s="7" t="s">
        <v>11</v>
      </c>
      <c r="R27" s="2"/>
      <c r="S27" s="8" t="s">
        <v>12</v>
      </c>
      <c r="U27" s="7" t="s">
        <v>13</v>
      </c>
      <c r="W27" s="8" t="s">
        <v>14</v>
      </c>
      <c r="Y27" s="20">
        <v>10</v>
      </c>
      <c r="Z27" s="20">
        <v>8</v>
      </c>
    </row>
    <row r="28" spans="1:31" x14ac:dyDescent="0.2">
      <c r="A28" s="1" t="s">
        <v>15</v>
      </c>
      <c r="C28" s="9">
        <v>69</v>
      </c>
      <c r="E28" s="10">
        <v>0.3</v>
      </c>
      <c r="G28" s="12">
        <v>1.8360000000000001</v>
      </c>
      <c r="H28" s="13"/>
      <c r="I28" s="12">
        <f t="shared" ref="I28:I31" si="12">$I$10</f>
        <v>5.6550000000000002</v>
      </c>
      <c r="K28" s="14">
        <f>(E28*365)+((G28+I28)*C28)</f>
        <v>626.37900000000002</v>
      </c>
      <c r="L28" s="15"/>
      <c r="M28" s="15">
        <f>ROUND(($Y$27*12)+(C28*$Z$27),0)</f>
        <v>672</v>
      </c>
      <c r="N28" s="13"/>
      <c r="O28" s="15">
        <f>M28+K28</f>
        <v>1298.3789999999999</v>
      </c>
      <c r="Q28" s="4">
        <f>O28/C28/10.3</f>
        <v>1.8269016462642462</v>
      </c>
      <c r="S28" s="16">
        <f>($E$43-Q28)*(C28*10.93)</f>
        <v>424.67188543689349</v>
      </c>
      <c r="U28" s="13">
        <f>O28/C28/293</f>
        <v>6.4222139783350646E-2</v>
      </c>
      <c r="W28" s="16">
        <f>($E$45-U28)*(C28*293)</f>
        <v>-24.707999999999995</v>
      </c>
      <c r="Y28" s="21"/>
      <c r="Z28" s="21"/>
    </row>
    <row r="29" spans="1:31" x14ac:dyDescent="0.2">
      <c r="A29" s="1" t="s">
        <v>16</v>
      </c>
      <c r="C29" s="9">
        <v>50</v>
      </c>
      <c r="E29" s="10">
        <v>0.3</v>
      </c>
      <c r="G29" s="12">
        <v>1.8360000000000001</v>
      </c>
      <c r="H29" s="13"/>
      <c r="I29" s="12">
        <f t="shared" si="12"/>
        <v>5.6550000000000002</v>
      </c>
      <c r="K29" s="14">
        <f t="shared" ref="K29:K31" si="13">(E29*365)+((G29+I29)*C29)</f>
        <v>484.05</v>
      </c>
      <c r="L29" s="15"/>
      <c r="M29" s="15">
        <f t="shared" ref="M29:M31" si="14">ROUND(($Y$27*12)+(C29*$Z$27),0)</f>
        <v>520</v>
      </c>
      <c r="N29" s="13"/>
      <c r="O29" s="15">
        <f t="shared" ref="O29:O31" si="15">M29+K29</f>
        <v>1004.05</v>
      </c>
      <c r="Q29" s="4">
        <f>O29/C29/10.3</f>
        <v>1.9496116504854366</v>
      </c>
      <c r="S29" s="16">
        <f>($E$43-Q29)*(C29*10.93)</f>
        <v>240.67223300970898</v>
      </c>
      <c r="U29" s="13">
        <f t="shared" ref="U29:U31" si="16">O29/C29/293</f>
        <v>6.8535836177474399E-2</v>
      </c>
      <c r="W29" s="16">
        <f>($E$45-U29)*(C29*293)</f>
        <v>-81.099999999999937</v>
      </c>
    </row>
    <row r="30" spans="1:31" x14ac:dyDescent="0.2">
      <c r="A30" s="1" t="s">
        <v>17</v>
      </c>
      <c r="C30" s="9">
        <v>300</v>
      </c>
      <c r="E30" s="10">
        <v>0.55000000000000004</v>
      </c>
      <c r="G30" s="13">
        <v>0.93</v>
      </c>
      <c r="H30" s="13"/>
      <c r="I30" s="12">
        <f t="shared" si="12"/>
        <v>5.6550000000000002</v>
      </c>
      <c r="K30" s="14">
        <f t="shared" si="13"/>
        <v>2176.25</v>
      </c>
      <c r="L30" s="15"/>
      <c r="M30" s="15">
        <f t="shared" si="14"/>
        <v>2520</v>
      </c>
      <c r="N30" s="13"/>
      <c r="O30" s="15">
        <f t="shared" si="15"/>
        <v>4696.25</v>
      </c>
      <c r="Q30" s="4">
        <f t="shared" ref="Q30:Q31" si="17">O30/C30/10.3</f>
        <v>1.5198220064724919</v>
      </c>
      <c r="S30" s="16">
        <f>($E$43-Q30)*(C30*10.93)</f>
        <v>2853.3136407766997</v>
      </c>
      <c r="U30" s="13">
        <f t="shared" si="16"/>
        <v>5.3427189988623433E-2</v>
      </c>
      <c r="W30" s="16">
        <f>($E$45-U30)*(C30*293)</f>
        <v>841.45000000000027</v>
      </c>
    </row>
    <row r="31" spans="1:31" x14ac:dyDescent="0.2">
      <c r="A31" s="1" t="s">
        <v>18</v>
      </c>
      <c r="C31" s="9">
        <v>3000</v>
      </c>
      <c r="E31" s="10">
        <v>1.68</v>
      </c>
      <c r="G31" s="13">
        <v>1.147</v>
      </c>
      <c r="H31" s="13"/>
      <c r="I31" s="12">
        <f t="shared" si="12"/>
        <v>5.6550000000000002</v>
      </c>
      <c r="K31" s="14">
        <f t="shared" si="13"/>
        <v>21019.200000000001</v>
      </c>
      <c r="L31" s="15"/>
      <c r="M31" s="15">
        <f t="shared" si="14"/>
        <v>24120</v>
      </c>
      <c r="N31" s="13"/>
      <c r="O31" s="15">
        <f t="shared" si="15"/>
        <v>45139.199999999997</v>
      </c>
      <c r="Q31" s="4">
        <f t="shared" si="17"/>
        <v>1.4608155339805822</v>
      </c>
      <c r="S31" s="16">
        <f>($E$43-Q31)*(C31*10.93)</f>
        <v>30467.958640776716</v>
      </c>
      <c r="U31" s="13">
        <f t="shared" si="16"/>
        <v>5.1352901023890778E-2</v>
      </c>
      <c r="W31" s="16">
        <f>($E$45-U31)*(C31*293)</f>
        <v>10237.800000000007</v>
      </c>
    </row>
    <row r="36" spans="1:7" x14ac:dyDescent="0.2">
      <c r="A36" s="1" t="s">
        <v>39</v>
      </c>
    </row>
    <row r="37" spans="1:7" x14ac:dyDescent="0.2">
      <c r="A37" s="1" t="s">
        <v>42</v>
      </c>
    </row>
    <row r="38" spans="1:7" x14ac:dyDescent="0.2">
      <c r="A38" s="1" t="s">
        <v>43</v>
      </c>
    </row>
    <row r="40" spans="1:7" x14ac:dyDescent="0.2">
      <c r="E40" s="7" t="s">
        <v>19</v>
      </c>
    </row>
    <row r="41" spans="1:7" x14ac:dyDescent="0.2">
      <c r="A41" s="1" t="s">
        <v>20</v>
      </c>
      <c r="C41" s="1" t="s">
        <v>21</v>
      </c>
      <c r="E41" s="4">
        <v>2.44</v>
      </c>
      <c r="G41" s="1" t="s">
        <v>22</v>
      </c>
    </row>
    <row r="43" spans="1:7" x14ac:dyDescent="0.2">
      <c r="A43" s="1" t="s">
        <v>20</v>
      </c>
      <c r="C43" s="1" t="s">
        <v>21</v>
      </c>
      <c r="E43" s="4">
        <v>2.39</v>
      </c>
      <c r="G43" s="1" t="s">
        <v>23</v>
      </c>
    </row>
    <row r="45" spans="1:7" x14ac:dyDescent="0.2">
      <c r="A45" s="1" t="s">
        <v>24</v>
      </c>
      <c r="C45" s="1" t="s">
        <v>25</v>
      </c>
      <c r="E45" s="5">
        <v>6.3E-2</v>
      </c>
      <c r="G45" s="1" t="s">
        <v>26</v>
      </c>
    </row>
  </sheetData>
  <printOptions horizontalCentered="1"/>
  <pageMargins left="0.17" right="0.17" top="1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Economics</vt:lpstr>
      <vt:lpstr>'Customer Economics'!Print_Area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Bosch</dc:creator>
  <cp:lastModifiedBy>Lashley, Joy  (PUC)</cp:lastModifiedBy>
  <cp:lastPrinted>2022-12-30T14:13:56Z</cp:lastPrinted>
  <dcterms:created xsi:type="dcterms:W3CDTF">2022-12-28T21:33:00Z</dcterms:created>
  <dcterms:modified xsi:type="dcterms:W3CDTF">2023-02-21T19:31:50Z</dcterms:modified>
</cp:coreProperties>
</file>