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1 Testimony/Return on Equity - Ann Bulkley/Current Draft/"/>
    </mc:Choice>
  </mc:AlternateContent>
  <xr:revisionPtr revIDLastSave="19" documentId="11_6A90AB65205B996BFB82B944DD5EE831DF7CFF6A" xr6:coauthVersionLast="47" xr6:coauthVersionMax="47" xr10:uidLastSave="{C47BAD5A-7F3B-40A0-A50F-D19EFF2B64D0}"/>
  <bookViews>
    <workbookView xWindow="-120" yWindow="-120" windowWidth="29040" windowHeight="15840" tabRatio="899" xr2:uid="{00000000-000D-0000-FFFF-FFFF00000000}"/>
  </bookViews>
  <sheets>
    <sheet name="Schedule 2 -Summary" sheetId="8" r:id="rId1"/>
    <sheet name="Schedule 3-CGDCF" sheetId="3" r:id="rId2"/>
    <sheet name="Schedule 4- CAPM &amp; ECAPM" sheetId="4" r:id="rId3"/>
    <sheet name="Schedule 5- MktRet" sheetId="5" r:id="rId4"/>
    <sheet name="Schedule 6-LT Beta" sheetId="9" r:id="rId5"/>
    <sheet name="Schedule 7-Risk Premium" sheetId="17" r:id="rId6"/>
    <sheet name="Schedule 8-Size Premium " sheetId="20" r:id="rId7"/>
    <sheet name="Schedule 9- CapEx p. 1" sheetId="18" r:id="rId8"/>
    <sheet name="Schedule 9-CapEx p. 2" sheetId="19" r:id="rId9"/>
    <sheet name="Schedule 10-RegRisk" sheetId="11" r:id="rId10"/>
    <sheet name="Schedule 11- Capital Structure" sheetId="22" r:id="rId1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44626.8089467593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'Schedule 3-CGDCF'!$A$1:$M$92</definedName>
    <definedName name="_xlnm.Print_Area" localSheetId="5">'Schedule 7-Risk Premium'!$B$2:$E$124,'Schedule 7-Risk Premium'!$G$2:$O$61</definedName>
    <definedName name="_xlnm.Print_Area" localSheetId="8">'Schedule 9-CapEx p. 2'!$A$1:$E$35</definedName>
    <definedName name="_xlnm.Print_Titles" localSheetId="3">'Schedule 5- MktRet'!$10:$14</definedName>
    <definedName name="_xlnm.Print_Titles" localSheetId="5">'Schedule 7-Risk Premium'!$2:$5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20" l="1"/>
  <c r="M19" i="8" l="1"/>
  <c r="D17" i="22" l="1"/>
  <c r="E17" i="22"/>
  <c r="D18" i="22"/>
  <c r="E18" i="22"/>
  <c r="D19" i="22"/>
  <c r="E19" i="22"/>
  <c r="D20" i="22"/>
  <c r="E20" i="22"/>
  <c r="F36" i="11"/>
  <c r="I36" i="11"/>
  <c r="L36" i="11"/>
  <c r="L38" i="11" s="1"/>
  <c r="O36" i="11"/>
  <c r="F37" i="11"/>
  <c r="F38" i="11" s="1"/>
  <c r="I37" i="11"/>
  <c r="L37" i="11"/>
  <c r="O37" i="11"/>
  <c r="I38" i="11"/>
  <c r="B21" i="19"/>
  <c r="C21" i="19"/>
  <c r="B23" i="19"/>
  <c r="C23" i="19"/>
  <c r="B24" i="19"/>
  <c r="C24" i="19"/>
  <c r="B26" i="19"/>
  <c r="C26" i="19"/>
  <c r="B27" i="19"/>
  <c r="C27" i="19"/>
  <c r="C2" i="18"/>
  <c r="F10" i="18"/>
  <c r="G10" i="18" s="1"/>
  <c r="H10" i="18" s="1"/>
  <c r="I10" i="18" s="1"/>
  <c r="J10" i="18" s="1"/>
  <c r="H13" i="18"/>
  <c r="H14" i="18"/>
  <c r="H15" i="18" s="1"/>
  <c r="F15" i="18"/>
  <c r="G15" i="18"/>
  <c r="I15" i="18"/>
  <c r="J15" i="18"/>
  <c r="H18" i="18"/>
  <c r="H19" i="18"/>
  <c r="F20" i="18"/>
  <c r="G20" i="18"/>
  <c r="I20" i="18"/>
  <c r="J20" i="18"/>
  <c r="H23" i="18"/>
  <c r="H25" i="18" s="1"/>
  <c r="H24" i="18"/>
  <c r="F25" i="18"/>
  <c r="G25" i="18"/>
  <c r="I25" i="18"/>
  <c r="J25" i="18"/>
  <c r="H28" i="18"/>
  <c r="H30" i="18" s="1"/>
  <c r="H29" i="18"/>
  <c r="F30" i="18"/>
  <c r="G30" i="18"/>
  <c r="I30" i="18"/>
  <c r="J30" i="18"/>
  <c r="H33" i="18"/>
  <c r="H35" i="18" s="1"/>
  <c r="H34" i="18"/>
  <c r="F35" i="18"/>
  <c r="G35" i="18"/>
  <c r="I35" i="18"/>
  <c r="J35" i="18"/>
  <c r="H38" i="18"/>
  <c r="H39" i="18"/>
  <c r="H40" i="18" s="1"/>
  <c r="F40" i="18"/>
  <c r="G40" i="18"/>
  <c r="I40" i="18"/>
  <c r="J40" i="18"/>
  <c r="K46" i="18"/>
  <c r="D25" i="19" s="1"/>
  <c r="F18" i="20"/>
  <c r="G18" i="20"/>
  <c r="F19" i="20"/>
  <c r="F48" i="20" s="1"/>
  <c r="G19" i="20"/>
  <c r="G24" i="20" s="1"/>
  <c r="G48" i="20"/>
  <c r="G50" i="20" s="1"/>
  <c r="B60" i="20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J47" i="17"/>
  <c r="K47" i="17" s="1"/>
  <c r="E48" i="17"/>
  <c r="E49" i="17"/>
  <c r="J49" i="17"/>
  <c r="K49" i="17" s="1"/>
  <c r="E50" i="17"/>
  <c r="E51" i="17"/>
  <c r="E52" i="17"/>
  <c r="E53" i="17"/>
  <c r="E54" i="17"/>
  <c r="E55" i="17"/>
  <c r="E56" i="17"/>
  <c r="E57" i="17"/>
  <c r="E58" i="17"/>
  <c r="E59" i="17"/>
  <c r="E60" i="17"/>
  <c r="G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C123" i="17"/>
  <c r="D123" i="17"/>
  <c r="C124" i="17"/>
  <c r="D124" i="17"/>
  <c r="I7" i="9"/>
  <c r="I8" i="9"/>
  <c r="I9" i="9"/>
  <c r="I10" i="9"/>
  <c r="I11" i="9"/>
  <c r="I12" i="9"/>
  <c r="C13" i="9"/>
  <c r="D13" i="9"/>
  <c r="E13" i="9"/>
  <c r="F13" i="9"/>
  <c r="G13" i="9"/>
  <c r="H13" i="9"/>
  <c r="E16" i="5"/>
  <c r="E18" i="5"/>
  <c r="E19" i="5"/>
  <c r="E20" i="5"/>
  <c r="E17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F155" i="5" s="1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F397" i="5" s="1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F516" i="5" s="1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F477" i="5" s="1"/>
  <c r="H477" i="5" s="1"/>
  <c r="E478" i="5"/>
  <c r="E479" i="5"/>
  <c r="E480" i="5"/>
  <c r="E481" i="5"/>
  <c r="E482" i="5"/>
  <c r="E483" i="5"/>
  <c r="E484" i="5"/>
  <c r="E485" i="5"/>
  <c r="F485" i="5" s="1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F501" i="5" s="1"/>
  <c r="H501" i="5" s="1"/>
  <c r="E502" i="5"/>
  <c r="E503" i="5"/>
  <c r="E504" i="5"/>
  <c r="E505" i="5"/>
  <c r="E506" i="5"/>
  <c r="E507" i="5"/>
  <c r="E508" i="5"/>
  <c r="E509" i="5"/>
  <c r="F509" i="5" s="1"/>
  <c r="H509" i="5" s="1"/>
  <c r="E510" i="5"/>
  <c r="E511" i="5"/>
  <c r="E512" i="5"/>
  <c r="E513" i="5"/>
  <c r="E514" i="5"/>
  <c r="E515" i="5"/>
  <c r="E516" i="5"/>
  <c r="E517" i="5"/>
  <c r="F517" i="5" s="1"/>
  <c r="H517" i="5" s="1"/>
  <c r="E518" i="5"/>
  <c r="E519" i="5"/>
  <c r="E520" i="5"/>
  <c r="F17" i="5"/>
  <c r="H17" i="5" s="1"/>
  <c r="F34" i="5"/>
  <c r="H34" i="5" s="1"/>
  <c r="F40" i="5"/>
  <c r="H40" i="5" s="1"/>
  <c r="F50" i="5"/>
  <c r="H50" i="5" s="1"/>
  <c r="F56" i="5"/>
  <c r="H56" i="5" s="1"/>
  <c r="F59" i="5"/>
  <c r="H59" i="5" s="1"/>
  <c r="F64" i="5"/>
  <c r="H64" i="5" s="1"/>
  <c r="F69" i="5"/>
  <c r="H69" i="5" s="1"/>
  <c r="F72" i="5"/>
  <c r="H72" i="5" s="1"/>
  <c r="F77" i="5"/>
  <c r="H77" i="5" s="1"/>
  <c r="F81" i="5"/>
  <c r="H81" i="5" s="1"/>
  <c r="F83" i="5"/>
  <c r="H83" i="5" s="1"/>
  <c r="F84" i="5"/>
  <c r="F90" i="5"/>
  <c r="H90" i="5" s="1"/>
  <c r="F94" i="5"/>
  <c r="H94" i="5" s="1"/>
  <c r="F100" i="5"/>
  <c r="F101" i="5"/>
  <c r="H101" i="5" s="1"/>
  <c r="F105" i="5"/>
  <c r="H105" i="5" s="1"/>
  <c r="F111" i="5"/>
  <c r="H111" i="5" s="1"/>
  <c r="F124" i="5"/>
  <c r="F135" i="5"/>
  <c r="H135" i="5" s="1"/>
  <c r="F136" i="5"/>
  <c r="H136" i="5" s="1"/>
  <c r="F138" i="5"/>
  <c r="F141" i="5"/>
  <c r="H141" i="5" s="1"/>
  <c r="F142" i="5"/>
  <c r="H142" i="5" s="1"/>
  <c r="F144" i="5"/>
  <c r="H144" i="5" s="1"/>
  <c r="F145" i="5"/>
  <c r="H145" i="5" s="1"/>
  <c r="F146" i="5"/>
  <c r="H146" i="5" s="1"/>
  <c r="F151" i="5"/>
  <c r="H151" i="5" s="1"/>
  <c r="F152" i="5"/>
  <c r="H152" i="5" s="1"/>
  <c r="F154" i="5"/>
  <c r="H154" i="5" s="1"/>
  <c r="F156" i="5"/>
  <c r="F159" i="5"/>
  <c r="H159" i="5" s="1"/>
  <c r="F166" i="5"/>
  <c r="H166" i="5" s="1"/>
  <c r="F168" i="5"/>
  <c r="H168" i="5" s="1"/>
  <c r="F174" i="5"/>
  <c r="H174" i="5" s="1"/>
  <c r="F178" i="5"/>
  <c r="H178" i="5" s="1"/>
  <c r="F180" i="5"/>
  <c r="H180" i="5" s="1"/>
  <c r="F182" i="5"/>
  <c r="F184" i="5"/>
  <c r="H184" i="5" s="1"/>
  <c r="F187" i="5"/>
  <c r="H187" i="5" s="1"/>
  <c r="F190" i="5"/>
  <c r="H190" i="5" s="1"/>
  <c r="F192" i="5"/>
  <c r="H192" i="5" s="1"/>
  <c r="F194" i="5"/>
  <c r="H194" i="5" s="1"/>
  <c r="F195" i="5"/>
  <c r="F197" i="5"/>
  <c r="H197" i="5" s="1"/>
  <c r="F199" i="5"/>
  <c r="H199" i="5" s="1"/>
  <c r="F204" i="5"/>
  <c r="H204" i="5" s="1"/>
  <c r="F209" i="5"/>
  <c r="H209" i="5" s="1"/>
  <c r="F212" i="5"/>
  <c r="F213" i="5"/>
  <c r="H213" i="5" s="1"/>
  <c r="F222" i="5"/>
  <c r="H222" i="5" s="1"/>
  <c r="F223" i="5"/>
  <c r="H223" i="5" s="1"/>
  <c r="F224" i="5"/>
  <c r="H224" i="5" s="1"/>
  <c r="F235" i="5"/>
  <c r="H235" i="5" s="1"/>
  <c r="F238" i="5"/>
  <c r="H238" i="5" s="1"/>
  <c r="F239" i="5"/>
  <c r="H239" i="5" s="1"/>
  <c r="F243" i="5"/>
  <c r="H243" i="5" s="1"/>
  <c r="F255" i="5"/>
  <c r="H255" i="5" s="1"/>
  <c r="F262" i="5"/>
  <c r="H262" i="5" s="1"/>
  <c r="F265" i="5"/>
  <c r="H265" i="5" s="1"/>
  <c r="F280" i="5"/>
  <c r="H280" i="5" s="1"/>
  <c r="F290" i="5"/>
  <c r="H290" i="5" s="1"/>
  <c r="F291" i="5"/>
  <c r="H291" i="5" s="1"/>
  <c r="F294" i="5"/>
  <c r="F300" i="5"/>
  <c r="H300" i="5" s="1"/>
  <c r="F304" i="5"/>
  <c r="H304" i="5" s="1"/>
  <c r="F316" i="5"/>
  <c r="H316" i="5" s="1"/>
  <c r="F326" i="5"/>
  <c r="H326" i="5" s="1"/>
  <c r="F327" i="5"/>
  <c r="H327" i="5" s="1"/>
  <c r="F330" i="5"/>
  <c r="F331" i="5"/>
  <c r="H331" i="5" s="1"/>
  <c r="F339" i="5"/>
  <c r="H339" i="5" s="1"/>
  <c r="F340" i="5"/>
  <c r="H340" i="5" s="1"/>
  <c r="F345" i="5"/>
  <c r="H345" i="5" s="1"/>
  <c r="F347" i="5"/>
  <c r="H347" i="5" s="1"/>
  <c r="F349" i="5"/>
  <c r="H349" i="5" s="1"/>
  <c r="F351" i="5"/>
  <c r="H351" i="5"/>
  <c r="F352" i="5"/>
  <c r="J352" i="5" s="1"/>
  <c r="H352" i="5"/>
  <c r="F357" i="5"/>
  <c r="H357" i="5" s="1"/>
  <c r="F359" i="5"/>
  <c r="F360" i="5"/>
  <c r="F361" i="5"/>
  <c r="H361" i="5" s="1"/>
  <c r="F365" i="5"/>
  <c r="H365" i="5" s="1"/>
  <c r="F370" i="5"/>
  <c r="H370" i="5" s="1"/>
  <c r="F371" i="5"/>
  <c r="F374" i="5"/>
  <c r="F377" i="5"/>
  <c r="H377" i="5" s="1"/>
  <c r="F379" i="5"/>
  <c r="H379" i="5" s="1"/>
  <c r="F393" i="5"/>
  <c r="H393" i="5" s="1"/>
  <c r="F396" i="5"/>
  <c r="H396" i="5" s="1"/>
  <c r="F400" i="5"/>
  <c r="J400" i="5" s="1"/>
  <c r="H400" i="5"/>
  <c r="F403" i="5"/>
  <c r="H403" i="5" s="1"/>
  <c r="F406" i="5"/>
  <c r="H406" i="5" s="1"/>
  <c r="F407" i="5"/>
  <c r="H407" i="5" s="1"/>
  <c r="F422" i="5"/>
  <c r="H422" i="5"/>
  <c r="F448" i="5"/>
  <c r="F465" i="5"/>
  <c r="H465" i="5" s="1"/>
  <c r="F467" i="5"/>
  <c r="F469" i="5"/>
  <c r="H469" i="5" s="1"/>
  <c r="F473" i="5"/>
  <c r="H473" i="5" s="1"/>
  <c r="F474" i="5"/>
  <c r="H474" i="5" s="1"/>
  <c r="F475" i="5"/>
  <c r="H475" i="5" s="1"/>
  <c r="F488" i="5"/>
  <c r="F493" i="5"/>
  <c r="H493" i="5" s="1"/>
  <c r="F498" i="5"/>
  <c r="H498" i="5" s="1"/>
  <c r="F510" i="5"/>
  <c r="H510" i="5" s="1"/>
  <c r="F511" i="5"/>
  <c r="H511" i="5" s="1"/>
  <c r="F513" i="5"/>
  <c r="J17" i="5"/>
  <c r="J34" i="5"/>
  <c r="J40" i="5"/>
  <c r="J50" i="5"/>
  <c r="J56" i="5"/>
  <c r="J59" i="5"/>
  <c r="J64" i="5"/>
  <c r="J69" i="5"/>
  <c r="J72" i="5"/>
  <c r="J77" i="5"/>
  <c r="J81" i="5"/>
  <c r="J83" i="5"/>
  <c r="J90" i="5"/>
  <c r="J94" i="5"/>
  <c r="J101" i="5"/>
  <c r="J105" i="5"/>
  <c r="J111" i="5"/>
  <c r="J135" i="5"/>
  <c r="J136" i="5"/>
  <c r="J141" i="5"/>
  <c r="J142" i="5"/>
  <c r="J144" i="5"/>
  <c r="J145" i="5"/>
  <c r="J146" i="5"/>
  <c r="J151" i="5"/>
  <c r="J152" i="5"/>
  <c r="J154" i="5"/>
  <c r="J159" i="5"/>
  <c r="J166" i="5"/>
  <c r="J168" i="5"/>
  <c r="J174" i="5"/>
  <c r="J178" i="5"/>
  <c r="J180" i="5"/>
  <c r="J184" i="5"/>
  <c r="J187" i="5"/>
  <c r="J190" i="5"/>
  <c r="J192" i="5"/>
  <c r="J194" i="5"/>
  <c r="J197" i="5"/>
  <c r="J199" i="5"/>
  <c r="J204" i="5"/>
  <c r="J209" i="5"/>
  <c r="J213" i="5"/>
  <c r="J222" i="5"/>
  <c r="J223" i="5"/>
  <c r="J224" i="5"/>
  <c r="J235" i="5"/>
  <c r="J238" i="5"/>
  <c r="J239" i="5"/>
  <c r="J255" i="5"/>
  <c r="J262" i="5"/>
  <c r="J265" i="5"/>
  <c r="J280" i="5"/>
  <c r="J290" i="5"/>
  <c r="J291" i="5"/>
  <c r="J300" i="5"/>
  <c r="J304" i="5"/>
  <c r="J316" i="5"/>
  <c r="J326" i="5"/>
  <c r="J327" i="5"/>
  <c r="J339" i="5"/>
  <c r="J340" i="5"/>
  <c r="J345" i="5"/>
  <c r="J347" i="5"/>
  <c r="J351" i="5"/>
  <c r="J357" i="5"/>
  <c r="J361" i="5"/>
  <c r="J365" i="5"/>
  <c r="J370" i="5"/>
  <c r="J377" i="5"/>
  <c r="J379" i="5"/>
  <c r="J393" i="5"/>
  <c r="J396" i="5"/>
  <c r="J403" i="5"/>
  <c r="J422" i="5"/>
  <c r="J465" i="5"/>
  <c r="J469" i="5"/>
  <c r="J473" i="5"/>
  <c r="J474" i="5"/>
  <c r="J475" i="5"/>
  <c r="J493" i="5"/>
  <c r="J498" i="5"/>
  <c r="J510" i="5"/>
  <c r="J511" i="5"/>
  <c r="J1" i="4"/>
  <c r="S1" i="4"/>
  <c r="AB1" i="4"/>
  <c r="AK1" i="4"/>
  <c r="AT1" i="4"/>
  <c r="BC1" i="4"/>
  <c r="BL1" i="4"/>
  <c r="BU1" i="4"/>
  <c r="BL2" i="4"/>
  <c r="BU2" i="4"/>
  <c r="AM6" i="4"/>
  <c r="BN6" i="4" s="1"/>
  <c r="AV6" i="4"/>
  <c r="BW6" i="4" s="1"/>
  <c r="L8" i="4"/>
  <c r="J48" i="17" s="1"/>
  <c r="M8" i="4"/>
  <c r="V8" i="4" s="1"/>
  <c r="AD8" i="4"/>
  <c r="BE8" i="4" s="1"/>
  <c r="AN8" i="4"/>
  <c r="AW8" i="4" s="1"/>
  <c r="AV8" i="4"/>
  <c r="BF8" i="4"/>
  <c r="BO8" i="4" s="1"/>
  <c r="BW8" i="4"/>
  <c r="BX8" i="4"/>
  <c r="M9" i="4"/>
  <c r="V9" i="4" s="1"/>
  <c r="U9" i="4"/>
  <c r="AD9" i="4"/>
  <c r="BE9" i="4" s="1"/>
  <c r="AN9" i="4"/>
  <c r="BF9" i="4"/>
  <c r="BO9" i="4" s="1"/>
  <c r="M10" i="4"/>
  <c r="AD10" i="4"/>
  <c r="BE10" i="4" s="1"/>
  <c r="AN10" i="4"/>
  <c r="AW10" i="4" s="1"/>
  <c r="BF10" i="4"/>
  <c r="BO10" i="4" s="1"/>
  <c r="BX10" i="4" s="1"/>
  <c r="M11" i="4"/>
  <c r="AD11" i="4"/>
  <c r="AN11" i="4"/>
  <c r="AW11" i="4" s="1"/>
  <c r="BF11" i="4"/>
  <c r="BO11" i="4" s="1"/>
  <c r="M12" i="4"/>
  <c r="V12" i="4" s="1"/>
  <c r="AD12" i="4"/>
  <c r="AN12" i="4"/>
  <c r="AW12" i="4" s="1"/>
  <c r="BE12" i="4"/>
  <c r="BF12" i="4"/>
  <c r="BO12" i="4" s="1"/>
  <c r="BX12" i="4" s="1"/>
  <c r="M13" i="4"/>
  <c r="V13" i="4" s="1"/>
  <c r="AD13" i="4"/>
  <c r="BE13" i="4" s="1"/>
  <c r="AN13" i="4"/>
  <c r="AW13" i="4" s="1"/>
  <c r="BF13" i="4"/>
  <c r="AK21" i="4"/>
  <c r="AT21" i="4" s="1"/>
  <c r="BL21" i="4"/>
  <c r="BU21" i="4"/>
  <c r="J22" i="4"/>
  <c r="S22" i="4"/>
  <c r="AB22" i="4"/>
  <c r="AK22" i="4"/>
  <c r="AT22" i="4"/>
  <c r="BC22" i="4"/>
  <c r="BL22" i="4"/>
  <c r="BU22" i="4"/>
  <c r="J4" i="3"/>
  <c r="K4" i="3" s="1"/>
  <c r="L4" i="3" s="1"/>
  <c r="M4" i="3" s="1"/>
  <c r="E7" i="3"/>
  <c r="K7" i="3" s="1"/>
  <c r="J7" i="3"/>
  <c r="M7" i="3"/>
  <c r="E8" i="3"/>
  <c r="M8" i="3" s="1"/>
  <c r="J8" i="3"/>
  <c r="F8" i="3"/>
  <c r="K8" i="3"/>
  <c r="E9" i="3"/>
  <c r="F9" i="3" s="1"/>
  <c r="J9" i="3"/>
  <c r="K9" i="3"/>
  <c r="L9" i="3"/>
  <c r="E10" i="3"/>
  <c r="J10" i="3"/>
  <c r="F10" i="3"/>
  <c r="K10" i="3"/>
  <c r="M10" i="3"/>
  <c r="E11" i="3"/>
  <c r="J11" i="3"/>
  <c r="E12" i="3"/>
  <c r="J12" i="3"/>
  <c r="K12" i="3"/>
  <c r="M12" i="3"/>
  <c r="G13" i="3"/>
  <c r="H13" i="3"/>
  <c r="I13" i="3"/>
  <c r="G14" i="3"/>
  <c r="H14" i="3"/>
  <c r="I14" i="3"/>
  <c r="A31" i="3"/>
  <c r="J33" i="3"/>
  <c r="K33" i="3" s="1"/>
  <c r="L33" i="3" s="1"/>
  <c r="M33" i="3" s="1"/>
  <c r="C36" i="3"/>
  <c r="C70" i="3" s="1"/>
  <c r="G36" i="3"/>
  <c r="H36" i="3"/>
  <c r="H70" i="3" s="1"/>
  <c r="I36" i="3"/>
  <c r="C37" i="3"/>
  <c r="E37" i="3" s="1"/>
  <c r="G37" i="3"/>
  <c r="H37" i="3"/>
  <c r="I37" i="3"/>
  <c r="I71" i="3" s="1"/>
  <c r="C38" i="3"/>
  <c r="C72" i="3" s="1"/>
  <c r="E72" i="3" s="1"/>
  <c r="E38" i="3"/>
  <c r="G38" i="3"/>
  <c r="H38" i="3"/>
  <c r="I38" i="3"/>
  <c r="I72" i="3" s="1"/>
  <c r="A39" i="3"/>
  <c r="B39" i="3"/>
  <c r="C39" i="3"/>
  <c r="G39" i="3"/>
  <c r="H39" i="3"/>
  <c r="H73" i="3" s="1"/>
  <c r="I39" i="3"/>
  <c r="I73" i="3" s="1"/>
  <c r="J39" i="3"/>
  <c r="C40" i="3"/>
  <c r="E40" i="3" s="1"/>
  <c r="G40" i="3"/>
  <c r="H40" i="3"/>
  <c r="I40" i="3"/>
  <c r="C41" i="3"/>
  <c r="C75" i="3" s="1"/>
  <c r="E75" i="3" s="1"/>
  <c r="E41" i="3"/>
  <c r="G41" i="3"/>
  <c r="H41" i="3"/>
  <c r="I41" i="3"/>
  <c r="I75" i="3" s="1"/>
  <c r="J41" i="3"/>
  <c r="A46" i="3"/>
  <c r="A48" i="3"/>
  <c r="A49" i="3"/>
  <c r="A50" i="3"/>
  <c r="A51" i="3"/>
  <c r="A52" i="3"/>
  <c r="A53" i="3"/>
  <c r="A54" i="3"/>
  <c r="A55" i="3"/>
  <c r="A56" i="3"/>
  <c r="A64" i="3"/>
  <c r="J67" i="3"/>
  <c r="K67" i="3"/>
  <c r="L67" i="3"/>
  <c r="M67" i="3" s="1"/>
  <c r="E70" i="3"/>
  <c r="H72" i="3"/>
  <c r="A73" i="3"/>
  <c r="B22" i="19" s="1"/>
  <c r="B73" i="3"/>
  <c r="C22" i="19" s="1"/>
  <c r="G73" i="3"/>
  <c r="H74" i="3"/>
  <c r="I74" i="3"/>
  <c r="G75" i="3"/>
  <c r="H75" i="3"/>
  <c r="A80" i="3"/>
  <c r="A82" i="3"/>
  <c r="A83" i="3"/>
  <c r="A84" i="3"/>
  <c r="A85" i="3"/>
  <c r="A86" i="3"/>
  <c r="A87" i="3"/>
  <c r="A88" i="3"/>
  <c r="A89" i="3"/>
  <c r="A90" i="3"/>
  <c r="B29" i="8"/>
  <c r="H516" i="5" l="1"/>
  <c r="J516" i="5"/>
  <c r="H155" i="5"/>
  <c r="J155" i="5"/>
  <c r="F437" i="5"/>
  <c r="J406" i="5"/>
  <c r="F408" i="5"/>
  <c r="J408" i="5" s="1"/>
  <c r="H359" i="5"/>
  <c r="J359" i="5"/>
  <c r="F514" i="5"/>
  <c r="H514" i="5" s="1"/>
  <c r="F495" i="5"/>
  <c r="F457" i="5"/>
  <c r="F461" i="5"/>
  <c r="F413" i="5"/>
  <c r="F325" i="5"/>
  <c r="F285" i="5"/>
  <c r="F245" i="5"/>
  <c r="F189" i="5"/>
  <c r="F157" i="5"/>
  <c r="F149" i="5"/>
  <c r="M40" i="3"/>
  <c r="J501" i="5"/>
  <c r="J477" i="5"/>
  <c r="F446" i="5"/>
  <c r="F120" i="5"/>
  <c r="F453" i="5"/>
  <c r="F421" i="5"/>
  <c r="F373" i="5"/>
  <c r="F301" i="5"/>
  <c r="F261" i="5"/>
  <c r="F221" i="5"/>
  <c r="F173" i="5"/>
  <c r="F158" i="5"/>
  <c r="F307" i="5"/>
  <c r="F471" i="5"/>
  <c r="F391" i="5"/>
  <c r="F68" i="5"/>
  <c r="H212" i="5"/>
  <c r="J212" i="5"/>
  <c r="H397" i="5"/>
  <c r="J397" i="5"/>
  <c r="F317" i="5"/>
  <c r="F277" i="5"/>
  <c r="F237" i="5"/>
  <c r="H330" i="5"/>
  <c r="J330" i="5"/>
  <c r="F363" i="5"/>
  <c r="F147" i="5"/>
  <c r="F438" i="5"/>
  <c r="F380" i="5"/>
  <c r="H182" i="5"/>
  <c r="J182" i="5"/>
  <c r="H374" i="5"/>
  <c r="J374" i="5"/>
  <c r="H485" i="5"/>
  <c r="J485" i="5"/>
  <c r="F445" i="5"/>
  <c r="F405" i="5"/>
  <c r="F333" i="5"/>
  <c r="F293" i="5"/>
  <c r="F253" i="5"/>
  <c r="F205" i="5"/>
  <c r="F181" i="5"/>
  <c r="F427" i="5"/>
  <c r="F506" i="5"/>
  <c r="F482" i="5"/>
  <c r="F275" i="5"/>
  <c r="H294" i="5"/>
  <c r="J294" i="5"/>
  <c r="F429" i="5"/>
  <c r="F389" i="5"/>
  <c r="F381" i="5"/>
  <c r="F172" i="5"/>
  <c r="F420" i="5"/>
  <c r="F260" i="5"/>
  <c r="F489" i="5"/>
  <c r="F30" i="5"/>
  <c r="F228" i="5"/>
  <c r="F500" i="5"/>
  <c r="H500" i="5" s="1"/>
  <c r="F99" i="5"/>
  <c r="F122" i="5"/>
  <c r="F268" i="5"/>
  <c r="F395" i="5"/>
  <c r="F444" i="5"/>
  <c r="F459" i="5"/>
  <c r="F309" i="5"/>
  <c r="F269" i="5"/>
  <c r="F229" i="5"/>
  <c r="F165" i="5"/>
  <c r="F387" i="5"/>
  <c r="J73" i="3"/>
  <c r="K41" i="3"/>
  <c r="J36" i="3"/>
  <c r="G70" i="3"/>
  <c r="G43" i="3"/>
  <c r="J243" i="5"/>
  <c r="F518" i="5"/>
  <c r="H518" i="5" s="1"/>
  <c r="F503" i="5"/>
  <c r="F480" i="5"/>
  <c r="J360" i="5"/>
  <c r="H360" i="5"/>
  <c r="H195" i="5"/>
  <c r="J195" i="5"/>
  <c r="F70" i="5"/>
  <c r="F44" i="5"/>
  <c r="F133" i="5"/>
  <c r="F125" i="5"/>
  <c r="F117" i="5"/>
  <c r="F109" i="5"/>
  <c r="F93" i="5"/>
  <c r="F85" i="5"/>
  <c r="F61" i="5"/>
  <c r="F53" i="5"/>
  <c r="F45" i="5"/>
  <c r="F37" i="5"/>
  <c r="F29" i="5"/>
  <c r="F21" i="5"/>
  <c r="J38" i="3"/>
  <c r="F38" i="3" s="1"/>
  <c r="L38" i="3" s="1"/>
  <c r="F492" i="5"/>
  <c r="F456" i="5"/>
  <c r="H371" i="5"/>
  <c r="J371" i="5"/>
  <c r="F358" i="5"/>
  <c r="F292" i="5"/>
  <c r="F210" i="5"/>
  <c r="F114" i="5"/>
  <c r="F131" i="5"/>
  <c r="F115" i="5"/>
  <c r="F107" i="5"/>
  <c r="F91" i="5"/>
  <c r="F75" i="5"/>
  <c r="F441" i="5"/>
  <c r="F452" i="5"/>
  <c r="F496" i="5"/>
  <c r="F504" i="5"/>
  <c r="J504" i="5" s="1"/>
  <c r="F481" i="5"/>
  <c r="F468" i="5"/>
  <c r="F35" i="5"/>
  <c r="F27" i="5"/>
  <c r="F82" i="5"/>
  <c r="F499" i="5"/>
  <c r="F451" i="5"/>
  <c r="F435" i="5"/>
  <c r="F355" i="5"/>
  <c r="F299" i="5"/>
  <c r="F259" i="5"/>
  <c r="F227" i="5"/>
  <c r="F203" i="5"/>
  <c r="F163" i="5"/>
  <c r="F139" i="5"/>
  <c r="F123" i="5"/>
  <c r="G72" i="3"/>
  <c r="J72" i="3" s="1"/>
  <c r="F72" i="3" s="1"/>
  <c r="L72" i="3" s="1"/>
  <c r="J488" i="5"/>
  <c r="H488" i="5"/>
  <c r="H467" i="5"/>
  <c r="J467" i="5"/>
  <c r="F449" i="5"/>
  <c r="F433" i="5"/>
  <c r="F344" i="5"/>
  <c r="J344" i="5" s="1"/>
  <c r="F256" i="5"/>
  <c r="F226" i="5"/>
  <c r="F22" i="5"/>
  <c r="F515" i="5"/>
  <c r="F491" i="5"/>
  <c r="F443" i="5"/>
  <c r="F419" i="5"/>
  <c r="F315" i="5"/>
  <c r="F267" i="5"/>
  <c r="F251" i="5"/>
  <c r="F219" i="5"/>
  <c r="F179" i="5"/>
  <c r="C73" i="3"/>
  <c r="E73" i="3" s="1"/>
  <c r="E39" i="3"/>
  <c r="K39" i="3" s="1"/>
  <c r="J331" i="5"/>
  <c r="F430" i="5"/>
  <c r="F399" i="5"/>
  <c r="F382" i="5"/>
  <c r="F341" i="5"/>
  <c r="F314" i="5"/>
  <c r="F200" i="5"/>
  <c r="F186" i="5"/>
  <c r="F104" i="5"/>
  <c r="H84" i="5"/>
  <c r="J84" i="5"/>
  <c r="F507" i="5"/>
  <c r="F483" i="5"/>
  <c r="F411" i="5"/>
  <c r="F323" i="5"/>
  <c r="F283" i="5"/>
  <c r="F211" i="5"/>
  <c r="F171" i="5"/>
  <c r="H43" i="3"/>
  <c r="J407" i="5"/>
  <c r="F484" i="5"/>
  <c r="F414" i="5"/>
  <c r="F278" i="5"/>
  <c r="F244" i="5"/>
  <c r="F132" i="5"/>
  <c r="F52" i="5"/>
  <c r="F458" i="5"/>
  <c r="J448" i="5"/>
  <c r="H448" i="5"/>
  <c r="F439" i="5"/>
  <c r="F428" i="5"/>
  <c r="F418" i="5"/>
  <c r="F372" i="5"/>
  <c r="F353" i="5"/>
  <c r="F346" i="5"/>
  <c r="F334" i="5"/>
  <c r="F318" i="5"/>
  <c r="F298" i="5"/>
  <c r="F264" i="5"/>
  <c r="F246" i="5"/>
  <c r="F232" i="5"/>
  <c r="F214" i="5"/>
  <c r="F202" i="5"/>
  <c r="F188" i="5"/>
  <c r="F176" i="5"/>
  <c r="F160" i="5"/>
  <c r="F150" i="5"/>
  <c r="H138" i="5"/>
  <c r="J138" i="5"/>
  <c r="F74" i="5"/>
  <c r="F519" i="5"/>
  <c r="F487" i="5"/>
  <c r="F479" i="5"/>
  <c r="F463" i="5"/>
  <c r="F447" i="5"/>
  <c r="F423" i="5"/>
  <c r="F415" i="5"/>
  <c r="F367" i="5"/>
  <c r="J75" i="3"/>
  <c r="F75" i="3" s="1"/>
  <c r="L75" i="3" s="1"/>
  <c r="I42" i="3"/>
  <c r="F520" i="5"/>
  <c r="F502" i="5"/>
  <c r="F494" i="5"/>
  <c r="F478" i="5"/>
  <c r="F472" i="5"/>
  <c r="F455" i="5"/>
  <c r="F434" i="5"/>
  <c r="F404" i="5"/>
  <c r="F388" i="5"/>
  <c r="F378" i="5"/>
  <c r="F369" i="5"/>
  <c r="F343" i="5"/>
  <c r="F328" i="5"/>
  <c r="F310" i="5"/>
  <c r="F272" i="5"/>
  <c r="F258" i="5"/>
  <c r="F240" i="5"/>
  <c r="F170" i="5"/>
  <c r="F134" i="5"/>
  <c r="F116" i="5"/>
  <c r="F436" i="5"/>
  <c r="F67" i="5"/>
  <c r="F51" i="5"/>
  <c r="F43" i="5"/>
  <c r="F16" i="5"/>
  <c r="F24" i="5"/>
  <c r="F32" i="5"/>
  <c r="F48" i="5"/>
  <c r="F80" i="5"/>
  <c r="F88" i="5"/>
  <c r="F392" i="5"/>
  <c r="F398" i="5"/>
  <c r="F409" i="5"/>
  <c r="F426" i="5"/>
  <c r="F442" i="5"/>
  <c r="F454" i="5"/>
  <c r="F464" i="5"/>
  <c r="F470" i="5"/>
  <c r="F490" i="5"/>
  <c r="F512" i="5"/>
  <c r="F26" i="5"/>
  <c r="F54" i="5"/>
  <c r="F102" i="5"/>
  <c r="F112" i="5"/>
  <c r="F236" i="5"/>
  <c r="F248" i="5"/>
  <c r="F270" i="5"/>
  <c r="F296" i="5"/>
  <c r="F308" i="5"/>
  <c r="F322" i="5"/>
  <c r="F332" i="5"/>
  <c r="F342" i="5"/>
  <c r="F354" i="5"/>
  <c r="F368" i="5"/>
  <c r="F390" i="5"/>
  <c r="F410" i="5"/>
  <c r="F416" i="5"/>
  <c r="F460" i="5"/>
  <c r="F466" i="5"/>
  <c r="F28" i="5"/>
  <c r="F58" i="5"/>
  <c r="F128" i="5"/>
  <c r="F148" i="5"/>
  <c r="F196" i="5"/>
  <c r="F206" i="5"/>
  <c r="F216" i="5"/>
  <c r="F274" i="5"/>
  <c r="F286" i="5"/>
  <c r="F312" i="5"/>
  <c r="F324" i="5"/>
  <c r="F336" i="5"/>
  <c r="F412" i="5"/>
  <c r="F417" i="5"/>
  <c r="F424" i="5"/>
  <c r="F462" i="5"/>
  <c r="F486" i="5"/>
  <c r="F497" i="5"/>
  <c r="F18" i="5"/>
  <c r="F46" i="5"/>
  <c r="F60" i="5"/>
  <c r="F98" i="5"/>
  <c r="F118" i="5"/>
  <c r="F162" i="5"/>
  <c r="F198" i="5"/>
  <c r="F230" i="5"/>
  <c r="F242" i="5"/>
  <c r="F254" i="5"/>
  <c r="F276" i="5"/>
  <c r="F302" i="5"/>
  <c r="F364" i="5"/>
  <c r="F386" i="5"/>
  <c r="F425" i="5"/>
  <c r="F432" i="5"/>
  <c r="F450" i="5"/>
  <c r="F505" i="5"/>
  <c r="F20" i="5"/>
  <c r="F36" i="5"/>
  <c r="F86" i="5"/>
  <c r="F110" i="5"/>
  <c r="F402" i="5"/>
  <c r="F366" i="5"/>
  <c r="F306" i="5"/>
  <c r="F288" i="5"/>
  <c r="F130" i="5"/>
  <c r="F96" i="5"/>
  <c r="F78" i="5"/>
  <c r="F66" i="5"/>
  <c r="F42" i="5"/>
  <c r="F19" i="5"/>
  <c r="F376" i="5"/>
  <c r="J376" i="5" s="1"/>
  <c r="J349" i="5"/>
  <c r="F508" i="5"/>
  <c r="F476" i="5"/>
  <c r="F440" i="5"/>
  <c r="F431" i="5"/>
  <c r="F401" i="5"/>
  <c r="F394" i="5"/>
  <c r="F383" i="5"/>
  <c r="F375" i="5"/>
  <c r="F356" i="5"/>
  <c r="F348" i="5"/>
  <c r="F284" i="5"/>
  <c r="F266" i="5"/>
  <c r="F252" i="5"/>
  <c r="F220" i="5"/>
  <c r="F208" i="5"/>
  <c r="F164" i="5"/>
  <c r="F126" i="5"/>
  <c r="F108" i="5"/>
  <c r="F385" i="5"/>
  <c r="F338" i="5"/>
  <c r="F320" i="5"/>
  <c r="F282" i="5"/>
  <c r="F250" i="5"/>
  <c r="F234" i="5"/>
  <c r="F218" i="5"/>
  <c r="F140" i="5"/>
  <c r="F106" i="5"/>
  <c r="F92" i="5"/>
  <c r="F76" i="5"/>
  <c r="F62" i="5"/>
  <c r="F38" i="5"/>
  <c r="H100" i="5"/>
  <c r="J100" i="5"/>
  <c r="K25" i="18"/>
  <c r="D21" i="19" s="1"/>
  <c r="H20" i="18"/>
  <c r="F337" i="5"/>
  <c r="F329" i="5"/>
  <c r="F321" i="5"/>
  <c r="F313" i="5"/>
  <c r="F305" i="5"/>
  <c r="F297" i="5"/>
  <c r="F289" i="5"/>
  <c r="F281" i="5"/>
  <c r="F273" i="5"/>
  <c r="F257" i="5"/>
  <c r="F249" i="5"/>
  <c r="F241" i="5"/>
  <c r="F233" i="5"/>
  <c r="F225" i="5"/>
  <c r="F217" i="5"/>
  <c r="F201" i="5"/>
  <c r="F193" i="5"/>
  <c r="F185" i="5"/>
  <c r="F177" i="5"/>
  <c r="F169" i="5"/>
  <c r="F161" i="5"/>
  <c r="F153" i="5"/>
  <c r="F137" i="5"/>
  <c r="F129" i="5"/>
  <c r="F121" i="5"/>
  <c r="F113" i="5"/>
  <c r="F97" i="5"/>
  <c r="F89" i="5"/>
  <c r="F73" i="5"/>
  <c r="F65" i="5"/>
  <c r="F57" i="5"/>
  <c r="F49" i="5"/>
  <c r="F41" i="5"/>
  <c r="F33" i="5"/>
  <c r="F25" i="5"/>
  <c r="F350" i="5"/>
  <c r="F335" i="5"/>
  <c r="F319" i="5"/>
  <c r="F311" i="5"/>
  <c r="F303" i="5"/>
  <c r="F295" i="5"/>
  <c r="F287" i="5"/>
  <c r="F279" i="5"/>
  <c r="F271" i="5"/>
  <c r="F263" i="5"/>
  <c r="F247" i="5"/>
  <c r="F231" i="5"/>
  <c r="F215" i="5"/>
  <c r="F207" i="5"/>
  <c r="F191" i="5"/>
  <c r="F183" i="5"/>
  <c r="F175" i="5"/>
  <c r="F167" i="5"/>
  <c r="F143" i="5"/>
  <c r="F127" i="5"/>
  <c r="F119" i="5"/>
  <c r="F103" i="5"/>
  <c r="F95" i="5"/>
  <c r="F87" i="5"/>
  <c r="F79" i="5"/>
  <c r="F71" i="5"/>
  <c r="F63" i="5"/>
  <c r="F55" i="5"/>
  <c r="F47" i="5"/>
  <c r="F39" i="5"/>
  <c r="F31" i="5"/>
  <c r="F23" i="5"/>
  <c r="H156" i="5"/>
  <c r="J156" i="5"/>
  <c r="H124" i="5"/>
  <c r="J124" i="5"/>
  <c r="I13" i="9"/>
  <c r="K35" i="18"/>
  <c r="D23" i="19" s="1"/>
  <c r="K40" i="18"/>
  <c r="D24" i="19" s="1"/>
  <c r="F362" i="5"/>
  <c r="E123" i="17"/>
  <c r="F384" i="5"/>
  <c r="K20" i="18"/>
  <c r="D26" i="19" s="1"/>
  <c r="O38" i="11"/>
  <c r="K30" i="18"/>
  <c r="D22" i="19" s="1"/>
  <c r="D29" i="19" s="1"/>
  <c r="BX11" i="4"/>
  <c r="K73" i="3"/>
  <c r="M73" i="3"/>
  <c r="F73" i="3"/>
  <c r="L73" i="3" s="1"/>
  <c r="BX9" i="4"/>
  <c r="H77" i="3"/>
  <c r="K75" i="3"/>
  <c r="M75" i="3"/>
  <c r="M72" i="3"/>
  <c r="F41" i="3"/>
  <c r="L41" i="3" s="1"/>
  <c r="K40" i="3"/>
  <c r="F39" i="3"/>
  <c r="L39" i="3" s="1"/>
  <c r="K38" i="3"/>
  <c r="M37" i="3"/>
  <c r="E36" i="3"/>
  <c r="K13" i="3"/>
  <c r="C7" i="8" s="1"/>
  <c r="BE11" i="4"/>
  <c r="J509" i="5"/>
  <c r="M39" i="3"/>
  <c r="F11" i="3"/>
  <c r="L11" i="3" s="1"/>
  <c r="M38" i="3"/>
  <c r="C71" i="3"/>
  <c r="E71" i="3" s="1"/>
  <c r="AW9" i="4"/>
  <c r="J518" i="5"/>
  <c r="H513" i="5"/>
  <c r="J513" i="5"/>
  <c r="J14" i="3"/>
  <c r="C74" i="3"/>
  <c r="E74" i="3" s="1"/>
  <c r="M11" i="3"/>
  <c r="L9" i="4"/>
  <c r="AM8" i="4"/>
  <c r="M41" i="3"/>
  <c r="H71" i="3"/>
  <c r="H76" i="3" s="1"/>
  <c r="L10" i="3"/>
  <c r="F7" i="3"/>
  <c r="H42" i="3"/>
  <c r="K37" i="3"/>
  <c r="G42" i="3"/>
  <c r="J40" i="3"/>
  <c r="G74" i="3"/>
  <c r="J74" i="3" s="1"/>
  <c r="E14" i="3"/>
  <c r="E13" i="3"/>
  <c r="K11" i="3"/>
  <c r="K14" i="3" s="1"/>
  <c r="C12" i="8" s="1"/>
  <c r="M9" i="3"/>
  <c r="L8" i="3"/>
  <c r="BO13" i="4"/>
  <c r="V10" i="4"/>
  <c r="J514" i="5"/>
  <c r="U10" i="4"/>
  <c r="AV9" i="4"/>
  <c r="I43" i="3"/>
  <c r="I70" i="3"/>
  <c r="J37" i="3"/>
  <c r="J42" i="3" s="1"/>
  <c r="G71" i="3"/>
  <c r="J71" i="3" s="1"/>
  <c r="J13" i="3"/>
  <c r="F12" i="3"/>
  <c r="L12" i="3" s="1"/>
  <c r="K48" i="17"/>
  <c r="L48" i="17" s="1"/>
  <c r="D27" i="8" s="1"/>
  <c r="J500" i="5"/>
  <c r="H504" i="5"/>
  <c r="H408" i="5"/>
  <c r="H376" i="5"/>
  <c r="H344" i="5"/>
  <c r="J517" i="5"/>
  <c r="F47" i="20"/>
  <c r="G25" i="20"/>
  <c r="K15" i="18"/>
  <c r="D27" i="19" s="1"/>
  <c r="E124" i="17"/>
  <c r="L49" i="17"/>
  <c r="E27" i="8" s="1"/>
  <c r="L16" i="8" s="1"/>
  <c r="L47" i="17"/>
  <c r="L50" i="17" s="1"/>
  <c r="H161" i="5" l="1"/>
  <c r="J161" i="5"/>
  <c r="H505" i="5"/>
  <c r="J505" i="5"/>
  <c r="H390" i="5"/>
  <c r="J390" i="5"/>
  <c r="H434" i="5"/>
  <c r="J434" i="5"/>
  <c r="H256" i="5"/>
  <c r="J256" i="5"/>
  <c r="H229" i="5"/>
  <c r="J229" i="5"/>
  <c r="H147" i="5"/>
  <c r="J147" i="5"/>
  <c r="H350" i="5"/>
  <c r="J350" i="5"/>
  <c r="H89" i="5"/>
  <c r="J89" i="5"/>
  <c r="H169" i="5"/>
  <c r="J169" i="5"/>
  <c r="H241" i="5"/>
  <c r="J241" i="5"/>
  <c r="H313" i="5"/>
  <c r="J313" i="5"/>
  <c r="H38" i="5"/>
  <c r="J38" i="5"/>
  <c r="H250" i="5"/>
  <c r="J250" i="5"/>
  <c r="H208" i="5"/>
  <c r="J208" i="5"/>
  <c r="H383" i="5"/>
  <c r="J383" i="5"/>
  <c r="H306" i="5"/>
  <c r="J306" i="5"/>
  <c r="H450" i="5"/>
  <c r="J450" i="5"/>
  <c r="H242" i="5"/>
  <c r="J242" i="5"/>
  <c r="H18" i="5"/>
  <c r="J18" i="5"/>
  <c r="H324" i="5"/>
  <c r="J324" i="5"/>
  <c r="H128" i="5"/>
  <c r="J128" i="5"/>
  <c r="J368" i="5"/>
  <c r="H368" i="5"/>
  <c r="H248" i="5"/>
  <c r="J248" i="5"/>
  <c r="H470" i="5"/>
  <c r="J470" i="5"/>
  <c r="H88" i="5"/>
  <c r="J88" i="5"/>
  <c r="H67" i="5"/>
  <c r="J67" i="5"/>
  <c r="H310" i="5"/>
  <c r="J310" i="5"/>
  <c r="H455" i="5"/>
  <c r="J455" i="5"/>
  <c r="H367" i="5"/>
  <c r="J367" i="5"/>
  <c r="H74" i="5"/>
  <c r="J74" i="5"/>
  <c r="H214" i="5"/>
  <c r="J214" i="5"/>
  <c r="H353" i="5"/>
  <c r="J353" i="5"/>
  <c r="H52" i="5"/>
  <c r="J52" i="5"/>
  <c r="H171" i="5"/>
  <c r="J171" i="5"/>
  <c r="H430" i="5"/>
  <c r="J430" i="5"/>
  <c r="H315" i="5"/>
  <c r="J315" i="5"/>
  <c r="H123" i="5"/>
  <c r="J123" i="5"/>
  <c r="J435" i="5"/>
  <c r="H435" i="5"/>
  <c r="H131" i="5"/>
  <c r="J131" i="5"/>
  <c r="H492" i="5"/>
  <c r="J492" i="5"/>
  <c r="H85" i="5"/>
  <c r="J85" i="5"/>
  <c r="H269" i="5"/>
  <c r="J269" i="5"/>
  <c r="H389" i="5"/>
  <c r="J389" i="5"/>
  <c r="H181" i="5"/>
  <c r="J181" i="5"/>
  <c r="H363" i="5"/>
  <c r="J363" i="5"/>
  <c r="H221" i="5"/>
  <c r="J221" i="5"/>
  <c r="H325" i="5"/>
  <c r="J325" i="5"/>
  <c r="H73" i="5"/>
  <c r="J73" i="5"/>
  <c r="H288" i="5"/>
  <c r="J288" i="5"/>
  <c r="H270" i="5"/>
  <c r="J270" i="5"/>
  <c r="H202" i="5"/>
  <c r="J202" i="5"/>
  <c r="H481" i="5"/>
  <c r="J481" i="5"/>
  <c r="H381" i="5"/>
  <c r="J381" i="5"/>
  <c r="H175" i="5"/>
  <c r="J175" i="5"/>
  <c r="H25" i="5"/>
  <c r="J25" i="5"/>
  <c r="H282" i="5"/>
  <c r="J282" i="5"/>
  <c r="H230" i="5"/>
  <c r="J230" i="5"/>
  <c r="H236" i="5"/>
  <c r="J236" i="5"/>
  <c r="H436" i="5"/>
  <c r="J436" i="5"/>
  <c r="J472" i="5"/>
  <c r="H472" i="5"/>
  <c r="H232" i="5"/>
  <c r="J232" i="5"/>
  <c r="H132" i="5"/>
  <c r="J132" i="5"/>
  <c r="H104" i="5"/>
  <c r="J104" i="5"/>
  <c r="H433" i="5"/>
  <c r="J433" i="5"/>
  <c r="H451" i="5"/>
  <c r="J451" i="5"/>
  <c r="H114" i="5"/>
  <c r="J114" i="5"/>
  <c r="H309" i="5"/>
  <c r="J309" i="5"/>
  <c r="H228" i="5"/>
  <c r="J228" i="5"/>
  <c r="H429" i="5"/>
  <c r="J429" i="5"/>
  <c r="H205" i="5"/>
  <c r="J205" i="5"/>
  <c r="H261" i="5"/>
  <c r="J261" i="5"/>
  <c r="H413" i="5"/>
  <c r="J413" i="5"/>
  <c r="H335" i="5"/>
  <c r="J335" i="5"/>
  <c r="H375" i="5"/>
  <c r="J375" i="5"/>
  <c r="H490" i="5"/>
  <c r="J490" i="5"/>
  <c r="H346" i="5"/>
  <c r="J346" i="5"/>
  <c r="H115" i="5"/>
  <c r="J115" i="5"/>
  <c r="H427" i="5"/>
  <c r="J427" i="5"/>
  <c r="H271" i="5"/>
  <c r="J271" i="5"/>
  <c r="H279" i="5"/>
  <c r="J279" i="5"/>
  <c r="H62" i="5"/>
  <c r="J62" i="5"/>
  <c r="J432" i="5"/>
  <c r="H432" i="5"/>
  <c r="J354" i="5"/>
  <c r="H354" i="5"/>
  <c r="H80" i="5"/>
  <c r="J80" i="5"/>
  <c r="H328" i="5"/>
  <c r="J328" i="5"/>
  <c r="J415" i="5"/>
  <c r="H415" i="5"/>
  <c r="H372" i="5"/>
  <c r="J372" i="5"/>
  <c r="H211" i="5"/>
  <c r="J211" i="5"/>
  <c r="H419" i="5"/>
  <c r="J419" i="5"/>
  <c r="H139" i="5"/>
  <c r="J139" i="5"/>
  <c r="J496" i="5"/>
  <c r="H496" i="5"/>
  <c r="H93" i="5"/>
  <c r="J93" i="5"/>
  <c r="M70" i="3"/>
  <c r="H31" i="5"/>
  <c r="J31" i="5"/>
  <c r="H95" i="5"/>
  <c r="J95" i="5"/>
  <c r="H191" i="5"/>
  <c r="J191" i="5"/>
  <c r="H287" i="5"/>
  <c r="J287" i="5"/>
  <c r="H33" i="5"/>
  <c r="J33" i="5"/>
  <c r="H113" i="5"/>
  <c r="J113" i="5"/>
  <c r="H185" i="5"/>
  <c r="J185" i="5"/>
  <c r="H257" i="5"/>
  <c r="J257" i="5"/>
  <c r="H329" i="5"/>
  <c r="J329" i="5"/>
  <c r="H76" i="5"/>
  <c r="J76" i="5"/>
  <c r="H320" i="5"/>
  <c r="J320" i="5"/>
  <c r="H252" i="5"/>
  <c r="J252" i="5"/>
  <c r="H401" i="5"/>
  <c r="J401" i="5"/>
  <c r="H42" i="5"/>
  <c r="J42" i="5"/>
  <c r="H402" i="5"/>
  <c r="J402" i="5"/>
  <c r="H425" i="5"/>
  <c r="J425" i="5"/>
  <c r="H198" i="5"/>
  <c r="J198" i="5"/>
  <c r="H486" i="5"/>
  <c r="J486" i="5"/>
  <c r="H286" i="5"/>
  <c r="J286" i="5"/>
  <c r="H28" i="5"/>
  <c r="J28" i="5"/>
  <c r="H342" i="5"/>
  <c r="J342" i="5"/>
  <c r="H112" i="5"/>
  <c r="J112" i="5"/>
  <c r="H454" i="5"/>
  <c r="J454" i="5"/>
  <c r="H48" i="5"/>
  <c r="J48" i="5"/>
  <c r="H116" i="5"/>
  <c r="J116" i="5"/>
  <c r="H343" i="5"/>
  <c r="J343" i="5"/>
  <c r="H478" i="5"/>
  <c r="J478" i="5"/>
  <c r="J423" i="5"/>
  <c r="H423" i="5"/>
  <c r="H246" i="5"/>
  <c r="J246" i="5"/>
  <c r="H418" i="5"/>
  <c r="J418" i="5"/>
  <c r="H244" i="5"/>
  <c r="J244" i="5"/>
  <c r="H283" i="5"/>
  <c r="J283" i="5"/>
  <c r="H186" i="5"/>
  <c r="J186" i="5"/>
  <c r="H443" i="5"/>
  <c r="J443" i="5"/>
  <c r="H449" i="5"/>
  <c r="J449" i="5"/>
  <c r="H163" i="5"/>
  <c r="J163" i="5"/>
  <c r="H499" i="5"/>
  <c r="J499" i="5"/>
  <c r="H452" i="5"/>
  <c r="J452" i="5"/>
  <c r="H210" i="5"/>
  <c r="J210" i="5"/>
  <c r="H21" i="5"/>
  <c r="J21" i="5"/>
  <c r="H109" i="5"/>
  <c r="J109" i="5"/>
  <c r="H459" i="5"/>
  <c r="J459" i="5"/>
  <c r="H30" i="5"/>
  <c r="J30" i="5"/>
  <c r="H253" i="5"/>
  <c r="J253" i="5"/>
  <c r="H68" i="5"/>
  <c r="J68" i="5"/>
  <c r="H301" i="5"/>
  <c r="J301" i="5"/>
  <c r="H461" i="5"/>
  <c r="J461" i="5"/>
  <c r="H437" i="5"/>
  <c r="J437" i="5"/>
  <c r="H71" i="5"/>
  <c r="J71" i="5"/>
  <c r="H305" i="5"/>
  <c r="J305" i="5"/>
  <c r="H46" i="5"/>
  <c r="J46" i="5"/>
  <c r="H51" i="5"/>
  <c r="J51" i="5"/>
  <c r="H399" i="5"/>
  <c r="J399" i="5"/>
  <c r="H61" i="5"/>
  <c r="J61" i="5"/>
  <c r="H446" i="5"/>
  <c r="J446" i="5"/>
  <c r="K72" i="3"/>
  <c r="H23" i="5"/>
  <c r="J23" i="5"/>
  <c r="H177" i="5"/>
  <c r="J177" i="5"/>
  <c r="H394" i="5"/>
  <c r="J394" i="5"/>
  <c r="H312" i="5"/>
  <c r="J312" i="5"/>
  <c r="J464" i="5"/>
  <c r="H464" i="5"/>
  <c r="H39" i="5"/>
  <c r="J39" i="5"/>
  <c r="H103" i="5"/>
  <c r="J103" i="5"/>
  <c r="H207" i="5"/>
  <c r="J207" i="5"/>
  <c r="H295" i="5"/>
  <c r="J295" i="5"/>
  <c r="H41" i="5"/>
  <c r="J41" i="5"/>
  <c r="H121" i="5"/>
  <c r="J121" i="5"/>
  <c r="H193" i="5"/>
  <c r="J193" i="5"/>
  <c r="H273" i="5"/>
  <c r="J273" i="5"/>
  <c r="H337" i="5"/>
  <c r="J337" i="5"/>
  <c r="H92" i="5"/>
  <c r="J92" i="5"/>
  <c r="H338" i="5"/>
  <c r="J338" i="5"/>
  <c r="H266" i="5"/>
  <c r="J266" i="5"/>
  <c r="H431" i="5"/>
  <c r="J431" i="5"/>
  <c r="H66" i="5"/>
  <c r="J66" i="5"/>
  <c r="H110" i="5"/>
  <c r="J110" i="5"/>
  <c r="H386" i="5"/>
  <c r="J386" i="5"/>
  <c r="H162" i="5"/>
  <c r="J162" i="5"/>
  <c r="J462" i="5"/>
  <c r="H462" i="5"/>
  <c r="H274" i="5"/>
  <c r="J274" i="5"/>
  <c r="H466" i="5"/>
  <c r="J466" i="5"/>
  <c r="H332" i="5"/>
  <c r="J332" i="5"/>
  <c r="H102" i="5"/>
  <c r="J102" i="5"/>
  <c r="H442" i="5"/>
  <c r="J442" i="5"/>
  <c r="H32" i="5"/>
  <c r="J32" i="5"/>
  <c r="H134" i="5"/>
  <c r="J134" i="5"/>
  <c r="H369" i="5"/>
  <c r="J369" i="5"/>
  <c r="J494" i="5"/>
  <c r="H494" i="5"/>
  <c r="H447" i="5"/>
  <c r="J447" i="5"/>
  <c r="H150" i="5"/>
  <c r="J150" i="5"/>
  <c r="H264" i="5"/>
  <c r="J264" i="5"/>
  <c r="H428" i="5"/>
  <c r="J428" i="5"/>
  <c r="H278" i="5"/>
  <c r="J278" i="5"/>
  <c r="H323" i="5"/>
  <c r="J323" i="5"/>
  <c r="H200" i="5"/>
  <c r="J200" i="5"/>
  <c r="H491" i="5"/>
  <c r="J491" i="5"/>
  <c r="H203" i="5"/>
  <c r="J203" i="5"/>
  <c r="H82" i="5"/>
  <c r="J82" i="5"/>
  <c r="H441" i="5"/>
  <c r="J441" i="5"/>
  <c r="H292" i="5"/>
  <c r="J292" i="5"/>
  <c r="H29" i="5"/>
  <c r="J29" i="5"/>
  <c r="H117" i="5"/>
  <c r="J117" i="5"/>
  <c r="H444" i="5"/>
  <c r="J444" i="5"/>
  <c r="H489" i="5"/>
  <c r="J489" i="5"/>
  <c r="H293" i="5"/>
  <c r="J293" i="5"/>
  <c r="H237" i="5"/>
  <c r="J237" i="5"/>
  <c r="H391" i="5"/>
  <c r="J391" i="5"/>
  <c r="H373" i="5"/>
  <c r="J373" i="5"/>
  <c r="H149" i="5"/>
  <c r="J149" i="5"/>
  <c r="H457" i="5"/>
  <c r="J457" i="5"/>
  <c r="J384" i="5"/>
  <c r="H384" i="5"/>
  <c r="H233" i="5"/>
  <c r="J233" i="5"/>
  <c r="H254" i="5"/>
  <c r="J254" i="5"/>
  <c r="J392" i="5"/>
  <c r="H392" i="5"/>
  <c r="H458" i="5"/>
  <c r="J458" i="5"/>
  <c r="J456" i="5"/>
  <c r="H456" i="5"/>
  <c r="H173" i="5"/>
  <c r="J173" i="5"/>
  <c r="H87" i="5"/>
  <c r="J87" i="5"/>
  <c r="H249" i="5"/>
  <c r="J249" i="5"/>
  <c r="H19" i="5"/>
  <c r="J19" i="5"/>
  <c r="A6" i="5" s="1"/>
  <c r="H58" i="5"/>
  <c r="J58" i="5"/>
  <c r="H119" i="5"/>
  <c r="J119" i="5"/>
  <c r="H215" i="5"/>
  <c r="J215" i="5"/>
  <c r="H303" i="5"/>
  <c r="J303" i="5"/>
  <c r="H49" i="5"/>
  <c r="J49" i="5"/>
  <c r="H129" i="5"/>
  <c r="J129" i="5"/>
  <c r="H201" i="5"/>
  <c r="J201" i="5"/>
  <c r="H281" i="5"/>
  <c r="J281" i="5"/>
  <c r="H106" i="5"/>
  <c r="J106" i="5"/>
  <c r="H385" i="5"/>
  <c r="J385" i="5"/>
  <c r="H284" i="5"/>
  <c r="J284" i="5"/>
  <c r="J440" i="5"/>
  <c r="H440" i="5"/>
  <c r="H78" i="5"/>
  <c r="J78" i="5"/>
  <c r="H86" i="5"/>
  <c r="J86" i="5"/>
  <c r="H364" i="5"/>
  <c r="J364" i="5"/>
  <c r="H118" i="5"/>
  <c r="J118" i="5"/>
  <c r="J424" i="5"/>
  <c r="H424" i="5"/>
  <c r="H216" i="5"/>
  <c r="J216" i="5"/>
  <c r="H460" i="5"/>
  <c r="J460" i="5"/>
  <c r="H322" i="5"/>
  <c r="J322" i="5"/>
  <c r="H54" i="5"/>
  <c r="J54" i="5"/>
  <c r="J426" i="5"/>
  <c r="H426" i="5"/>
  <c r="H24" i="5"/>
  <c r="J24" i="5"/>
  <c r="H170" i="5"/>
  <c r="J170" i="5"/>
  <c r="H378" i="5"/>
  <c r="J378" i="5"/>
  <c r="H502" i="5"/>
  <c r="J502" i="5"/>
  <c r="H463" i="5"/>
  <c r="J463" i="5"/>
  <c r="H160" i="5"/>
  <c r="J160" i="5"/>
  <c r="H298" i="5"/>
  <c r="J298" i="5"/>
  <c r="J439" i="5"/>
  <c r="H439" i="5"/>
  <c r="J414" i="5"/>
  <c r="H414" i="5"/>
  <c r="H411" i="5"/>
  <c r="J411" i="5"/>
  <c r="H314" i="5"/>
  <c r="J314" i="5"/>
  <c r="H179" i="5"/>
  <c r="J179" i="5"/>
  <c r="H515" i="5"/>
  <c r="J515" i="5"/>
  <c r="H227" i="5"/>
  <c r="J227" i="5"/>
  <c r="H27" i="5"/>
  <c r="J27" i="5"/>
  <c r="H75" i="5"/>
  <c r="J75" i="5"/>
  <c r="H358" i="5"/>
  <c r="J358" i="5"/>
  <c r="H37" i="5"/>
  <c r="J37" i="5"/>
  <c r="H125" i="5"/>
  <c r="J125" i="5"/>
  <c r="J480" i="5"/>
  <c r="H480" i="5"/>
  <c r="H395" i="5"/>
  <c r="J395" i="5"/>
  <c r="H260" i="5"/>
  <c r="J260" i="5"/>
  <c r="H275" i="5"/>
  <c r="J275" i="5"/>
  <c r="H333" i="5"/>
  <c r="J333" i="5"/>
  <c r="H277" i="5"/>
  <c r="J277" i="5"/>
  <c r="J471" i="5"/>
  <c r="H471" i="5"/>
  <c r="H421" i="5"/>
  <c r="J421" i="5"/>
  <c r="H157" i="5"/>
  <c r="J157" i="5"/>
  <c r="H495" i="5"/>
  <c r="J495" i="5"/>
  <c r="H167" i="5"/>
  <c r="J167" i="5"/>
  <c r="H234" i="5"/>
  <c r="J234" i="5"/>
  <c r="H336" i="5"/>
  <c r="J336" i="5"/>
  <c r="H272" i="5"/>
  <c r="J272" i="5"/>
  <c r="H267" i="5"/>
  <c r="J267" i="5"/>
  <c r="H70" i="5"/>
  <c r="J70" i="5"/>
  <c r="H285" i="5"/>
  <c r="J285" i="5"/>
  <c r="H362" i="5"/>
  <c r="J362" i="5"/>
  <c r="H97" i="5"/>
  <c r="J97" i="5"/>
  <c r="H220" i="5"/>
  <c r="J220" i="5"/>
  <c r="H497" i="5"/>
  <c r="J497" i="5"/>
  <c r="H55" i="5"/>
  <c r="J55" i="5"/>
  <c r="H231" i="5"/>
  <c r="J231" i="5"/>
  <c r="H57" i="5"/>
  <c r="J57" i="5"/>
  <c r="H217" i="5"/>
  <c r="J217" i="5"/>
  <c r="H140" i="5"/>
  <c r="J140" i="5"/>
  <c r="H108" i="5"/>
  <c r="J108" i="5"/>
  <c r="H348" i="5"/>
  <c r="J348" i="5"/>
  <c r="J476" i="5"/>
  <c r="H476" i="5"/>
  <c r="H96" i="5"/>
  <c r="J96" i="5"/>
  <c r="H36" i="5"/>
  <c r="J36" i="5"/>
  <c r="H302" i="5"/>
  <c r="J302" i="5"/>
  <c r="H98" i="5"/>
  <c r="J98" i="5"/>
  <c r="H417" i="5"/>
  <c r="J417" i="5"/>
  <c r="H206" i="5"/>
  <c r="J206" i="5"/>
  <c r="J416" i="5"/>
  <c r="H416" i="5"/>
  <c r="H308" i="5"/>
  <c r="J308" i="5"/>
  <c r="H26" i="5"/>
  <c r="J26" i="5"/>
  <c r="H409" i="5"/>
  <c r="J409" i="5"/>
  <c r="H16" i="5"/>
  <c r="A4" i="5" s="1"/>
  <c r="A8" i="5" s="1"/>
  <c r="E8" i="4" s="1"/>
  <c r="J16" i="5"/>
  <c r="H240" i="5"/>
  <c r="J240" i="5"/>
  <c r="H388" i="5"/>
  <c r="J388" i="5"/>
  <c r="J520" i="5"/>
  <c r="H520" i="5"/>
  <c r="H479" i="5"/>
  <c r="J479" i="5"/>
  <c r="H176" i="5"/>
  <c r="J176" i="5"/>
  <c r="H318" i="5"/>
  <c r="J318" i="5"/>
  <c r="H484" i="5"/>
  <c r="J484" i="5"/>
  <c r="J483" i="5"/>
  <c r="H483" i="5"/>
  <c r="H341" i="5"/>
  <c r="J341" i="5"/>
  <c r="H219" i="5"/>
  <c r="J219" i="5"/>
  <c r="H22" i="5"/>
  <c r="J22" i="5"/>
  <c r="H259" i="5"/>
  <c r="J259" i="5"/>
  <c r="H35" i="5"/>
  <c r="J35" i="5"/>
  <c r="H91" i="5"/>
  <c r="J91" i="5"/>
  <c r="H45" i="5"/>
  <c r="J45" i="5"/>
  <c r="H133" i="5"/>
  <c r="J133" i="5"/>
  <c r="H503" i="5"/>
  <c r="J503" i="5"/>
  <c r="H387" i="5"/>
  <c r="J387" i="5"/>
  <c r="H268" i="5"/>
  <c r="J268" i="5"/>
  <c r="H420" i="5"/>
  <c r="J420" i="5"/>
  <c r="H482" i="5"/>
  <c r="J482" i="5"/>
  <c r="H405" i="5"/>
  <c r="J405" i="5"/>
  <c r="H380" i="5"/>
  <c r="J380" i="5"/>
  <c r="H317" i="5"/>
  <c r="J317" i="5"/>
  <c r="H307" i="5"/>
  <c r="J307" i="5"/>
  <c r="H453" i="5"/>
  <c r="J453" i="5"/>
  <c r="H189" i="5"/>
  <c r="J189" i="5"/>
  <c r="H263" i="5"/>
  <c r="J263" i="5"/>
  <c r="H164" i="5"/>
  <c r="J164" i="5"/>
  <c r="H148" i="5"/>
  <c r="J148" i="5"/>
  <c r="H519" i="5"/>
  <c r="J519" i="5"/>
  <c r="H355" i="5"/>
  <c r="J355" i="5"/>
  <c r="H99" i="5"/>
  <c r="J99" i="5"/>
  <c r="H79" i="5"/>
  <c r="J79" i="5"/>
  <c r="H183" i="5"/>
  <c r="J183" i="5"/>
  <c r="H321" i="5"/>
  <c r="J321" i="5"/>
  <c r="J366" i="5"/>
  <c r="H366" i="5"/>
  <c r="H47" i="5"/>
  <c r="J47" i="5"/>
  <c r="H127" i="5"/>
  <c r="J127" i="5"/>
  <c r="H311" i="5"/>
  <c r="J311" i="5"/>
  <c r="H137" i="5"/>
  <c r="J137" i="5"/>
  <c r="H289" i="5"/>
  <c r="J289" i="5"/>
  <c r="H63" i="5"/>
  <c r="J63" i="5"/>
  <c r="H143" i="5"/>
  <c r="J143" i="5"/>
  <c r="H247" i="5"/>
  <c r="J247" i="5"/>
  <c r="H319" i="5"/>
  <c r="J319" i="5"/>
  <c r="H65" i="5"/>
  <c r="J65" i="5"/>
  <c r="H153" i="5"/>
  <c r="J153" i="5"/>
  <c r="H225" i="5"/>
  <c r="J225" i="5"/>
  <c r="H297" i="5"/>
  <c r="J297" i="5"/>
  <c r="H218" i="5"/>
  <c r="J218" i="5"/>
  <c r="H126" i="5"/>
  <c r="J126" i="5"/>
  <c r="H356" i="5"/>
  <c r="J356" i="5"/>
  <c r="J508" i="5"/>
  <c r="H508" i="5"/>
  <c r="H130" i="5"/>
  <c r="J130" i="5"/>
  <c r="H20" i="5"/>
  <c r="J20" i="5"/>
  <c r="H276" i="5"/>
  <c r="J276" i="5"/>
  <c r="H60" i="5"/>
  <c r="J60" i="5"/>
  <c r="H412" i="5"/>
  <c r="J412" i="5"/>
  <c r="H196" i="5"/>
  <c r="J196" i="5"/>
  <c r="H410" i="5"/>
  <c r="J410" i="5"/>
  <c r="H296" i="5"/>
  <c r="J296" i="5"/>
  <c r="J512" i="5"/>
  <c r="H512" i="5"/>
  <c r="H398" i="5"/>
  <c r="J398" i="5"/>
  <c r="H43" i="5"/>
  <c r="J43" i="5"/>
  <c r="H258" i="5"/>
  <c r="J258" i="5"/>
  <c r="H404" i="5"/>
  <c r="J404" i="5"/>
  <c r="H487" i="5"/>
  <c r="J487" i="5"/>
  <c r="H188" i="5"/>
  <c r="J188" i="5"/>
  <c r="H334" i="5"/>
  <c r="J334" i="5"/>
  <c r="H507" i="5"/>
  <c r="J507" i="5"/>
  <c r="H382" i="5"/>
  <c r="J382" i="5"/>
  <c r="H251" i="5"/>
  <c r="J251" i="5"/>
  <c r="H226" i="5"/>
  <c r="J226" i="5"/>
  <c r="H299" i="5"/>
  <c r="J299" i="5"/>
  <c r="H468" i="5"/>
  <c r="J468" i="5"/>
  <c r="H107" i="5"/>
  <c r="J107" i="5"/>
  <c r="H53" i="5"/>
  <c r="J53" i="5"/>
  <c r="H44" i="5"/>
  <c r="J44" i="5"/>
  <c r="H165" i="5"/>
  <c r="J165" i="5"/>
  <c r="H122" i="5"/>
  <c r="J122" i="5"/>
  <c r="H172" i="5"/>
  <c r="J172" i="5"/>
  <c r="H506" i="5"/>
  <c r="J506" i="5"/>
  <c r="H445" i="5"/>
  <c r="J445" i="5"/>
  <c r="H438" i="5"/>
  <c r="J438" i="5"/>
  <c r="H158" i="5"/>
  <c r="J158" i="5"/>
  <c r="H120" i="5"/>
  <c r="J120" i="5"/>
  <c r="H245" i="5"/>
  <c r="J245" i="5"/>
  <c r="F74" i="3"/>
  <c r="M74" i="3"/>
  <c r="K74" i="3"/>
  <c r="C34" i="19"/>
  <c r="C35" i="19"/>
  <c r="BN8" i="4"/>
  <c r="F71" i="3"/>
  <c r="L71" i="3" s="1"/>
  <c r="M71" i="3"/>
  <c r="K71" i="3"/>
  <c r="G76" i="3"/>
  <c r="C27" i="8"/>
  <c r="L15" i="8" s="1"/>
  <c r="F37" i="3"/>
  <c r="L37" i="3" s="1"/>
  <c r="K36" i="3"/>
  <c r="E43" i="3"/>
  <c r="F36" i="3"/>
  <c r="M36" i="3"/>
  <c r="E42" i="3"/>
  <c r="I77" i="3"/>
  <c r="I76" i="3"/>
  <c r="J70" i="3"/>
  <c r="BX13" i="4"/>
  <c r="F14" i="3"/>
  <c r="F13" i="3"/>
  <c r="L74" i="3"/>
  <c r="AM9" i="4"/>
  <c r="L10" i="4"/>
  <c r="D30" i="19"/>
  <c r="L7" i="3"/>
  <c r="BW9" i="4"/>
  <c r="E76" i="3"/>
  <c r="AV10" i="4"/>
  <c r="U11" i="4"/>
  <c r="M14" i="3"/>
  <c r="E12" i="8" s="1"/>
  <c r="M13" i="3"/>
  <c r="E7" i="8" s="1"/>
  <c r="E77" i="3"/>
  <c r="F40" i="3"/>
  <c r="L40" i="3" s="1"/>
  <c r="G77" i="3"/>
  <c r="J43" i="3"/>
  <c r="K70" i="3"/>
  <c r="M77" i="3" l="1"/>
  <c r="E14" i="8" s="1"/>
  <c r="AM10" i="4"/>
  <c r="L11" i="4"/>
  <c r="M43" i="3"/>
  <c r="E13" i="8" s="1"/>
  <c r="E15" i="8" s="1"/>
  <c r="L10" i="8" s="1"/>
  <c r="M42" i="3"/>
  <c r="E8" i="8" s="1"/>
  <c r="F42" i="3"/>
  <c r="F43" i="3"/>
  <c r="L36" i="3"/>
  <c r="AV11" i="4"/>
  <c r="U12" i="4"/>
  <c r="BW10" i="4"/>
  <c r="BN9" i="4"/>
  <c r="K42" i="3"/>
  <c r="C8" i="8" s="1"/>
  <c r="K43" i="3"/>
  <c r="C13" i="8" s="1"/>
  <c r="N8" i="4"/>
  <c r="AX8" i="4"/>
  <c r="AY8" i="4" s="1"/>
  <c r="E9" i="4"/>
  <c r="AF8" i="4"/>
  <c r="F8" i="4"/>
  <c r="AO8" i="4"/>
  <c r="AP8" i="4" s="1"/>
  <c r="J77" i="3"/>
  <c r="J76" i="3"/>
  <c r="F70" i="3"/>
  <c r="M76" i="3"/>
  <c r="E9" i="8" s="1"/>
  <c r="K76" i="3"/>
  <c r="C9" i="8" s="1"/>
  <c r="K77" i="3"/>
  <c r="C14" i="8" s="1"/>
  <c r="L14" i="3"/>
  <c r="D12" i="8" s="1"/>
  <c r="L13" i="3"/>
  <c r="D7" i="8" s="1"/>
  <c r="E10" i="8" l="1"/>
  <c r="L7" i="8" s="1"/>
  <c r="BY8" i="4"/>
  <c r="BZ8" i="4" s="1"/>
  <c r="AG8" i="4"/>
  <c r="BP8" i="4"/>
  <c r="BQ8" i="4" s="1"/>
  <c r="BG8" i="4"/>
  <c r="BH8" i="4" s="1"/>
  <c r="AX9" i="4"/>
  <c r="AY9" i="4" s="1"/>
  <c r="F9" i="4"/>
  <c r="AO9" i="4"/>
  <c r="AP9" i="4" s="1"/>
  <c r="N9" i="4"/>
  <c r="E10" i="4"/>
  <c r="AF9" i="4"/>
  <c r="F77" i="3"/>
  <c r="F76" i="3"/>
  <c r="AZ8" i="4"/>
  <c r="BA8" i="4"/>
  <c r="AV12" i="4"/>
  <c r="U13" i="4"/>
  <c r="O8" i="4"/>
  <c r="W8" i="4"/>
  <c r="X8" i="4" s="1"/>
  <c r="BW11" i="4"/>
  <c r="L12" i="4"/>
  <c r="AM11" i="4"/>
  <c r="C15" i="8"/>
  <c r="L8" i="8" s="1"/>
  <c r="BN10" i="4"/>
  <c r="L70" i="3"/>
  <c r="C10" i="8"/>
  <c r="L5" i="8" s="1"/>
  <c r="L43" i="3"/>
  <c r="D13" i="8" s="1"/>
  <c r="L42" i="3"/>
  <c r="D8" i="8" s="1"/>
  <c r="AQ8" i="4"/>
  <c r="AR8" i="4"/>
  <c r="G8" i="4"/>
  <c r="H8" i="4"/>
  <c r="AM12" i="4" l="1"/>
  <c r="L13" i="4"/>
  <c r="AQ9" i="4"/>
  <c r="AR9" i="4"/>
  <c r="L77" i="3"/>
  <c r="D14" i="8" s="1"/>
  <c r="D15" i="8" s="1"/>
  <c r="L9" i="8" s="1"/>
  <c r="L76" i="3"/>
  <c r="D9" i="8" s="1"/>
  <c r="D10" i="8" s="1"/>
  <c r="L6" i="8" s="1"/>
  <c r="G9" i="4"/>
  <c r="H9" i="4"/>
  <c r="BA9" i="4"/>
  <c r="AZ9" i="4"/>
  <c r="Z8" i="4"/>
  <c r="Y8" i="4"/>
  <c r="P8" i="4"/>
  <c r="Q8" i="4"/>
  <c r="BI8" i="4"/>
  <c r="BJ8" i="4"/>
  <c r="AG9" i="4"/>
  <c r="BP9" i="4"/>
  <c r="BQ9" i="4" s="1"/>
  <c r="BY9" i="4"/>
  <c r="BZ9" i="4" s="1"/>
  <c r="BG9" i="4"/>
  <c r="BH9" i="4" s="1"/>
  <c r="BR8" i="4"/>
  <c r="BS8" i="4"/>
  <c r="AV13" i="4"/>
  <c r="AF10" i="4"/>
  <c r="N10" i="4"/>
  <c r="AX10" i="4"/>
  <c r="AY10" i="4" s="1"/>
  <c r="F10" i="4"/>
  <c r="AO10" i="4"/>
  <c r="AP10" i="4" s="1"/>
  <c r="E11" i="4"/>
  <c r="AI8" i="4"/>
  <c r="AH8" i="4"/>
  <c r="BN11" i="4"/>
  <c r="BW12" i="4"/>
  <c r="W9" i="4"/>
  <c r="X9" i="4" s="1"/>
  <c r="O9" i="4"/>
  <c r="CB8" i="4"/>
  <c r="CA8" i="4"/>
  <c r="AG10" i="4" l="1"/>
  <c r="BG10" i="4"/>
  <c r="BH10" i="4" s="1"/>
  <c r="BP10" i="4"/>
  <c r="BQ10" i="4" s="1"/>
  <c r="BY10" i="4"/>
  <c r="BZ10" i="4" s="1"/>
  <c r="CA9" i="4"/>
  <c r="CB9" i="4"/>
  <c r="P9" i="4"/>
  <c r="Q9" i="4"/>
  <c r="BW13" i="4"/>
  <c r="BR9" i="4"/>
  <c r="BS9" i="4"/>
  <c r="Z9" i="4"/>
  <c r="Y9" i="4"/>
  <c r="AI9" i="4"/>
  <c r="AH9" i="4"/>
  <c r="N11" i="4"/>
  <c r="AO11" i="4"/>
  <c r="AP11" i="4" s="1"/>
  <c r="E12" i="4"/>
  <c r="F11" i="4"/>
  <c r="AF11" i="4"/>
  <c r="AX11" i="4"/>
  <c r="AY11" i="4" s="1"/>
  <c r="AM13" i="4"/>
  <c r="AQ10" i="4"/>
  <c r="AR10" i="4"/>
  <c r="BN12" i="4"/>
  <c r="G10" i="4"/>
  <c r="H10" i="4"/>
  <c r="AZ10" i="4"/>
  <c r="BA10" i="4"/>
  <c r="O10" i="4"/>
  <c r="W10" i="4"/>
  <c r="X10" i="4" s="1"/>
  <c r="BJ9" i="4"/>
  <c r="BI9" i="4"/>
  <c r="G11" i="4" l="1"/>
  <c r="H11" i="4"/>
  <c r="BY11" i="4"/>
  <c r="BZ11" i="4" s="1"/>
  <c r="BG11" i="4"/>
  <c r="BH11" i="4" s="1"/>
  <c r="AG11" i="4"/>
  <c r="BP11" i="4"/>
  <c r="BQ11" i="4" s="1"/>
  <c r="AH10" i="4"/>
  <c r="AI10" i="4"/>
  <c r="N12" i="4"/>
  <c r="AF12" i="4"/>
  <c r="AX12" i="4"/>
  <c r="AY12" i="4" s="1"/>
  <c r="E13" i="4"/>
  <c r="F12" i="4"/>
  <c r="AO12" i="4"/>
  <c r="AP12" i="4" s="1"/>
  <c r="BN13" i="4"/>
  <c r="O11" i="4"/>
  <c r="W11" i="4"/>
  <c r="X11" i="4" s="1"/>
  <c r="CA10" i="4"/>
  <c r="CB10" i="4"/>
  <c r="AQ11" i="4"/>
  <c r="AR11" i="4"/>
  <c r="Y10" i="4"/>
  <c r="Z10" i="4"/>
  <c r="BR10" i="4"/>
  <c r="BS10" i="4"/>
  <c r="P10" i="4"/>
  <c r="Q10" i="4"/>
  <c r="AZ11" i="4"/>
  <c r="BA11" i="4"/>
  <c r="BI10" i="4"/>
  <c r="BJ10" i="4"/>
  <c r="AQ12" i="4" l="1"/>
  <c r="AR12" i="4"/>
  <c r="Y11" i="4"/>
  <c r="Z11" i="4"/>
  <c r="G12" i="4"/>
  <c r="H12" i="4"/>
  <c r="BR11" i="4"/>
  <c r="BS11" i="4"/>
  <c r="AH11" i="4"/>
  <c r="AI11" i="4"/>
  <c r="AZ12" i="4"/>
  <c r="BA12" i="4"/>
  <c r="P11" i="4"/>
  <c r="Q11" i="4"/>
  <c r="BG12" i="4"/>
  <c r="BH12" i="4" s="1"/>
  <c r="BY12" i="4"/>
  <c r="BZ12" i="4" s="1"/>
  <c r="AG12" i="4"/>
  <c r="BP12" i="4"/>
  <c r="BQ12" i="4" s="1"/>
  <c r="CA11" i="4"/>
  <c r="CB11" i="4"/>
  <c r="BI11" i="4"/>
  <c r="BJ11" i="4"/>
  <c r="W12" i="4"/>
  <c r="X12" i="4" s="1"/>
  <c r="O12" i="4"/>
  <c r="F13" i="4"/>
  <c r="AF13" i="4"/>
  <c r="AX13" i="4"/>
  <c r="AY13" i="4" s="1"/>
  <c r="AO13" i="4"/>
  <c r="AP13" i="4" s="1"/>
  <c r="N13" i="4"/>
  <c r="O13" i="4" l="1"/>
  <c r="W13" i="4"/>
  <c r="X13" i="4" s="1"/>
  <c r="P12" i="4"/>
  <c r="Q12" i="4"/>
  <c r="AZ13" i="4"/>
  <c r="BA13" i="4"/>
  <c r="Y12" i="4"/>
  <c r="Z12" i="4"/>
  <c r="BR12" i="4"/>
  <c r="BS12" i="4"/>
  <c r="AQ13" i="4"/>
  <c r="AR13" i="4"/>
  <c r="BP13" i="4"/>
  <c r="BQ13" i="4" s="1"/>
  <c r="BY13" i="4"/>
  <c r="BZ13" i="4" s="1"/>
  <c r="AG13" i="4"/>
  <c r="BG13" i="4"/>
  <c r="BH13" i="4" s="1"/>
  <c r="AI12" i="4"/>
  <c r="AH12" i="4"/>
  <c r="AQ14" i="4"/>
  <c r="D19" i="8" s="1"/>
  <c r="AQ15" i="4"/>
  <c r="G13" i="4"/>
  <c r="G14" i="4" s="1"/>
  <c r="C18" i="8" s="1"/>
  <c r="H13" i="4"/>
  <c r="H14" i="4" s="1"/>
  <c r="C22" i="8" s="1"/>
  <c r="CA12" i="4"/>
  <c r="CB12" i="4"/>
  <c r="BI12" i="4"/>
  <c r="BJ12" i="4"/>
  <c r="H15" i="4" l="1"/>
  <c r="G15" i="4"/>
  <c r="AZ14" i="4"/>
  <c r="E19" i="8" s="1"/>
  <c r="AZ15" i="4"/>
  <c r="AR15" i="4"/>
  <c r="AR14" i="4"/>
  <c r="D23" i="8" s="1"/>
  <c r="BI14" i="4"/>
  <c r="BJ13" i="4"/>
  <c r="BJ14" i="4" s="1"/>
  <c r="C24" i="8" s="1"/>
  <c r="L13" i="8" s="1"/>
  <c r="BI13" i="4"/>
  <c r="BI15" i="4" s="1"/>
  <c r="Y13" i="4"/>
  <c r="Z13" i="4"/>
  <c r="Z14" i="4" s="1"/>
  <c r="E22" i="8" s="1"/>
  <c r="L14" i="8" s="1"/>
  <c r="AH13" i="4"/>
  <c r="AH14" i="4" s="1"/>
  <c r="C19" i="8" s="1"/>
  <c r="AI13" i="4"/>
  <c r="AI14" i="4" s="1"/>
  <c r="C23" i="8" s="1"/>
  <c r="Z15" i="4"/>
  <c r="P13" i="4"/>
  <c r="P14" i="4" s="1"/>
  <c r="D18" i="8" s="1"/>
  <c r="Q13" i="4"/>
  <c r="Q15" i="4" s="1"/>
  <c r="CA13" i="4"/>
  <c r="CA14" i="4" s="1"/>
  <c r="E20" i="8" s="1"/>
  <c r="CB13" i="4"/>
  <c r="CB14" i="4" s="1"/>
  <c r="E24" i="8" s="1"/>
  <c r="BR13" i="4"/>
  <c r="BR14" i="4" s="1"/>
  <c r="D20" i="8" s="1"/>
  <c r="BS13" i="4"/>
  <c r="BA15" i="4"/>
  <c r="BA14" i="4"/>
  <c r="E23" i="8" s="1"/>
  <c r="C20" i="8" l="1"/>
  <c r="L11" i="8" s="1"/>
  <c r="Q14" i="4"/>
  <c r="D22" i="8" s="1"/>
  <c r="CB15" i="4"/>
  <c r="BJ15" i="4"/>
  <c r="AI15" i="4"/>
  <c r="BS14" i="4"/>
  <c r="D24" i="8" s="1"/>
  <c r="BS15" i="4"/>
  <c r="P15" i="4"/>
  <c r="Y15" i="4"/>
  <c r="Y14" i="4"/>
  <c r="BR15" i="4"/>
  <c r="CA15" i="4"/>
  <c r="AH15" i="4"/>
  <c r="E18" i="8" l="1"/>
  <c r="L12" i="8" s="1"/>
</calcChain>
</file>

<file path=xl/sharedStrings.xml><?xml version="1.0" encoding="utf-8"?>
<sst xmlns="http://schemas.openxmlformats.org/spreadsheetml/2006/main" count="2227" uniqueCount="1433">
  <si>
    <t>SUMMARY OF ROE ANALYSES RESULTS</t>
  </si>
  <si>
    <t>X</t>
  </si>
  <si>
    <t>Y</t>
  </si>
  <si>
    <t>Constant Growth DCF</t>
  </si>
  <si>
    <t xml:space="preserve">Constant Growth Mean DCF </t>
  </si>
  <si>
    <t>Mean Low</t>
  </si>
  <si>
    <t>Mean</t>
  </si>
  <si>
    <t>Mean High</t>
  </si>
  <si>
    <t>30-Day Average</t>
  </si>
  <si>
    <t>90-Day Average</t>
  </si>
  <si>
    <t>Constant Growth Median DCF</t>
  </si>
  <si>
    <t>180-Day Average</t>
  </si>
  <si>
    <t>Constant Growth Average</t>
  </si>
  <si>
    <t>Median Low</t>
  </si>
  <si>
    <t>Median</t>
  </si>
  <si>
    <t>Median High</t>
  </si>
  <si>
    <t xml:space="preserve">CAPM </t>
  </si>
  <si>
    <t xml:space="preserve">ECAPM </t>
  </si>
  <si>
    <t>Risk Premium</t>
  </si>
  <si>
    <t>CAPM</t>
  </si>
  <si>
    <t>Current 30-day Average Treasury Bond Yield</t>
  </si>
  <si>
    <t>Near-Term Blue Chip Forecast Yield</t>
  </si>
  <si>
    <t>Long-Term Blue Chip Forecast Yield</t>
  </si>
  <si>
    <t>Low End ROE Recommendation</t>
  </si>
  <si>
    <t>Value Line Beta</t>
  </si>
  <si>
    <t>Bloomberg Beta</t>
  </si>
  <si>
    <t>High End ROE Recommendation</t>
  </si>
  <si>
    <t>Long-term Avg. Beta</t>
  </si>
  <si>
    <t>ECAPM</t>
  </si>
  <si>
    <t>Recommended ROE</t>
  </si>
  <si>
    <t>Bond Yield Risk Premium</t>
  </si>
  <si>
    <t xml:space="preserve">Results </t>
  </si>
  <si>
    <t>Size Premium</t>
  </si>
  <si>
    <t>CONSTANT GROWTH DCF MODEL</t>
  </si>
  <si>
    <t>STOCK PRICE AVERAGING CONVENTION:</t>
  </si>
  <si>
    <t>DAYS</t>
  </si>
  <si>
    <t>MIDAMERICAN GAS PROXY GROUP</t>
  </si>
  <si>
    <t>Company</t>
  </si>
  <si>
    <t>Annualized Dividend</t>
  </si>
  <si>
    <t>Stock
Price</t>
  </si>
  <si>
    <t>Dividend Yield</t>
  </si>
  <si>
    <t>Expected Dividend Yield</t>
  </si>
  <si>
    <t xml:space="preserve">VL Earnings Growth </t>
  </si>
  <si>
    <t>Yahoo! Finance (IBES)</t>
  </si>
  <si>
    <t>Zacks Earnings Growth</t>
  </si>
  <si>
    <t>Average Growth Rate</t>
  </si>
  <si>
    <t>Low ROE</t>
  </si>
  <si>
    <t>Mean ROE</t>
  </si>
  <si>
    <t>High ROE</t>
  </si>
  <si>
    <t>Atmos Energy Corporation</t>
  </si>
  <si>
    <t>ATO</t>
  </si>
  <si>
    <t>New Jersey Resources Corporation</t>
  </si>
  <si>
    <t>NJR</t>
  </si>
  <si>
    <t>NiSource Inc.</t>
  </si>
  <si>
    <t>NI</t>
  </si>
  <si>
    <t>Northwest Natural Gas Company</t>
  </si>
  <si>
    <t>NWN</t>
  </si>
  <si>
    <t>ONE Gas, Inc.</t>
  </si>
  <si>
    <t>OGS</t>
  </si>
  <si>
    <t>Spire, Inc.</t>
  </si>
  <si>
    <t>SR</t>
  </si>
  <si>
    <t>Notes:</t>
  </si>
  <si>
    <t>[1] Source: Bloomberg Professional as of March 31, 2022</t>
  </si>
  <si>
    <t>[2] Source: Bloomberg Professional 30-day average as of March 31, 2022</t>
  </si>
  <si>
    <t>[3] Equals [1]/[2]</t>
  </si>
  <si>
    <t>[4] Equals [3] x (1+0.5 x[8])</t>
  </si>
  <si>
    <t>[5] Source: Value Line</t>
  </si>
  <si>
    <t>[6] Source: Yahoo! Finance</t>
  </si>
  <si>
    <t>[7] Source: Zacks</t>
  </si>
  <si>
    <t>[8] Equals average of [5], [6], [7]</t>
  </si>
  <si>
    <t>[9] Equals [3] x (1+0.5x(min([5], [6]. [7]))+(min([5], [6]. [7])</t>
  </si>
  <si>
    <t>[10] Equals [4] + [8]</t>
  </si>
  <si>
    <t>[11] Equals [3] x (1+0.5x(max([5], [6]. [7]))+(max([5], [6]. [7])</t>
  </si>
  <si>
    <t>[2] Source: Bloomberg Professional 90-day average as of March 31, 2022</t>
  </si>
  <si>
    <t>[2] Source: Bloomberg Professional 180-day average as of March 31, 2022</t>
  </si>
  <si>
    <t xml:space="preserve">MidAmerican- South Dakota </t>
  </si>
  <si>
    <t>CAPITAL ASSET PRICING MODEL- CURRENT RISK FREE RATE AND VALUELINE BETA</t>
  </si>
  <si>
    <t>CAPITAL ASSET PRICING MODEL- NEAR TERM PROJECTED RISK-FREE RATE AND VALUELINE BETA</t>
  </si>
  <si>
    <t>CAPITAL ASSET PRICING MODEL- LONG-TERM PROJECTED RISK-FREE RATE AND VALUELINE BETA</t>
  </si>
  <si>
    <t>CAPITAL ASSET PRICING MODEL- CURRENT RISK FREE RATE AND BLOOMBERG BETA (10YR)</t>
  </si>
  <si>
    <t>CAPITAL ASSET PRICING MODEL- NEAR TERM PROJECTED RISK-FREE RATE AND BLOOMBERG BETA (10YR)</t>
  </si>
  <si>
    <t>CAPITAL ASSET PRICING MODEL- LONG-TERM PROJECTED RISK-FREE RATE AND BLOOMBERG BETA (10YR)</t>
  </si>
  <si>
    <t xml:space="preserve">CAPITAL ASSET PRICING MODEL- CURRENT RISK FREE RATE AND LONG-TERM BETA </t>
  </si>
  <si>
    <t>K = Rf + β (Rm − Rf)</t>
  </si>
  <si>
    <t>K = Rf + 0.25 x (Rm - Rf) + 0.75 x β x (Rm − Rf)</t>
  </si>
  <si>
    <t>[1]</t>
  </si>
  <si>
    <t>[2]</t>
  </si>
  <si>
    <t>[3]</t>
  </si>
  <si>
    <t>[4]</t>
  </si>
  <si>
    <t>[5]</t>
  </si>
  <si>
    <t>[6]</t>
  </si>
  <si>
    <t>Ticker</t>
  </si>
  <si>
    <t>Current Treasury Bond Yield</t>
  </si>
  <si>
    <t>VL Beta</t>
  </si>
  <si>
    <t>Market Return</t>
  </si>
  <si>
    <t>MRP</t>
  </si>
  <si>
    <t>BCFF Near Term Projected</t>
  </si>
  <si>
    <t xml:space="preserve">BCFF Long-Term Projected </t>
  </si>
  <si>
    <t xml:space="preserve">BB Beta </t>
  </si>
  <si>
    <t>BB Beta</t>
  </si>
  <si>
    <t>LT BETA</t>
  </si>
  <si>
    <t>[1] Source: Bloomberg Professional 30-day average as of March 31, 2022</t>
  </si>
  <si>
    <t>[1] Source: Blue Chip Financial Forecasts, Vol. 41, No. 4, April 1, 2022, at 2</t>
  </si>
  <si>
    <t>[1] Source: Blue Chip Financial Forecasts, Vol. 40, No. 12, December 1, 2021, at 14</t>
  </si>
  <si>
    <t>[2] Source: Value Line reports</t>
  </si>
  <si>
    <t xml:space="preserve">[2] Source: Value Line </t>
  </si>
  <si>
    <t>[2] Source: Bloomberg Professional</t>
  </si>
  <si>
    <t>[2] Source: Exhibit AEB 1.1, Schedule 6</t>
  </si>
  <si>
    <t>[3] Source: Exhibit AEB 1.1, Schedule 5</t>
  </si>
  <si>
    <t>[4] Equals [3]-[1]</t>
  </si>
  <si>
    <t>[5] Equals [1] + [2] x [4]</t>
  </si>
  <si>
    <t>[6] Equals [1] + 0.25 x ([4]) + 0.75 x ([2] x [4])</t>
  </si>
  <si>
    <t>Value Line</t>
  </si>
  <si>
    <t>[7]</t>
  </si>
  <si>
    <t>[8]</t>
  </si>
  <si>
    <t>[9]</t>
  </si>
  <si>
    <t>[10]</t>
  </si>
  <si>
    <t>[11]</t>
  </si>
  <si>
    <t xml:space="preserve">Cap-Weighted </t>
  </si>
  <si>
    <t>Shares</t>
  </si>
  <si>
    <t>Market</t>
  </si>
  <si>
    <t>Weight in</t>
  </si>
  <si>
    <t>Estimated</t>
  </si>
  <si>
    <t>Cap-Weighted</t>
  </si>
  <si>
    <t>Long-Term</t>
  </si>
  <si>
    <t>Name</t>
  </si>
  <si>
    <t>Outst'g</t>
  </si>
  <si>
    <t>Price</t>
  </si>
  <si>
    <t>Capitalization</t>
  </si>
  <si>
    <t>Index</t>
  </si>
  <si>
    <t>Growth Est.</t>
  </si>
  <si>
    <t>Agilent Technologies Inc</t>
  </si>
  <si>
    <t>A</t>
  </si>
  <si>
    <t>American Airlines Group Inc</t>
  </si>
  <si>
    <t>AAL</t>
  </si>
  <si>
    <t/>
  </si>
  <si>
    <t>Advance Auto Parts Inc</t>
  </si>
  <si>
    <t>AAP</t>
  </si>
  <si>
    <t>Apple Inc</t>
  </si>
  <si>
    <t>AAPL</t>
  </si>
  <si>
    <t>AbbVie Inc</t>
  </si>
  <si>
    <t>ABBV</t>
  </si>
  <si>
    <t>AmerisourceBergen Corp</t>
  </si>
  <si>
    <t>ABC</t>
  </si>
  <si>
    <t>ABIOMED Inc</t>
  </si>
  <si>
    <t>ABMD</t>
  </si>
  <si>
    <t>Abbott Laboratories</t>
  </si>
  <si>
    <t>ABT</t>
  </si>
  <si>
    <t>Accenture PLC</t>
  </si>
  <si>
    <t>ACN</t>
  </si>
  <si>
    <t>Adobe Inc</t>
  </si>
  <si>
    <t>ADBE</t>
  </si>
  <si>
    <t>Analog Devices Inc</t>
  </si>
  <si>
    <t>ADI</t>
  </si>
  <si>
    <t>Archer-Daniels-Midland Co</t>
  </si>
  <si>
    <t>ADM</t>
  </si>
  <si>
    <t>Automatic Data Processing Inc</t>
  </si>
  <si>
    <t>ADP</t>
  </si>
  <si>
    <t>Autodesk Inc</t>
  </si>
  <si>
    <t>ADSK</t>
  </si>
  <si>
    <t>Ameren Corp</t>
  </si>
  <si>
    <t>AEE</t>
  </si>
  <si>
    <t>American Electric Power Co Inc</t>
  </si>
  <si>
    <t>AEP</t>
  </si>
  <si>
    <t>AES Corp/The</t>
  </si>
  <si>
    <t>AES</t>
  </si>
  <si>
    <t>Aflac Inc</t>
  </si>
  <si>
    <t>AFL</t>
  </si>
  <si>
    <t>American International Group Inc</t>
  </si>
  <si>
    <t>AIG</t>
  </si>
  <si>
    <t>Assurant Inc</t>
  </si>
  <si>
    <t>AIZ</t>
  </si>
  <si>
    <t>Arthur J Gallagher &amp; Co</t>
  </si>
  <si>
    <t>AJG</t>
  </si>
  <si>
    <t>Akamai Technologies Inc</t>
  </si>
  <si>
    <t>AKAM</t>
  </si>
  <si>
    <t>Albemarle Corp</t>
  </si>
  <si>
    <t>ALB</t>
  </si>
  <si>
    <t>Align Technology Inc</t>
  </si>
  <si>
    <t>ALGN</t>
  </si>
  <si>
    <t>Alaska Air Group Inc</t>
  </si>
  <si>
    <t>ALK</t>
  </si>
  <si>
    <t>Allstate Corp/The</t>
  </si>
  <si>
    <t>ALL</t>
  </si>
  <si>
    <t>Allegion plc</t>
  </si>
  <si>
    <t>ALLE</t>
  </si>
  <si>
    <t>Applied Materials Inc</t>
  </si>
  <si>
    <t>AMAT</t>
  </si>
  <si>
    <t>Amcor PLC</t>
  </si>
  <si>
    <t>AMCR</t>
  </si>
  <si>
    <t>Advanced Micro Devices Inc</t>
  </si>
  <si>
    <t>AMD</t>
  </si>
  <si>
    <t>AMETEK Inc</t>
  </si>
  <si>
    <t>AME</t>
  </si>
  <si>
    <t>Amgen Inc</t>
  </si>
  <si>
    <t>AMGN</t>
  </si>
  <si>
    <t>Ameriprise Financial Inc</t>
  </si>
  <si>
    <t>AMP</t>
  </si>
  <si>
    <t>American Tower Corp</t>
  </si>
  <si>
    <t>AMT</t>
  </si>
  <si>
    <t>Amazon.com Inc</t>
  </si>
  <si>
    <t>AMZN</t>
  </si>
  <si>
    <t>Arista Networks Inc</t>
  </si>
  <si>
    <t>ANET</t>
  </si>
  <si>
    <t>ANSYS Inc</t>
  </si>
  <si>
    <t>ANSS</t>
  </si>
  <si>
    <t>Anthem Inc</t>
  </si>
  <si>
    <t>ANTM</t>
  </si>
  <si>
    <t>Aon PLC</t>
  </si>
  <si>
    <t>AON</t>
  </si>
  <si>
    <t>A O Smith Corp</t>
  </si>
  <si>
    <t>AOS</t>
  </si>
  <si>
    <t>APA Corp</t>
  </si>
  <si>
    <t>APA</t>
  </si>
  <si>
    <t>Air Products and Chemicals Inc</t>
  </si>
  <si>
    <t>APD</t>
  </si>
  <si>
    <t>Amphenol Corp</t>
  </si>
  <si>
    <t>APH</t>
  </si>
  <si>
    <t>Aptiv PLC</t>
  </si>
  <si>
    <t>APTV</t>
  </si>
  <si>
    <t>Alexandria Real Estate Equities Inc</t>
  </si>
  <si>
    <t>ARE</t>
  </si>
  <si>
    <t>Atmos Energy Corp</t>
  </si>
  <si>
    <t>Activision Blizzard Inc</t>
  </si>
  <si>
    <t>ATVI</t>
  </si>
  <si>
    <t>AvalonBay Communities Inc</t>
  </si>
  <si>
    <t>AVB</t>
  </si>
  <si>
    <t>Broadcom Inc</t>
  </si>
  <si>
    <t>AVGO</t>
  </si>
  <si>
    <t>Avery Dennison Corp</t>
  </si>
  <si>
    <t>AVY</t>
  </si>
  <si>
    <t>American Water Works Co Inc</t>
  </si>
  <si>
    <t>AWK</t>
  </si>
  <si>
    <t>American Express Co</t>
  </si>
  <si>
    <t>AXP</t>
  </si>
  <si>
    <t>AutoZone Inc</t>
  </si>
  <si>
    <t>AZO</t>
  </si>
  <si>
    <t>Boeing Co/The</t>
  </si>
  <si>
    <t>BA</t>
  </si>
  <si>
    <t>Bank of America Corp</t>
  </si>
  <si>
    <t>BAC</t>
  </si>
  <si>
    <t>Baxter International Inc</t>
  </si>
  <si>
    <t>BAX</t>
  </si>
  <si>
    <t>Bath &amp; Body Works Inc</t>
  </si>
  <si>
    <t>BBWI</t>
  </si>
  <si>
    <t>Best Buy Co Inc</t>
  </si>
  <si>
    <t>BBY</t>
  </si>
  <si>
    <t>Becton Dickinson and Co</t>
  </si>
  <si>
    <t>BDX</t>
  </si>
  <si>
    <t>Franklin Resources Inc</t>
  </si>
  <si>
    <t>BEN</t>
  </si>
  <si>
    <t>Brown-Forman Corp</t>
  </si>
  <si>
    <t>BF/B</t>
  </si>
  <si>
    <t>Biogen Inc</t>
  </si>
  <si>
    <t>BIIB</t>
  </si>
  <si>
    <t>Bio-Rad Laboratories Inc</t>
  </si>
  <si>
    <t>BIO</t>
  </si>
  <si>
    <t>Bank of New York Mellon Corp/The</t>
  </si>
  <si>
    <t>BK</t>
  </si>
  <si>
    <t>Booking Holdings Inc</t>
  </si>
  <si>
    <t>BKNG</t>
  </si>
  <si>
    <t>Baker Hughes Co</t>
  </si>
  <si>
    <t>BKR</t>
  </si>
  <si>
    <t>BlackRock Inc</t>
  </si>
  <si>
    <t>BLK</t>
  </si>
  <si>
    <t>Ball Corp</t>
  </si>
  <si>
    <t>BLL</t>
  </si>
  <si>
    <t>Bristol-Myers Squibb Co</t>
  </si>
  <si>
    <t>BMY</t>
  </si>
  <si>
    <t>Broadridge Financial Solutions Inc</t>
  </si>
  <si>
    <t>BR</t>
  </si>
  <si>
    <t>Berkshire Hathaway Inc</t>
  </si>
  <si>
    <t>BRK/B</t>
  </si>
  <si>
    <t>Brown &amp; Brown Inc</t>
  </si>
  <si>
    <t>BRO</t>
  </si>
  <si>
    <t>Boston Scientific Corp</t>
  </si>
  <si>
    <t>BSX</t>
  </si>
  <si>
    <t>BorgWarner Inc</t>
  </si>
  <si>
    <t>BWA</t>
  </si>
  <si>
    <t>Boston Properties Inc</t>
  </si>
  <si>
    <t>BXP</t>
  </si>
  <si>
    <t>Citigroup Inc</t>
  </si>
  <si>
    <t>C</t>
  </si>
  <si>
    <t>Conagra Brands Inc</t>
  </si>
  <si>
    <t>CAG</t>
  </si>
  <si>
    <t>Cardinal Health Inc</t>
  </si>
  <si>
    <t>CAH</t>
  </si>
  <si>
    <t>Carrier Global Corp</t>
  </si>
  <si>
    <t>CARR</t>
  </si>
  <si>
    <t>Caterpillar Inc</t>
  </si>
  <si>
    <t>CAT</t>
  </si>
  <si>
    <t>Chubb Ltd</t>
  </si>
  <si>
    <t>CB</t>
  </si>
  <si>
    <t>Cboe Global Markets Inc</t>
  </si>
  <si>
    <t>CBOE</t>
  </si>
  <si>
    <t>CBRE Group Inc</t>
  </si>
  <si>
    <t>CBRE</t>
  </si>
  <si>
    <t>Crown Castle International Corp</t>
  </si>
  <si>
    <t>CCI</t>
  </si>
  <si>
    <t>Carnival Corp</t>
  </si>
  <si>
    <t>CCL</t>
  </si>
  <si>
    <t>Ceridian HCM Holding Inc</t>
  </si>
  <si>
    <t>CDAY</t>
  </si>
  <si>
    <t>Cadence Design Systems Inc</t>
  </si>
  <si>
    <t>CDNS</t>
  </si>
  <si>
    <t>CDW Corp/DE</t>
  </si>
  <si>
    <t>CDW</t>
  </si>
  <si>
    <t>Celanese Corp</t>
  </si>
  <si>
    <t>CE</t>
  </si>
  <si>
    <t>Constellation Energy Corp</t>
  </si>
  <si>
    <t>CEG</t>
  </si>
  <si>
    <t>Cerner Corp</t>
  </si>
  <si>
    <t>CERN</t>
  </si>
  <si>
    <t>CF Industries Holdings Inc</t>
  </si>
  <si>
    <t>CF</t>
  </si>
  <si>
    <t>Citizens Financial Group Inc</t>
  </si>
  <si>
    <t>CFG</t>
  </si>
  <si>
    <t>Church &amp; Dwight Co Inc</t>
  </si>
  <si>
    <t>CHD</t>
  </si>
  <si>
    <t>CH Robinson Worldwide Inc</t>
  </si>
  <si>
    <t>CHRW</t>
  </si>
  <si>
    <t>Charter Communications Inc</t>
  </si>
  <si>
    <t>CHTR</t>
  </si>
  <si>
    <t>Cigna Corp</t>
  </si>
  <si>
    <t>CI</t>
  </si>
  <si>
    <t>Cincinnati Financial Corp</t>
  </si>
  <si>
    <t>CINF</t>
  </si>
  <si>
    <t>Colgate-Palmolive Co</t>
  </si>
  <si>
    <t>CL</t>
  </si>
  <si>
    <t>Clorox Co/The</t>
  </si>
  <si>
    <t>CLX</t>
  </si>
  <si>
    <t>Comerica Inc</t>
  </si>
  <si>
    <t>CMA</t>
  </si>
  <si>
    <t>Comcast Corp</t>
  </si>
  <si>
    <t>CMCSA</t>
  </si>
  <si>
    <t>CME Group Inc</t>
  </si>
  <si>
    <t>CME</t>
  </si>
  <si>
    <t>Chipotle Mexican Grill Inc</t>
  </si>
  <si>
    <t>CMG</t>
  </si>
  <si>
    <t>Cummins Inc</t>
  </si>
  <si>
    <t>CMI</t>
  </si>
  <si>
    <t>CMS Energy Corp</t>
  </si>
  <si>
    <t>CMS</t>
  </si>
  <si>
    <t>Centene Corp</t>
  </si>
  <si>
    <t>CNC</t>
  </si>
  <si>
    <t>CenterPoint Energy Inc</t>
  </si>
  <si>
    <t>CNP</t>
  </si>
  <si>
    <t>Capital One Financial Corp</t>
  </si>
  <si>
    <t>COF</t>
  </si>
  <si>
    <t>Cooper Cos Inc/The</t>
  </si>
  <si>
    <t>COO</t>
  </si>
  <si>
    <t>ConocoPhillips</t>
  </si>
  <si>
    <t>COP</t>
  </si>
  <si>
    <t>Costco Wholesale Corp</t>
  </si>
  <si>
    <t>COST</t>
  </si>
  <si>
    <t>Campbell Soup Co</t>
  </si>
  <si>
    <t>CPB</t>
  </si>
  <si>
    <t>Copart Inc</t>
  </si>
  <si>
    <t>CPRT</t>
  </si>
  <si>
    <t>Charles River Laboratories International Inc</t>
  </si>
  <si>
    <t>CRL</t>
  </si>
  <si>
    <t>salesforce.com Inc</t>
  </si>
  <si>
    <t>CRM</t>
  </si>
  <si>
    <t>Cisco Systems Inc</t>
  </si>
  <si>
    <t>CSCO</t>
  </si>
  <si>
    <t>CSX Corp</t>
  </si>
  <si>
    <t>CSX</t>
  </si>
  <si>
    <t>Cintas Corp</t>
  </si>
  <si>
    <t>CTAS</t>
  </si>
  <si>
    <t>Catalent Inc</t>
  </si>
  <si>
    <t>CTLT</t>
  </si>
  <si>
    <t>Coterra Energy Inc</t>
  </si>
  <si>
    <t>CTRA</t>
  </si>
  <si>
    <t>Cognizant Technology Solutions Corp</t>
  </si>
  <si>
    <t>CTSH</t>
  </si>
  <si>
    <t>Corteva Inc</t>
  </si>
  <si>
    <t>CTVA</t>
  </si>
  <si>
    <t>Citrix Systems Inc</t>
  </si>
  <si>
    <t>CTXS</t>
  </si>
  <si>
    <t>CVS Health Corp</t>
  </si>
  <si>
    <t>CVS</t>
  </si>
  <si>
    <t>Chevron Corp</t>
  </si>
  <si>
    <t>CVX</t>
  </si>
  <si>
    <t>Caesars Entertainment Inc</t>
  </si>
  <si>
    <t>CZR</t>
  </si>
  <si>
    <t>Dominion Energy Inc</t>
  </si>
  <si>
    <t>D</t>
  </si>
  <si>
    <t>Delta Air Lines Inc</t>
  </si>
  <si>
    <t>DAL</t>
  </si>
  <si>
    <t>DuPont de Nemours Inc</t>
  </si>
  <si>
    <t>DD</t>
  </si>
  <si>
    <t>Deere &amp; Co</t>
  </si>
  <si>
    <t>DE</t>
  </si>
  <si>
    <t>Discover Financial Services</t>
  </si>
  <si>
    <t>DFS</t>
  </si>
  <si>
    <t>Dollar General Corp</t>
  </si>
  <si>
    <t>DG</t>
  </si>
  <si>
    <t>Quest Diagnostics Inc</t>
  </si>
  <si>
    <t>DGX</t>
  </si>
  <si>
    <t>DR Horton Inc</t>
  </si>
  <si>
    <t>DHI</t>
  </si>
  <si>
    <t>Danaher Corp</t>
  </si>
  <si>
    <t>DHR</t>
  </si>
  <si>
    <t>Walt Disney Co/The</t>
  </si>
  <si>
    <t>DIS</t>
  </si>
  <si>
    <t>Discovery Inc</t>
  </si>
  <si>
    <t>DISCA</t>
  </si>
  <si>
    <t>DISCK</t>
  </si>
  <si>
    <t>DISH Network Corp</t>
  </si>
  <si>
    <t>DISH</t>
  </si>
  <si>
    <t>Digital Realty Trust Inc</t>
  </si>
  <si>
    <t>DLR</t>
  </si>
  <si>
    <t>Dollar Tree Inc</t>
  </si>
  <si>
    <t>DLTR</t>
  </si>
  <si>
    <t>Dover Corp</t>
  </si>
  <si>
    <t>DOV</t>
  </si>
  <si>
    <t>Dow Inc</t>
  </si>
  <si>
    <t>DOW</t>
  </si>
  <si>
    <t>Domino's Pizza Inc</t>
  </si>
  <si>
    <t>DPZ</t>
  </si>
  <si>
    <t>Duke Realty Corp</t>
  </si>
  <si>
    <t>DRE</t>
  </si>
  <si>
    <t>Darden Restaurants Inc</t>
  </si>
  <si>
    <t>DRI</t>
  </si>
  <si>
    <t>DTE Energy Co</t>
  </si>
  <si>
    <t>DTE</t>
  </si>
  <si>
    <t>Duke Energy Corp</t>
  </si>
  <si>
    <t>DUK</t>
  </si>
  <si>
    <t>DaVita Inc</t>
  </si>
  <si>
    <t>DVA</t>
  </si>
  <si>
    <t>Devon Energy Corp</t>
  </si>
  <si>
    <t>DVN</t>
  </si>
  <si>
    <t>DXC Technology Co</t>
  </si>
  <si>
    <t>DXC</t>
  </si>
  <si>
    <t>Dexcom Inc</t>
  </si>
  <si>
    <t>DXCM</t>
  </si>
  <si>
    <t>Electronic Arts Inc</t>
  </si>
  <si>
    <t>EA</t>
  </si>
  <si>
    <t>eBay Inc</t>
  </si>
  <si>
    <t>EBAY</t>
  </si>
  <si>
    <t>Ecolab Inc</t>
  </si>
  <si>
    <t>ECL</t>
  </si>
  <si>
    <t>Consolidated Edison Inc</t>
  </si>
  <si>
    <t>ED</t>
  </si>
  <si>
    <t>Equifax Inc</t>
  </si>
  <si>
    <t>EFX</t>
  </si>
  <si>
    <t>Edison International</t>
  </si>
  <si>
    <t>EIX</t>
  </si>
  <si>
    <t>Estee Lauder Cos Inc/The</t>
  </si>
  <si>
    <t>EL</t>
  </si>
  <si>
    <t>Eastman Chemical Co</t>
  </si>
  <si>
    <t>EMN</t>
  </si>
  <si>
    <t>Emerson Electric Co</t>
  </si>
  <si>
    <t>EMR</t>
  </si>
  <si>
    <t>Enphase Energy Inc</t>
  </si>
  <si>
    <t>ENPH</t>
  </si>
  <si>
    <t>EOG Resources Inc</t>
  </si>
  <si>
    <t>EOG</t>
  </si>
  <si>
    <t>EPAM Systems Inc</t>
  </si>
  <si>
    <t>EPAM</t>
  </si>
  <si>
    <t>Equinix Inc</t>
  </si>
  <si>
    <t>EQIX</t>
  </si>
  <si>
    <t>Equity Residential</t>
  </si>
  <si>
    <t>EQR</t>
  </si>
  <si>
    <t>Eversource Energy</t>
  </si>
  <si>
    <t>ES</t>
  </si>
  <si>
    <t>Essex Property Trust Inc</t>
  </si>
  <si>
    <t>ESS</t>
  </si>
  <si>
    <t>Eaton Corp PLC</t>
  </si>
  <si>
    <t>ETN</t>
  </si>
  <si>
    <t>Entergy Corp</t>
  </si>
  <si>
    <t>ETR</t>
  </si>
  <si>
    <t>Etsy Inc</t>
  </si>
  <si>
    <t>ETSY</t>
  </si>
  <si>
    <t>Evergy Inc</t>
  </si>
  <si>
    <t>EVRG</t>
  </si>
  <si>
    <t>Edwards Lifesciences Corp</t>
  </si>
  <si>
    <t>EW</t>
  </si>
  <si>
    <t>Exelon Corp</t>
  </si>
  <si>
    <t>EXC</t>
  </si>
  <si>
    <t>Expeditors International of Washington Inc</t>
  </si>
  <si>
    <t>EXPD</t>
  </si>
  <si>
    <t>Expedia Group Inc</t>
  </si>
  <si>
    <t>EXPE</t>
  </si>
  <si>
    <t>Extra Space Storage Inc</t>
  </si>
  <si>
    <t>EXR</t>
  </si>
  <si>
    <t>Ford Motor Co</t>
  </si>
  <si>
    <t>F</t>
  </si>
  <si>
    <t>Diamondback Energy Inc</t>
  </si>
  <si>
    <t>FANG</t>
  </si>
  <si>
    <t>Fastenal Co</t>
  </si>
  <si>
    <t>FAST</t>
  </si>
  <si>
    <t>Meta Platforms Inc</t>
  </si>
  <si>
    <t>FB</t>
  </si>
  <si>
    <t>Fortune Brands Home &amp; Security Inc</t>
  </si>
  <si>
    <t>FBHS</t>
  </si>
  <si>
    <t>Freeport-McMoRan Inc</t>
  </si>
  <si>
    <t>FCX</t>
  </si>
  <si>
    <t>FactSet Research Systems Inc</t>
  </si>
  <si>
    <t>FDS</t>
  </si>
  <si>
    <t>FedEx Corp</t>
  </si>
  <si>
    <t>FDX</t>
  </si>
  <si>
    <t>FirstEnergy Corp</t>
  </si>
  <si>
    <t>FE</t>
  </si>
  <si>
    <t>F5 Inc</t>
  </si>
  <si>
    <t>FFIV</t>
  </si>
  <si>
    <t>Fidelity National Information Services Inc</t>
  </si>
  <si>
    <t>FIS</t>
  </si>
  <si>
    <t>Fiserv Inc</t>
  </si>
  <si>
    <t>FISV</t>
  </si>
  <si>
    <t>Fifth Third Bancorp</t>
  </si>
  <si>
    <t>FITB</t>
  </si>
  <si>
    <t>FleetCor Technologies Inc</t>
  </si>
  <si>
    <t>FLT</t>
  </si>
  <si>
    <t>FMC Corp</t>
  </si>
  <si>
    <t>FMC</t>
  </si>
  <si>
    <t>Fox Corp</t>
  </si>
  <si>
    <t>FOX</t>
  </si>
  <si>
    <t>FOXA</t>
  </si>
  <si>
    <t>First Republic Bank/CA</t>
  </si>
  <si>
    <t>FRC</t>
  </si>
  <si>
    <t>Federal Realty Investment Trust</t>
  </si>
  <si>
    <t>FRT</t>
  </si>
  <si>
    <t>Fortinet Inc</t>
  </si>
  <si>
    <t>FTNT</t>
  </si>
  <si>
    <t>Fortive Corp</t>
  </si>
  <si>
    <t>FTV</t>
  </si>
  <si>
    <t>General Dynamics Corp</t>
  </si>
  <si>
    <t>GD</t>
  </si>
  <si>
    <t>General Electric Co</t>
  </si>
  <si>
    <t>GE</t>
  </si>
  <si>
    <t>Gilead Sciences Inc</t>
  </si>
  <si>
    <t>GILD</t>
  </si>
  <si>
    <t>General Mills Inc</t>
  </si>
  <si>
    <t>GIS</t>
  </si>
  <si>
    <t>Globe Life Inc</t>
  </si>
  <si>
    <t>GL</t>
  </si>
  <si>
    <t>Corning Inc</t>
  </si>
  <si>
    <t>GLW</t>
  </si>
  <si>
    <t>General Motors Co</t>
  </si>
  <si>
    <t>GM</t>
  </si>
  <si>
    <t>Generac Holdings Inc</t>
  </si>
  <si>
    <t>GNRC</t>
  </si>
  <si>
    <t>Alphabet Inc</t>
  </si>
  <si>
    <t>GOOG</t>
  </si>
  <si>
    <t>GOOGL</t>
  </si>
  <si>
    <t>Genuine Parts Co</t>
  </si>
  <si>
    <t>GPC</t>
  </si>
  <si>
    <t>Global Payments Inc</t>
  </si>
  <si>
    <t>GPN</t>
  </si>
  <si>
    <t>Garmin Ltd</t>
  </si>
  <si>
    <t>GRMN</t>
  </si>
  <si>
    <t>Goldman Sachs Group Inc/The</t>
  </si>
  <si>
    <t>GS</t>
  </si>
  <si>
    <t>WW Grainger Inc</t>
  </si>
  <si>
    <t>GWW</t>
  </si>
  <si>
    <t>Halliburton Co</t>
  </si>
  <si>
    <t>HAL</t>
  </si>
  <si>
    <t>Hasbro Inc</t>
  </si>
  <si>
    <t>HAS</t>
  </si>
  <si>
    <t>Huntington Bancshares Inc/OH</t>
  </si>
  <si>
    <t>HBAN</t>
  </si>
  <si>
    <t>HCA Healthcare Inc</t>
  </si>
  <si>
    <t>HCA</t>
  </si>
  <si>
    <t>Home Depot Inc/The</t>
  </si>
  <si>
    <t>HD</t>
  </si>
  <si>
    <t>Hess Corp</t>
  </si>
  <si>
    <t>HES</t>
  </si>
  <si>
    <t>Hartford Financial Services Group Inc/The</t>
  </si>
  <si>
    <t>HIG</t>
  </si>
  <si>
    <t>Huntington Ingalls Industries Inc</t>
  </si>
  <si>
    <t>HII</t>
  </si>
  <si>
    <t>Hilton Worldwide Holdings Inc</t>
  </si>
  <si>
    <t>HLT</t>
  </si>
  <si>
    <t>Hologic Inc</t>
  </si>
  <si>
    <t>HOLX</t>
  </si>
  <si>
    <t>Honeywell International Inc</t>
  </si>
  <si>
    <t>HON</t>
  </si>
  <si>
    <t>Hewlett Packard Enterprise Co</t>
  </si>
  <si>
    <t>HPE</t>
  </si>
  <si>
    <t>HP Inc</t>
  </si>
  <si>
    <t>HPQ</t>
  </si>
  <si>
    <t>Hormel Foods Corp</t>
  </si>
  <si>
    <t>HRL</t>
  </si>
  <si>
    <t>Henry Schein Inc</t>
  </si>
  <si>
    <t>HSIC</t>
  </si>
  <si>
    <t>Host Hotels &amp; Resorts Inc</t>
  </si>
  <si>
    <t>HST</t>
  </si>
  <si>
    <t>Hershey Co/The</t>
  </si>
  <si>
    <t>HSY</t>
  </si>
  <si>
    <t>Humana Inc</t>
  </si>
  <si>
    <t>HUM</t>
  </si>
  <si>
    <t>Howmet Aerospace Inc</t>
  </si>
  <si>
    <t>HWM</t>
  </si>
  <si>
    <t>International Business Machines Corp</t>
  </si>
  <si>
    <t>IBM</t>
  </si>
  <si>
    <t>Intercontinental Exchange Inc</t>
  </si>
  <si>
    <t>ICE</t>
  </si>
  <si>
    <t>IDEXX Laboratories Inc</t>
  </si>
  <si>
    <t>IDXX</t>
  </si>
  <si>
    <t>IDEX Corp</t>
  </si>
  <si>
    <t>IEX</t>
  </si>
  <si>
    <t>International Flavors &amp; Fragrances Inc</t>
  </si>
  <si>
    <t>IFF</t>
  </si>
  <si>
    <t>Illumina Inc</t>
  </si>
  <si>
    <t>ILMN</t>
  </si>
  <si>
    <t>Incyte Corp</t>
  </si>
  <si>
    <t>INCY</t>
  </si>
  <si>
    <t>Intel Corp</t>
  </si>
  <si>
    <t>INTC</t>
  </si>
  <si>
    <t>Intuit Inc</t>
  </si>
  <si>
    <t>INTU</t>
  </si>
  <si>
    <t>International Paper Co</t>
  </si>
  <si>
    <t>IP</t>
  </si>
  <si>
    <t>Interpublic Group of Cos Inc/The</t>
  </si>
  <si>
    <t>IPG</t>
  </si>
  <si>
    <t>IPG Photonics Corp</t>
  </si>
  <si>
    <t>IPGP</t>
  </si>
  <si>
    <t>IQVIA Holdings Inc</t>
  </si>
  <si>
    <t>IQV</t>
  </si>
  <si>
    <t>Ingersoll Rand Inc</t>
  </si>
  <si>
    <t>IR</t>
  </si>
  <si>
    <t>Iron Mountain Inc</t>
  </si>
  <si>
    <t>IRM</t>
  </si>
  <si>
    <t>Intuitive Surgical Inc</t>
  </si>
  <si>
    <t>ISRG</t>
  </si>
  <si>
    <t>Gartner Inc</t>
  </si>
  <si>
    <t>IT</t>
  </si>
  <si>
    <t>Illinois Tool Works Inc</t>
  </si>
  <si>
    <t>ITW</t>
  </si>
  <si>
    <t>Invesco Ltd</t>
  </si>
  <si>
    <t>IVZ</t>
  </si>
  <si>
    <t>Jacobs Engineering Group Inc</t>
  </si>
  <si>
    <t>J</t>
  </si>
  <si>
    <t>JB Hunt Transport Services Inc</t>
  </si>
  <si>
    <t>JBHT</t>
  </si>
  <si>
    <t>Johnson Controls International plc</t>
  </si>
  <si>
    <t>JCI</t>
  </si>
  <si>
    <t>Jack Henry &amp; Associates Inc</t>
  </si>
  <si>
    <t>JKHY</t>
  </si>
  <si>
    <t>Johnson &amp; Johnson</t>
  </si>
  <si>
    <t>JNJ</t>
  </si>
  <si>
    <t>Juniper Networks Inc</t>
  </si>
  <si>
    <t>JNPR</t>
  </si>
  <si>
    <t>JPMorgan Chase &amp; Co</t>
  </si>
  <si>
    <t>JPM</t>
  </si>
  <si>
    <t>Kellogg Co</t>
  </si>
  <si>
    <t>K</t>
  </si>
  <si>
    <t>KeyCorp</t>
  </si>
  <si>
    <t>KEY</t>
  </si>
  <si>
    <t>Keysight Technologies Inc</t>
  </si>
  <si>
    <t>KEYS</t>
  </si>
  <si>
    <t>Kraft Heinz Co/The</t>
  </si>
  <si>
    <t>KHC</t>
  </si>
  <si>
    <t>Kimco Realty Corp</t>
  </si>
  <si>
    <t>KIM</t>
  </si>
  <si>
    <t>KLA Corp</t>
  </si>
  <si>
    <t>KLAC</t>
  </si>
  <si>
    <t>Kimberly-Clark Corp</t>
  </si>
  <si>
    <t>KMB</t>
  </si>
  <si>
    <t>Kinder Morgan Inc</t>
  </si>
  <si>
    <t>KMI</t>
  </si>
  <si>
    <t>CarMax Inc</t>
  </si>
  <si>
    <t>KMX</t>
  </si>
  <si>
    <t>Coca-Cola Co/The</t>
  </si>
  <si>
    <t>KO</t>
  </si>
  <si>
    <t>Kroger Co/The</t>
  </si>
  <si>
    <t>KR</t>
  </si>
  <si>
    <t>Loews Corp</t>
  </si>
  <si>
    <t>L</t>
  </si>
  <si>
    <t>Leidos Holdings Inc</t>
  </si>
  <si>
    <t>LDOS</t>
  </si>
  <si>
    <t>Lennar Corp</t>
  </si>
  <si>
    <t>LEN</t>
  </si>
  <si>
    <t>Laboratory Corp of America Holdings</t>
  </si>
  <si>
    <t>LH</t>
  </si>
  <si>
    <t>L3Harris Technologies Inc</t>
  </si>
  <si>
    <t>LHX</t>
  </si>
  <si>
    <t>Linde PLC</t>
  </si>
  <si>
    <t>LIN</t>
  </si>
  <si>
    <t>LKQ Corp</t>
  </si>
  <si>
    <t>LKQ</t>
  </si>
  <si>
    <t>Eli Lilly &amp; Co</t>
  </si>
  <si>
    <t>LLY</t>
  </si>
  <si>
    <t>Lockheed Martin Corp</t>
  </si>
  <si>
    <t>LMT</t>
  </si>
  <si>
    <t>Lincoln National Corp</t>
  </si>
  <si>
    <t>LNC</t>
  </si>
  <si>
    <t>Alliant Energy Corp</t>
  </si>
  <si>
    <t>LNT</t>
  </si>
  <si>
    <t>Lowe's Cos Inc</t>
  </si>
  <si>
    <t>LOW</t>
  </si>
  <si>
    <t>Lam Research Corp</t>
  </si>
  <si>
    <t>LRCX</t>
  </si>
  <si>
    <t>Lumen Technologies Inc</t>
  </si>
  <si>
    <t>LUMN</t>
  </si>
  <si>
    <t>Southwest Airlines Co</t>
  </si>
  <si>
    <t>LUV</t>
  </si>
  <si>
    <t>Las Vegas Sands Corp</t>
  </si>
  <si>
    <t>LVS</t>
  </si>
  <si>
    <t>Lamb Weston Holdings Inc</t>
  </si>
  <si>
    <t>LW</t>
  </si>
  <si>
    <t>LyondellBasell Industries NV</t>
  </si>
  <si>
    <t>LYB</t>
  </si>
  <si>
    <t>Live Nation Entertainment Inc</t>
  </si>
  <si>
    <t>LYV</t>
  </si>
  <si>
    <t>Mastercard Inc</t>
  </si>
  <si>
    <t>MA</t>
  </si>
  <si>
    <t>Mid-America Apartment Communities Inc</t>
  </si>
  <si>
    <t>MAA</t>
  </si>
  <si>
    <t>Marriott International Inc/MD</t>
  </si>
  <si>
    <t>MAR</t>
  </si>
  <si>
    <t>Masco Corp</t>
  </si>
  <si>
    <t>MAS</t>
  </si>
  <si>
    <t>McDonald's Corp</t>
  </si>
  <si>
    <t>MCD</t>
  </si>
  <si>
    <t>Microchip Technology Inc</t>
  </si>
  <si>
    <t>MCHP</t>
  </si>
  <si>
    <t>McKesson Corp</t>
  </si>
  <si>
    <t>MCK</t>
  </si>
  <si>
    <t>Moody's Corp</t>
  </si>
  <si>
    <t>MCO</t>
  </si>
  <si>
    <t>Mondelez International Inc</t>
  </si>
  <si>
    <t>MDLZ</t>
  </si>
  <si>
    <t>Medtronic PLC</t>
  </si>
  <si>
    <t>MDT</t>
  </si>
  <si>
    <t>MetLife Inc</t>
  </si>
  <si>
    <t>MET</t>
  </si>
  <si>
    <t>MGM Resorts International</t>
  </si>
  <si>
    <t>MGM</t>
  </si>
  <si>
    <t>Mohawk Industries Inc</t>
  </si>
  <si>
    <t>MHK</t>
  </si>
  <si>
    <t>McCormick &amp; Co Inc/MD</t>
  </si>
  <si>
    <t>MKC</t>
  </si>
  <si>
    <t>MarketAxess Holdings Inc</t>
  </si>
  <si>
    <t>MKTX</t>
  </si>
  <si>
    <t>Martin Marietta Materials Inc</t>
  </si>
  <si>
    <t>MLM</t>
  </si>
  <si>
    <t>Marsh &amp; McLennan Cos Inc</t>
  </si>
  <si>
    <t>MMC</t>
  </si>
  <si>
    <t>3M Co</t>
  </si>
  <si>
    <t>MMM</t>
  </si>
  <si>
    <t>Monster Beverage Corp</t>
  </si>
  <si>
    <t>MNST</t>
  </si>
  <si>
    <t>Altria Group Inc</t>
  </si>
  <si>
    <t>MO</t>
  </si>
  <si>
    <t>Molina Healthcare Inc</t>
  </si>
  <si>
    <t>MOH</t>
  </si>
  <si>
    <t>Mosaic Co/The</t>
  </si>
  <si>
    <t>MOS</t>
  </si>
  <si>
    <t>Marathon Petroleum Corp</t>
  </si>
  <si>
    <t>MPC</t>
  </si>
  <si>
    <t>Monolithic Power Systems Inc</t>
  </si>
  <si>
    <t>MPWR</t>
  </si>
  <si>
    <t>Merck &amp; Co Inc</t>
  </si>
  <si>
    <t>MRK</t>
  </si>
  <si>
    <t>Moderna Inc</t>
  </si>
  <si>
    <t>MRNA</t>
  </si>
  <si>
    <t>Marathon Oil Corp</t>
  </si>
  <si>
    <t>MRO</t>
  </si>
  <si>
    <t>Morgan Stanley</t>
  </si>
  <si>
    <t>MS</t>
  </si>
  <si>
    <t>MSCI Inc</t>
  </si>
  <si>
    <t>MSCI</t>
  </si>
  <si>
    <t>Microsoft Corp</t>
  </si>
  <si>
    <t>MSFT</t>
  </si>
  <si>
    <t>Motorola Solutions Inc</t>
  </si>
  <si>
    <t>MSI</t>
  </si>
  <si>
    <t>M&amp;T Bank Corp</t>
  </si>
  <si>
    <t>MTB</t>
  </si>
  <si>
    <t>Match Group Inc</t>
  </si>
  <si>
    <t>MTCH</t>
  </si>
  <si>
    <t>Mettler-Toledo International Inc</t>
  </si>
  <si>
    <t>MTD</t>
  </si>
  <si>
    <t>Micron Technology Inc</t>
  </si>
  <si>
    <t>MU</t>
  </si>
  <si>
    <t>Norwegian Cruise Line Holdings Ltd</t>
  </si>
  <si>
    <t>NCLH</t>
  </si>
  <si>
    <t>Nasdaq Inc</t>
  </si>
  <si>
    <t>NDAQ</t>
  </si>
  <si>
    <t>Nordson Corp</t>
  </si>
  <si>
    <t>NDSN</t>
  </si>
  <si>
    <t>NextEra Energy Inc</t>
  </si>
  <si>
    <t>NEE</t>
  </si>
  <si>
    <t>Newmont Corp</t>
  </si>
  <si>
    <t>NEM</t>
  </si>
  <si>
    <t>Netflix Inc</t>
  </si>
  <si>
    <t>NFLX</t>
  </si>
  <si>
    <t>NiSource Inc</t>
  </si>
  <si>
    <t>NIKE Inc</t>
  </si>
  <si>
    <t>NKE</t>
  </si>
  <si>
    <t>NortonLifeLock Inc</t>
  </si>
  <si>
    <t>NLOK</t>
  </si>
  <si>
    <t>Nielsen Holdings PLC</t>
  </si>
  <si>
    <t>NLSN</t>
  </si>
  <si>
    <t>Northrop Grumman Corp</t>
  </si>
  <si>
    <t>NOC</t>
  </si>
  <si>
    <t>ServiceNow Inc</t>
  </si>
  <si>
    <t>NOW</t>
  </si>
  <si>
    <t>NRG Energy Inc</t>
  </si>
  <si>
    <t>NRG</t>
  </si>
  <si>
    <t>Norfolk Southern Corp</t>
  </si>
  <si>
    <t>NSC</t>
  </si>
  <si>
    <t>NetApp Inc</t>
  </si>
  <si>
    <t>NTAP</t>
  </si>
  <si>
    <t>Northern Trust Corp</t>
  </si>
  <si>
    <t>NTRS</t>
  </si>
  <si>
    <t>Nucor Corp</t>
  </si>
  <si>
    <t>NUE</t>
  </si>
  <si>
    <t>NVIDIA Corp</t>
  </si>
  <si>
    <t>NVDA</t>
  </si>
  <si>
    <t>NVR Inc</t>
  </si>
  <si>
    <t>NVR</t>
  </si>
  <si>
    <t>Newell Brands Inc</t>
  </si>
  <si>
    <t>NWL</t>
  </si>
  <si>
    <t>News Corp</t>
  </si>
  <si>
    <t>NWS</t>
  </si>
  <si>
    <t>NWSA</t>
  </si>
  <si>
    <t>NXP Semiconductors NV</t>
  </si>
  <si>
    <t>NXPI</t>
  </si>
  <si>
    <t>Realty Income Corp</t>
  </si>
  <si>
    <t>O</t>
  </si>
  <si>
    <t>Old Dominion Freight Line Inc</t>
  </si>
  <si>
    <t>ODFL</t>
  </si>
  <si>
    <t>Organon &amp; Co</t>
  </si>
  <si>
    <t>OGN</t>
  </si>
  <si>
    <t>ONEOK Inc</t>
  </si>
  <si>
    <t>OKE</t>
  </si>
  <si>
    <t>Omnicom Group Inc</t>
  </si>
  <si>
    <t>OMC</t>
  </si>
  <si>
    <t>Oracle Corp</t>
  </si>
  <si>
    <t>ORCL</t>
  </si>
  <si>
    <t>O'Reilly Automotive Inc</t>
  </si>
  <si>
    <t>ORLY</t>
  </si>
  <si>
    <t>Otis Worldwide Corp</t>
  </si>
  <si>
    <t>OTIS</t>
  </si>
  <si>
    <t>Occidental Petroleum Corp</t>
  </si>
  <si>
    <t>OXY</t>
  </si>
  <si>
    <t>Paramount Global</t>
  </si>
  <si>
    <t>PARA</t>
  </si>
  <si>
    <t>Paycom Software Inc</t>
  </si>
  <si>
    <t>PAYC</t>
  </si>
  <si>
    <t>Paychex Inc</t>
  </si>
  <si>
    <t>PAYX</t>
  </si>
  <si>
    <t>People's United Financial Inc</t>
  </si>
  <si>
    <t>PBCT</t>
  </si>
  <si>
    <t>PACCAR Inc</t>
  </si>
  <si>
    <t>PCAR</t>
  </si>
  <si>
    <t>Healthpeak Properties Inc</t>
  </si>
  <si>
    <t>PEAK</t>
  </si>
  <si>
    <t>Public Service Enterprise Group Inc</t>
  </si>
  <si>
    <t>PEG</t>
  </si>
  <si>
    <t>Penn National Gaming Inc</t>
  </si>
  <si>
    <t>PENN</t>
  </si>
  <si>
    <t>PepsiCo Inc</t>
  </si>
  <si>
    <t>PEP</t>
  </si>
  <si>
    <t>Pfizer Inc</t>
  </si>
  <si>
    <t>PFE</t>
  </si>
  <si>
    <t>Principal Financial Group Inc</t>
  </si>
  <si>
    <t>PFG</t>
  </si>
  <si>
    <t>Procter &amp; Gamble Co/The</t>
  </si>
  <si>
    <t>PG</t>
  </si>
  <si>
    <t>Progressive Corp/The</t>
  </si>
  <si>
    <t>PGR</t>
  </si>
  <si>
    <t>Parker-Hannifin Corp</t>
  </si>
  <si>
    <t>PH</t>
  </si>
  <si>
    <t>PulteGroup Inc</t>
  </si>
  <si>
    <t>PHM</t>
  </si>
  <si>
    <t>Packaging Corp of America</t>
  </si>
  <si>
    <t>PKG</t>
  </si>
  <si>
    <t>PerkinElmer Inc</t>
  </si>
  <si>
    <t>PKI</t>
  </si>
  <si>
    <t>Prologis Inc</t>
  </si>
  <si>
    <t>PLD</t>
  </si>
  <si>
    <t>Philip Morris International Inc</t>
  </si>
  <si>
    <t>PM</t>
  </si>
  <si>
    <t>PNC Financial Services Group Inc/The</t>
  </si>
  <si>
    <t>PNC</t>
  </si>
  <si>
    <t>Pentair PLC</t>
  </si>
  <si>
    <t>PNR</t>
  </si>
  <si>
    <t>Pinnacle West Capital Corp</t>
  </si>
  <si>
    <t>PNW</t>
  </si>
  <si>
    <t>Pool Corp</t>
  </si>
  <si>
    <t>POOL</t>
  </si>
  <si>
    <t>PPG Industries Inc</t>
  </si>
  <si>
    <t>PPG</t>
  </si>
  <si>
    <t>PPL Corp</t>
  </si>
  <si>
    <t>PPL</t>
  </si>
  <si>
    <t>Prudential Financial Inc</t>
  </si>
  <si>
    <t>PRU</t>
  </si>
  <si>
    <t>Public Storage</t>
  </si>
  <si>
    <t>PSA</t>
  </si>
  <si>
    <t>Phillips 66</t>
  </si>
  <si>
    <t>PSX</t>
  </si>
  <si>
    <t>PTC Inc</t>
  </si>
  <si>
    <t>PTC</t>
  </si>
  <si>
    <t>PVH Corp</t>
  </si>
  <si>
    <t>PVH</t>
  </si>
  <si>
    <t>Quanta Services Inc</t>
  </si>
  <si>
    <t>PWR</t>
  </si>
  <si>
    <t>Pioneer Natural Resources Co</t>
  </si>
  <si>
    <t>PXD</t>
  </si>
  <si>
    <t>PayPal Holdings Inc</t>
  </si>
  <si>
    <t>PYPL</t>
  </si>
  <si>
    <t>QUALCOMM Inc</t>
  </si>
  <si>
    <t>QCOM</t>
  </si>
  <si>
    <t>Qorvo Inc</t>
  </si>
  <si>
    <t>QRVO</t>
  </si>
  <si>
    <t>Royal Caribbean Cruises Ltd</t>
  </si>
  <si>
    <t>RCL</t>
  </si>
  <si>
    <t>Everest Re Group Ltd</t>
  </si>
  <si>
    <t>RE</t>
  </si>
  <si>
    <t>Regency Centers Corp</t>
  </si>
  <si>
    <t>REG</t>
  </si>
  <si>
    <t>Regeneron Pharmaceuticals Inc</t>
  </si>
  <si>
    <t>REGN</t>
  </si>
  <si>
    <t>Regions Financial Corp</t>
  </si>
  <si>
    <t>RF</t>
  </si>
  <si>
    <t>Robert Half International Inc</t>
  </si>
  <si>
    <t>RHI</t>
  </si>
  <si>
    <t>Raymond James Financial Inc</t>
  </si>
  <si>
    <t>RJF</t>
  </si>
  <si>
    <t>Ralph Lauren Corp</t>
  </si>
  <si>
    <t>RL</t>
  </si>
  <si>
    <t>ResMed Inc</t>
  </si>
  <si>
    <t>RMD</t>
  </si>
  <si>
    <t>Rockwell Automation Inc</t>
  </si>
  <si>
    <t>ROK</t>
  </si>
  <si>
    <t>Rollins Inc</t>
  </si>
  <si>
    <t>ROL</t>
  </si>
  <si>
    <t>Roper Technologies Inc</t>
  </si>
  <si>
    <t>ROP</t>
  </si>
  <si>
    <t>Ross Stores Inc</t>
  </si>
  <si>
    <t>ROST</t>
  </si>
  <si>
    <t>Republic Services Inc</t>
  </si>
  <si>
    <t>RSG</t>
  </si>
  <si>
    <t>Raytheon Technologies Corp</t>
  </si>
  <si>
    <t>RTX</t>
  </si>
  <si>
    <t>SBA Communications Corp</t>
  </si>
  <si>
    <t>SBAC</t>
  </si>
  <si>
    <t>Signature Bank/New York NY</t>
  </si>
  <si>
    <t>SBNY</t>
  </si>
  <si>
    <t>Starbucks Corp</t>
  </si>
  <si>
    <t>SBUX</t>
  </si>
  <si>
    <t>Charles Schwab Corp/The</t>
  </si>
  <si>
    <t>SCHW</t>
  </si>
  <si>
    <t>SolarEdge Technologies Inc</t>
  </si>
  <si>
    <t>SEDG</t>
  </si>
  <si>
    <t>Sealed Air Corp</t>
  </si>
  <si>
    <t>SEE</t>
  </si>
  <si>
    <t>Sherwin-Williams Co/The</t>
  </si>
  <si>
    <t>SHW</t>
  </si>
  <si>
    <t>SVB Financial Group</t>
  </si>
  <si>
    <t>SIVB</t>
  </si>
  <si>
    <t>J M Smucker Co/The</t>
  </si>
  <si>
    <t>SJM</t>
  </si>
  <si>
    <t>Schlumberger NV</t>
  </si>
  <si>
    <t>SLB</t>
  </si>
  <si>
    <t>Snap-on Inc</t>
  </si>
  <si>
    <t>SNA</t>
  </si>
  <si>
    <t>Synopsys Inc</t>
  </si>
  <si>
    <t>SNPS</t>
  </si>
  <si>
    <t>Southern Co/The</t>
  </si>
  <si>
    <t>SO</t>
  </si>
  <si>
    <t>Simon Property Group Inc</t>
  </si>
  <si>
    <t>SPG</t>
  </si>
  <si>
    <t>S&amp;P Global Inc</t>
  </si>
  <si>
    <t>SPGI</t>
  </si>
  <si>
    <t>Sempra Energy</t>
  </si>
  <si>
    <t>SRE</t>
  </si>
  <si>
    <t>STERIS PLC</t>
  </si>
  <si>
    <t>STE</t>
  </si>
  <si>
    <t>State Street Corp</t>
  </si>
  <si>
    <t>STT</t>
  </si>
  <si>
    <t>Seagate Technology Holdings PLC</t>
  </si>
  <si>
    <t>STX</t>
  </si>
  <si>
    <t>Constellation Brands Inc</t>
  </si>
  <si>
    <t>STZ</t>
  </si>
  <si>
    <t>Stanley Black &amp; Decker Inc</t>
  </si>
  <si>
    <t>SWK</t>
  </si>
  <si>
    <t>Skyworks Solutions Inc</t>
  </si>
  <si>
    <t>SWKS</t>
  </si>
  <si>
    <t>Synchrony Financial</t>
  </si>
  <si>
    <t>SYF</t>
  </si>
  <si>
    <t>Stryker Corp</t>
  </si>
  <si>
    <t>SYK</t>
  </si>
  <si>
    <t>Sysco Corp</t>
  </si>
  <si>
    <t>SYY</t>
  </si>
  <si>
    <t>AT&amp;T Inc</t>
  </si>
  <si>
    <t>T</t>
  </si>
  <si>
    <t>Molson Coors Beverage Co</t>
  </si>
  <si>
    <t>TAP</t>
  </si>
  <si>
    <t>TransDigm Group Inc</t>
  </si>
  <si>
    <t>TDG</t>
  </si>
  <si>
    <t>Teledyne Technologies Inc</t>
  </si>
  <si>
    <t>TDY</t>
  </si>
  <si>
    <t>Bio-Techne Corp</t>
  </si>
  <si>
    <t>TECH</t>
  </si>
  <si>
    <t>TE Connectivity Ltd</t>
  </si>
  <si>
    <t>TEL</t>
  </si>
  <si>
    <t>Teradyne Inc</t>
  </si>
  <si>
    <t>TER</t>
  </si>
  <si>
    <t>Truist Financial Corp</t>
  </si>
  <si>
    <t>TFC</t>
  </si>
  <si>
    <t>Teleflex Inc</t>
  </si>
  <si>
    <t>TFX</t>
  </si>
  <si>
    <t>Target Corp</t>
  </si>
  <si>
    <t>TGT</t>
  </si>
  <si>
    <t>TJX Cos Inc/The</t>
  </si>
  <si>
    <t>TJX</t>
  </si>
  <si>
    <t>Thermo Fisher Scientific Inc</t>
  </si>
  <si>
    <t>TMO</t>
  </si>
  <si>
    <t>T-Mobile US Inc</t>
  </si>
  <si>
    <t>TMUS</t>
  </si>
  <si>
    <t>Tapestry Inc</t>
  </si>
  <si>
    <t>TPR</t>
  </si>
  <si>
    <t>Trimble Inc</t>
  </si>
  <si>
    <t>TRMB</t>
  </si>
  <si>
    <t>T Rowe Price Group Inc</t>
  </si>
  <si>
    <t>TROW</t>
  </si>
  <si>
    <t>Travelers Cos Inc/The</t>
  </si>
  <si>
    <t>TRV</t>
  </si>
  <si>
    <t>Tractor Supply Co</t>
  </si>
  <si>
    <t>TSCO</t>
  </si>
  <si>
    <t>Tesla Inc</t>
  </si>
  <si>
    <t>TSLA</t>
  </si>
  <si>
    <t>Tyson Foods Inc</t>
  </si>
  <si>
    <t>TSN</t>
  </si>
  <si>
    <t>Trane Technologies PLC</t>
  </si>
  <si>
    <t>TT</t>
  </si>
  <si>
    <t>Take-Two Interactive Software Inc</t>
  </si>
  <si>
    <t>TTWO</t>
  </si>
  <si>
    <t>Twitter Inc</t>
  </si>
  <si>
    <t>TWTR</t>
  </si>
  <si>
    <t>Texas Instruments Inc</t>
  </si>
  <si>
    <t>TXN</t>
  </si>
  <si>
    <t>Textron Inc</t>
  </si>
  <si>
    <t>TXT</t>
  </si>
  <si>
    <t>Tyler Technologies Inc</t>
  </si>
  <si>
    <t>TYL</t>
  </si>
  <si>
    <t>Under Armour Inc</t>
  </si>
  <si>
    <t>UA</t>
  </si>
  <si>
    <t>UAA</t>
  </si>
  <si>
    <t>United Airlines Holdings Inc</t>
  </si>
  <si>
    <t>UAL</t>
  </si>
  <si>
    <t>UDR Inc</t>
  </si>
  <si>
    <t>UDR</t>
  </si>
  <si>
    <t>Universal Health Services Inc</t>
  </si>
  <si>
    <t>UHS</t>
  </si>
  <si>
    <t>Ulta Beauty Inc</t>
  </si>
  <si>
    <t>ULTA</t>
  </si>
  <si>
    <t>UnitedHealth Group Inc</t>
  </si>
  <si>
    <t>UNH</t>
  </si>
  <si>
    <t>Union Pacific Corp</t>
  </si>
  <si>
    <t>UNP</t>
  </si>
  <si>
    <t>United Parcel Service Inc</t>
  </si>
  <si>
    <t>UPS</t>
  </si>
  <si>
    <t>United Rentals Inc</t>
  </si>
  <si>
    <t>URI</t>
  </si>
  <si>
    <t>US Bancorp</t>
  </si>
  <si>
    <t>USB</t>
  </si>
  <si>
    <t>Visa Inc</t>
  </si>
  <si>
    <t>V</t>
  </si>
  <si>
    <t>VF Corp</t>
  </si>
  <si>
    <t>VFC</t>
  </si>
  <si>
    <t>Valero Energy Corp</t>
  </si>
  <si>
    <t>VLO</t>
  </si>
  <si>
    <t>Vulcan Materials Co</t>
  </si>
  <si>
    <t>VMC</t>
  </si>
  <si>
    <t>Vornado Realty Trust</t>
  </si>
  <si>
    <t>VNO</t>
  </si>
  <si>
    <t>Verisk Analytics Inc</t>
  </si>
  <si>
    <t>VRSK</t>
  </si>
  <si>
    <t>VeriSign Inc</t>
  </si>
  <si>
    <t>VRSN</t>
  </si>
  <si>
    <t>Vertex Pharmaceuticals Inc</t>
  </si>
  <si>
    <t>VRTX</t>
  </si>
  <si>
    <t>Ventas Inc</t>
  </si>
  <si>
    <t>VTR</t>
  </si>
  <si>
    <t>Viatris Inc</t>
  </si>
  <si>
    <t>VTRS</t>
  </si>
  <si>
    <t>Verizon Communications Inc</t>
  </si>
  <si>
    <t>VZ</t>
  </si>
  <si>
    <t>Westinghouse Air Brake Technologies Corp</t>
  </si>
  <si>
    <t>WAB</t>
  </si>
  <si>
    <t>Waters Corp</t>
  </si>
  <si>
    <t>WAT</t>
  </si>
  <si>
    <t>Walgreens Boots Alliance Inc</t>
  </si>
  <si>
    <t>WBA</t>
  </si>
  <si>
    <t>Western Digital Corp</t>
  </si>
  <si>
    <t>WDC</t>
  </si>
  <si>
    <t>WEC Energy Group Inc</t>
  </si>
  <si>
    <t>WEC</t>
  </si>
  <si>
    <t>Welltower Inc</t>
  </si>
  <si>
    <t>WELL</t>
  </si>
  <si>
    <t>Wells Fargo &amp; Co</t>
  </si>
  <si>
    <t>WFC</t>
  </si>
  <si>
    <t>Whirlpool Corp</t>
  </si>
  <si>
    <t>WHR</t>
  </si>
  <si>
    <t>Waste Management Inc</t>
  </si>
  <si>
    <t>WM</t>
  </si>
  <si>
    <t>Williams Cos Inc/The</t>
  </si>
  <si>
    <t>WMB</t>
  </si>
  <si>
    <t>Walmart Inc</t>
  </si>
  <si>
    <t>WMT</t>
  </si>
  <si>
    <t>W R Berkley Corp</t>
  </si>
  <si>
    <t>WRB</t>
  </si>
  <si>
    <t>Westrock Co</t>
  </si>
  <si>
    <t>WRK</t>
  </si>
  <si>
    <t>West Pharmaceutical Services Inc</t>
  </si>
  <si>
    <t>WST</t>
  </si>
  <si>
    <t>Willis Towers Watson PLC</t>
  </si>
  <si>
    <t>WTW</t>
  </si>
  <si>
    <t>Weyerhaeuser Co</t>
  </si>
  <si>
    <t>WY</t>
  </si>
  <si>
    <t>Wynn Resorts Ltd</t>
  </si>
  <si>
    <t>WYNN</t>
  </si>
  <si>
    <t>Xcel Energy Inc</t>
  </si>
  <si>
    <t>XEL</t>
  </si>
  <si>
    <t>Exxon Mobil Corp</t>
  </si>
  <si>
    <t>XOM</t>
  </si>
  <si>
    <t>DENTSPLY SIRONA Inc</t>
  </si>
  <si>
    <t>XRAY</t>
  </si>
  <si>
    <t>Xylem Inc/NY</t>
  </si>
  <si>
    <t>XYL</t>
  </si>
  <si>
    <t>Yum! Brands Inc</t>
  </si>
  <si>
    <t>YUM</t>
  </si>
  <si>
    <t>Zimmer Biomet Holdings Inc</t>
  </si>
  <si>
    <t>ZBH</t>
  </si>
  <si>
    <t>Zebra Technologies Corp</t>
  </si>
  <si>
    <t>ZBRA</t>
  </si>
  <si>
    <t>Zions Bancorp NA</t>
  </si>
  <si>
    <t>ZION</t>
  </si>
  <si>
    <t>Zoetis Inc</t>
  </si>
  <si>
    <t>ZTS</t>
  </si>
  <si>
    <t>[1] Equals sum of Col. [9]</t>
  </si>
  <si>
    <t>[2] Equals sum of Col. [11]</t>
  </si>
  <si>
    <t>[3] Equals ([1] x (1 + (0.5 x [2]))) + [2]</t>
  </si>
  <si>
    <t>[4] Source: Bloomberg Professional as of March 31, 2022</t>
  </si>
  <si>
    <t>[5] Source: Bloomberg Professional as of March 31, 2022</t>
  </si>
  <si>
    <t>[6] Equals [4] x [5]</t>
  </si>
  <si>
    <t>[7] Equals weight in S&amp;P 500 based on market capitalization [6] if Growth Rate &gt;0% and ≤20%</t>
  </si>
  <si>
    <t>[8] Source: Bloomberg Professional and Value Line, as of March 31, 2022</t>
  </si>
  <si>
    <t>[9] Equals [7] x [8]</t>
  </si>
  <si>
    <t>[10] Source: Value Line, as of March 31, 2022</t>
  </si>
  <si>
    <t>[11] Equals [7] x [10]</t>
  </si>
  <si>
    <t>HISTORICAL BETA - 2016 - 2021</t>
  </si>
  <si>
    <t>Average</t>
  </si>
  <si>
    <t>NMF</t>
  </si>
  <si>
    <t>N/A</t>
  </si>
  <si>
    <t>[1] Value Line, dated October 28, 2016, November 18, 2016, and December 16, 2016.</t>
  </si>
  <si>
    <t>[2] Value Line, dated October 27, 2017, November 17, 2017, and December 15, 2017.</t>
  </si>
  <si>
    <t>[3] Value Line, dated October 18, 2018, November 16, 2018, and Decenber 14, 2018.</t>
  </si>
  <si>
    <t>[4] Value Line, dated October 25, 2019, November 15, 2019, and December 13, 2019.</t>
  </si>
  <si>
    <t>[5] Value Line, dated October 23, 2020, November 13, 2020, and December 11, 2020.</t>
  </si>
  <si>
    <t>[6] Value Line, dated September 10, 2021, October 22, 2021, November 12, 2021, and December 10, 2021.</t>
  </si>
  <si>
    <t>[7] Average ([1] - [6])</t>
  </si>
  <si>
    <t>BOND YIELD PLUS RISK PREMIUM</t>
  </si>
  <si>
    <t>Quarter</t>
  </si>
  <si>
    <t>Average Authorized Natual Gas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</si>
  <si>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</si>
  <si>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</si>
  <si>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</si>
  <si>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</si>
  <si>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</si>
  <si>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</si>
  <si>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</si>
  <si>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</si>
  <si>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</si>
  <si>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</si>
  <si>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</si>
  <si>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</si>
  <si>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</si>
  <si>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</si>
  <si>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</si>
  <si>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</si>
  <si>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</si>
  <si>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</si>
  <si>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SUMMARY OUTPUT</t>
  </si>
  <si>
    <t>1996.3</t>
  </si>
  <si>
    <t>1996.4</t>
  </si>
  <si>
    <t>Regression Statistics</t>
  </si>
  <si>
    <t>1997.1</t>
  </si>
  <si>
    <t>Multiple R</t>
  </si>
  <si>
    <t>1997.2</t>
  </si>
  <si>
    <t>R Square</t>
  </si>
  <si>
    <t>1997.3</t>
  </si>
  <si>
    <t>Adjusted R Square</t>
  </si>
  <si>
    <t>1997.4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</si>
  <si>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</si>
  <si>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</si>
  <si>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</si>
  <si>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</si>
  <si>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</si>
  <si>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</si>
  <si>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</si>
  <si>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</si>
  <si>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</si>
  <si>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</si>
  <si>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</si>
  <si>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</si>
  <si>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1999.4</t>
  </si>
  <si>
    <t>Residual</t>
  </si>
  <si>
    <t>2000.1</t>
  </si>
  <si>
    <t>Total</t>
  </si>
  <si>
    <t>2000.2</t>
  </si>
  <si>
    <t>2000.3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</si>
  <si>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</si>
  <si>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</si>
  <si>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</si>
  <si>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</si>
  <si>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</si>
  <si>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</si>
  <si>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</si>
  <si>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2000.4</t>
  </si>
  <si>
    <t>Intercept</t>
  </si>
  <si>
    <t>2001.1</t>
  </si>
  <si>
    <t>2001.2</t>
  </si>
  <si>
    <t>2001.4</t>
  </si>
  <si>
    <t>2002.1</t>
  </si>
  <si>
    <t>2002.2</t>
  </si>
  <si>
    <t>U.S. Govt.</t>
  </si>
  <si>
    <t>2002.3</t>
  </si>
  <si>
    <t>30-year</t>
  </si>
  <si>
    <t>Risk</t>
  </si>
  <si>
    <t>2002.4</t>
  </si>
  <si>
    <t>Treasury</t>
  </si>
  <si>
    <t>Premium</t>
  </si>
  <si>
    <t>ROE</t>
  </si>
  <si>
    <t>2003.1</t>
  </si>
  <si>
    <t>2003.2</t>
  </si>
  <si>
    <t>Current 30-day average of 30-year U.S. Treasury bond yield [4]</t>
  </si>
  <si>
    <t>2003.3</t>
  </si>
  <si>
    <t>Blue Chip Near-Term Projected Forecast (Q3 2022 - Q3 2023) [5]</t>
  </si>
  <si>
    <t>2003.4</t>
  </si>
  <si>
    <t>Blue Chip Long-Term Projected Forecast (2023-2027) [6]</t>
  </si>
  <si>
    <t>2004.1</t>
  </si>
  <si>
    <t>AVERAGE</t>
  </si>
  <si>
    <t>2004.2</t>
  </si>
  <si>
    <t>2004.3</t>
  </si>
  <si>
    <t>2004.4</t>
  </si>
  <si>
    <t>[1] Source: Regulatory Research Associates, rate cases through March 31, 2022</t>
  </si>
  <si>
    <t>2005.1</t>
  </si>
  <si>
    <t>[2] Source: S&amp;P Capital IQ Pro, quarterly bond yields are the average of each trading day in the quarter</t>
  </si>
  <si>
    <t>2005.2</t>
  </si>
  <si>
    <t>[3] Equals Column [1] − Column [2]</t>
  </si>
  <si>
    <t>2005.3</t>
  </si>
  <si>
    <t>[4] Source: S&amp;P Capital IQ Pro, 30-day average as of March 31, 2022</t>
  </si>
  <si>
    <t>2005.4</t>
  </si>
  <si>
    <t>[5] Source: Blue Chip Financial Forecasts, Vol. 41, No. 4, April  1, 2022, at 2</t>
  </si>
  <si>
    <t>2006.1</t>
  </si>
  <si>
    <t>[6] Source: Blue Chip Financial Forecasts, Vol. 40, No. 12, December 1, 2021, at 14</t>
  </si>
  <si>
    <t>2006.2</t>
  </si>
  <si>
    <t xml:space="preserve">[7] See notes [4], [5] &amp; [6] </t>
  </si>
  <si>
    <t>2006.3</t>
  </si>
  <si>
    <t>2006.4</t>
  </si>
  <si>
    <t>[9] Equals Column [7] + Column [8]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</si>
  <si>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</si>
  <si>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</si>
  <si>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</si>
  <si>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</si>
  <si>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</si>
  <si>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</si>
  <si>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</si>
  <si>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</si>
  <si>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</si>
  <si>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</si>
  <si>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</si>
  <si>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</si>
  <si>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</si>
  <si>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</si>
  <si>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</si>
  <si>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</si>
  <si>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</si>
  <si>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</si>
  <si>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</si>
  <si>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</si>
  <si>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</si>
  <si>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</si>
  <si>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</si>
  <si>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</si>
  <si>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</si>
  <si>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</si>
  <si>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</si>
  <si>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</si>
  <si>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</si>
  <si>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</si>
  <si>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</si>
  <si>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</si>
  <si>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</si>
  <si>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</si>
  <si>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</si>
  <si>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</si>
  <si>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</si>
  <si>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</si>
  <si>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</si>
  <si>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</si>
  <si>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</si>
  <si>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</si>
  <si>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</si>
  <si>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</si>
  <si>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</si>
  <si>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</si>
  <si>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</si>
  <si>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</si>
  <si>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</si>
  <si>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</si>
  <si>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</si>
  <si>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</si>
  <si>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</si>
  <si>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</si>
  <si>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</si>
  <si>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SIZE PREMIUM CALCULATION</t>
  </si>
  <si>
    <t>Proxy Group Market Capitalization and Market-to-Book Ratio</t>
  </si>
  <si>
    <t>Market-to-</t>
  </si>
  <si>
    <t>($ billions)</t>
  </si>
  <si>
    <t>Book Ratio</t>
  </si>
  <si>
    <t>ONE Gas Inc.</t>
  </si>
  <si>
    <t>MidAmerican- SD</t>
  </si>
  <si>
    <t>Common Equity ($ millions) [3]</t>
  </si>
  <si>
    <t>Implied Market Capitalization [4]</t>
  </si>
  <si>
    <t>As a percent of Proxy Group Median Market Capitalization</t>
  </si>
  <si>
    <t>Duff &amp; Phelps Cost of Capital Navigator -- Size Premium</t>
  </si>
  <si>
    <t>of Largest</t>
  </si>
  <si>
    <t>Size</t>
  </si>
  <si>
    <t>Breakdown of Deciles 1-10</t>
  </si>
  <si>
    <t>($ millions)</t>
  </si>
  <si>
    <t>1-Largest</t>
  </si>
  <si>
    <t>10-Smallest</t>
  </si>
  <si>
    <t>MidAmerican - Implied Market Capitalization</t>
  </si>
  <si>
    <t>Proxy Group Median Market Capitalization</t>
  </si>
  <si>
    <t>Size Premium [7]</t>
  </si>
  <si>
    <t>[1] Source: S&amp;P Capital IQ Pro, equals 30-day average as of March 31, 2022</t>
  </si>
  <si>
    <t>[2] Source: S&amp;P Capital IQ Pro; equals 30-day average as of March 31, 2022</t>
  </si>
  <si>
    <t xml:space="preserve">[3] Data provided by MidAmerican </t>
  </si>
  <si>
    <t>[4] Equals [3] x proxy group median market-to-book ratio</t>
  </si>
  <si>
    <t>[5] Duff &amp; Phelps Cost of Capital Navigator - Size Premium: Annual Data as of 12/31/2021</t>
  </si>
  <si>
    <t>[6] Duff &amp; Phelps Cost of Capital Navigator - Size Premium: Annual Data as of 12/31/2021</t>
  </si>
  <si>
    <t>($ Millions)</t>
  </si>
  <si>
    <t>2022-2026</t>
  </si>
  <si>
    <t>Cap. Ex. /</t>
  </si>
  <si>
    <t>Year 0</t>
  </si>
  <si>
    <t>Net Plant</t>
  </si>
  <si>
    <t>Capital Spending per Share</t>
  </si>
  <si>
    <t>Common Shares Outstanding</t>
  </si>
  <si>
    <t>Capital Expenditures</t>
  </si>
  <si>
    <t>MidAmerican</t>
  </si>
  <si>
    <t>MidAm</t>
  </si>
  <si>
    <t>Capital Expenditures [8]</t>
  </si>
  <si>
    <t>Net Plant [9]</t>
  </si>
  <si>
    <t>[1] - [6] Source: Value Line, dated February 25, 2022</t>
  </si>
  <si>
    <t xml:space="preserve">[7] Equals (Column [2] + [3] + [4] + [5] + [6]) /  Column [1] </t>
  </si>
  <si>
    <t>[8] Source: Company-Provided Data</t>
  </si>
  <si>
    <t>[9] Source: Company-Provided Data for December 31, 2021</t>
  </si>
  <si>
    <t>Projected CAPEX/2020 Net Plant</t>
  </si>
  <si>
    <t>2020/2026</t>
  </si>
  <si>
    <t>Proxy Group Median</t>
  </si>
  <si>
    <t>MidAmerican -SD</t>
  </si>
  <si>
    <t>REGULATORY RISK ASSESSMENT</t>
  </si>
  <si>
    <t>Comparison of MidAmerican and Proxy Group Companies</t>
  </si>
  <si>
    <t>Capital</t>
  </si>
  <si>
    <t>Full/Partial</t>
  </si>
  <si>
    <t>Partial/Full</t>
  </si>
  <si>
    <t>Cost</t>
  </si>
  <si>
    <t>Forecasted</t>
  </si>
  <si>
    <t>Rate Base</t>
  </si>
  <si>
    <t>Revenue</t>
  </si>
  <si>
    <t>Recovery</t>
  </si>
  <si>
    <t>Parent Company</t>
  </si>
  <si>
    <t>Operating Subsidiary</t>
  </si>
  <si>
    <t>State</t>
  </si>
  <si>
    <t>Type</t>
  </si>
  <si>
    <t>Test Year</t>
  </si>
  <si>
    <t>Convention</t>
  </si>
  <si>
    <t>Decoupling</t>
  </si>
  <si>
    <t>Mechanism</t>
  </si>
  <si>
    <t>Kansas</t>
  </si>
  <si>
    <t>Gas</t>
  </si>
  <si>
    <t>No</t>
  </si>
  <si>
    <t>Year End</t>
  </si>
  <si>
    <t>Yes</t>
  </si>
  <si>
    <t>Kentucky</t>
  </si>
  <si>
    <t>Louisiana</t>
  </si>
  <si>
    <t>Mississippi</t>
  </si>
  <si>
    <t>Tennessee</t>
  </si>
  <si>
    <t>Texas</t>
  </si>
  <si>
    <t>New Jersey Natural Gas Co.</t>
  </si>
  <si>
    <t>New Jersey</t>
  </si>
  <si>
    <t>Northern Indiana Public Service Co.</t>
  </si>
  <si>
    <t>Indiana</t>
  </si>
  <si>
    <t>Electric</t>
  </si>
  <si>
    <t>Columbia Gas of Kentucky Inc</t>
  </si>
  <si>
    <t>Columbia Gas of Maryland Inc.</t>
  </si>
  <si>
    <t>Maryland</t>
  </si>
  <si>
    <t>Columbia Gas of Ohio Inc.</t>
  </si>
  <si>
    <t>Ohio</t>
  </si>
  <si>
    <t>Columbia Gas of Pennsylvania Inc.</t>
  </si>
  <si>
    <t>Pennsylvania</t>
  </si>
  <si>
    <t>Columbia Gas of Virginia Inc.</t>
  </si>
  <si>
    <t>Virginia</t>
  </si>
  <si>
    <t>Northwest Natural Gas Co.</t>
  </si>
  <si>
    <t>Oregon</t>
  </si>
  <si>
    <t>Washington</t>
  </si>
  <si>
    <t>Kansas Gas Service Co.</t>
  </si>
  <si>
    <t>Oklahoma Natural Gas Co.</t>
  </si>
  <si>
    <t>Oklahoma</t>
  </si>
  <si>
    <t>Texas Gas Service Co. Inc.</t>
  </si>
  <si>
    <t>Spire Alabama Inc.</t>
  </si>
  <si>
    <t>Alabama</t>
  </si>
  <si>
    <t>Spire Gulf Inc.</t>
  </si>
  <si>
    <t>Spire Missouri Inc. - East</t>
  </si>
  <si>
    <t>Missouri</t>
  </si>
  <si>
    <t>Spire Missouri Inc. - West</t>
  </si>
  <si>
    <t>Proxy Group Totals</t>
  </si>
  <si>
    <t>% Full/Partial</t>
  </si>
  <si>
    <t>% Year End</t>
  </si>
  <si>
    <t>% Yes</t>
  </si>
  <si>
    <t>South Dakota</t>
  </si>
  <si>
    <t>Notes</t>
  </si>
  <si>
    <t>[1] - [2] S&amp;P Capital IQ Pro, Rate Case History (Past Rate Cases), ATO LA Tariff, ATO MS Tariff, SR AL Tariff, and SR Gulf Tariff.</t>
  </si>
  <si>
    <t>[3]-[4]  "Adjustment Clauses:  A State-by-state Overview," Regulatory Research Associates, November 12, 2019. Operating subsidiaries not covered in this report were excluded from this exhibit.</t>
  </si>
  <si>
    <t>CAPITAL STRUCTURE ANALYSIS</t>
  </si>
  <si>
    <t>MidAmerican Proxy Group</t>
  </si>
  <si>
    <t>Average 2020</t>
  </si>
  <si>
    <t>Common</t>
  </si>
  <si>
    <t>Equity</t>
  </si>
  <si>
    <t>Debt</t>
  </si>
  <si>
    <t>Proxy Group Company</t>
  </si>
  <si>
    <t>Ratio</t>
  </si>
  <si>
    <t>Maximum</t>
  </si>
  <si>
    <t>Minimum</t>
  </si>
  <si>
    <t>[1] Ratios are weighted by actual common capital, preferred capital, long-term debt of the operating subsidiaries.</t>
  </si>
  <si>
    <t xml:space="preserve">[2] Natural Gas operating subsidiaries with data listed as N/A from S&amp;P Capital IQ have been excluded from the analysis.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</si>
</sst>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[&quot;#&quot;]&quot;"/>
    <numFmt numFmtId="167" formatCode="_(* #,##0.000000_);_(* \(#,##0.000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0.0%"/>
    <numFmt numFmtId="171" formatCode="_(&quot;$&quot;* #,##0_);_(&quot;$&quot;* \(#,##0\);_(&quot;$&quot;* &quot;-&quot;??_);_(@_)"/>
    <numFmt numFmtId="172" formatCode="_(* #,##0.00_);_(* \(#,##0.00\);_(* &quot;-&quot;?_);_(@_)"/>
    <numFmt numFmtId="173" formatCode="_(* #,##0.00_);_(* \(#,##0.00\);_(* &quot;-&quot;?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i/>
      <sz val="10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000000"/>
      <name val="Arial"/>
      <family val="2"/>
    </font>
    <font>
      <b/>
      <sz val="10"/>
      <color theme="1"/>
      <name val="Calibri Light"/>
      <family val="2"/>
      <scheme val="major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1" fillId="0" borderId="0" applyNumberFormat="0" applyBorder="0" applyProtection="0">
      <alignment vertical="center"/>
    </xf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 applyNumberFormat="0" applyBorder="0" applyProtection="0">
      <alignment vertical="center"/>
    </xf>
    <xf numFmtId="0" fontId="9" fillId="0" borderId="0"/>
    <xf numFmtId="0" fontId="9" fillId="0" borderId="0"/>
    <xf numFmtId="0" fontId="1" fillId="0" borderId="0" applyNumberFormat="0" applyBorder="0" applyProtection="0">
      <alignment vertical="center"/>
    </xf>
    <xf numFmtId="0" fontId="1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4" fillId="0" borderId="0"/>
    <xf numFmtId="43" fontId="9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Border="0" applyProtection="0">
      <alignment vertical="center"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NumberFormat="0" applyBorder="0" applyProtection="0">
      <alignment vertical="center"/>
    </xf>
    <xf numFmtId="0" fontId="9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0" borderId="4" xfId="0" applyFont="1" applyBorder="1"/>
    <xf numFmtId="0" fontId="4" fillId="0" borderId="4" xfId="0" applyFont="1" applyBorder="1" applyAlignment="1">
      <alignment horizontal="center" wrapText="1"/>
    </xf>
    <xf numFmtId="0" fontId="4" fillId="0" borderId="5" xfId="0" applyFont="1" applyBorder="1"/>
    <xf numFmtId="10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0" fontId="3" fillId="0" borderId="0" xfId="1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10" fontId="3" fillId="0" borderId="6" xfId="1" applyNumberFormat="1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0" fontId="1" fillId="0" borderId="0" xfId="2">
      <alignment vertical="center"/>
    </xf>
    <xf numFmtId="10" fontId="3" fillId="0" borderId="0" xfId="1" applyNumberFormat="1" applyFont="1" applyBorder="1" applyAlignment="1">
      <alignment horizontal="center"/>
    </xf>
    <xf numFmtId="0" fontId="0" fillId="0" borderId="0" xfId="2" applyFont="1">
      <alignment vertical="center"/>
    </xf>
    <xf numFmtId="0" fontId="1" fillId="0" borderId="0" xfId="2" applyAlignment="1">
      <alignment horizontal="center" vertical="center"/>
    </xf>
    <xf numFmtId="0" fontId="6" fillId="0" borderId="7" xfId="0" applyFont="1" applyBorder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2" applyFont="1">
      <alignment vertical="center"/>
    </xf>
    <xf numFmtId="0" fontId="6" fillId="0" borderId="0" xfId="0" applyFont="1"/>
    <xf numFmtId="0" fontId="6" fillId="0" borderId="0" xfId="4" applyFont="1" applyAlignment="1">
      <alignment horizontal="center"/>
    </xf>
    <xf numFmtId="0" fontId="6" fillId="0" borderId="7" xfId="4" applyFont="1" applyBorder="1"/>
    <xf numFmtId="0" fontId="6" fillId="0" borderId="7" xfId="0" applyFont="1" applyBorder="1" applyAlignment="1">
      <alignment horizontal="center"/>
    </xf>
    <xf numFmtId="0" fontId="6" fillId="0" borderId="0" xfId="4" applyFont="1"/>
    <xf numFmtId="0" fontId="6" fillId="0" borderId="6" xfId="4" applyFont="1" applyBorder="1" applyAlignment="1">
      <alignment horizontal="center"/>
    </xf>
    <xf numFmtId="0" fontId="6" fillId="0" borderId="8" xfId="0" applyFont="1" applyBorder="1"/>
    <xf numFmtId="0" fontId="6" fillId="0" borderId="5" xfId="0" applyFont="1" applyBorder="1"/>
    <xf numFmtId="0" fontId="6" fillId="0" borderId="9" xfId="0" applyFont="1" applyBorder="1"/>
    <xf numFmtId="0" fontId="8" fillId="0" borderId="10" xfId="0" applyFont="1" applyBorder="1"/>
    <xf numFmtId="4" fontId="8" fillId="0" borderId="0" xfId="0" applyNumberFormat="1" applyFont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0" fontId="6" fillId="0" borderId="10" xfId="1" applyNumberFormat="1" applyFont="1" applyFill="1" applyBorder="1" applyAlignment="1">
      <alignment horizontal="center"/>
    </xf>
    <xf numFmtId="10" fontId="6" fillId="0" borderId="0" xfId="1" applyNumberFormat="1" applyFont="1" applyFill="1" applyBorder="1" applyAlignment="1">
      <alignment horizontal="center"/>
    </xf>
    <xf numFmtId="10" fontId="6" fillId="0" borderId="11" xfId="1" applyNumberFormat="1" applyFont="1" applyFill="1" applyBorder="1" applyAlignment="1">
      <alignment horizontal="center"/>
    </xf>
    <xf numFmtId="0" fontId="9" fillId="0" borderId="10" xfId="3" applyFont="1" applyBorder="1"/>
    <xf numFmtId="0" fontId="8" fillId="0" borderId="12" xfId="0" applyFont="1" applyBorder="1"/>
    <xf numFmtId="4" fontId="8" fillId="0" borderId="6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0" fontId="6" fillId="0" borderId="6" xfId="1" applyNumberFormat="1" applyFont="1" applyFill="1" applyBorder="1" applyAlignment="1">
      <alignment horizontal="center"/>
    </xf>
    <xf numFmtId="10" fontId="6" fillId="0" borderId="13" xfId="1" applyNumberFormat="1" applyFont="1" applyFill="1" applyBorder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6" xfId="0" applyFont="1" applyBorder="1"/>
    <xf numFmtId="10" fontId="6" fillId="0" borderId="0" xfId="0" applyNumberFormat="1" applyFont="1"/>
    <xf numFmtId="0" fontId="1" fillId="0" borderId="0" xfId="6">
      <alignment vertical="center"/>
    </xf>
    <xf numFmtId="0" fontId="9" fillId="0" borderId="0" xfId="7" applyAlignment="1">
      <alignment horizontal="center" wrapText="1"/>
    </xf>
    <xf numFmtId="10" fontId="6" fillId="0" borderId="16" xfId="1" applyNumberFormat="1" applyFont="1" applyFill="1" applyBorder="1" applyAlignment="1">
      <alignment horizontal="center"/>
    </xf>
    <xf numFmtId="0" fontId="9" fillId="0" borderId="0" xfId="7" applyAlignment="1">
      <alignment horizontal="center" vertical="center" wrapText="1"/>
    </xf>
    <xf numFmtId="0" fontId="9" fillId="0" borderId="0" xfId="8" applyAlignment="1">
      <alignment horizontal="center" vertical="center" wrapText="1"/>
    </xf>
    <xf numFmtId="0" fontId="9" fillId="0" borderId="0" xfId="8" applyAlignment="1">
      <alignment horizontal="right" vertical="center"/>
    </xf>
    <xf numFmtId="10" fontId="9" fillId="0" borderId="0" xfId="8" applyNumberFormat="1" applyAlignment="1">
      <alignment horizontal="center" vertical="center" wrapText="1"/>
    </xf>
    <xf numFmtId="165" fontId="9" fillId="0" borderId="0" xfId="8" applyNumberFormat="1" applyAlignment="1">
      <alignment horizontal="center" vertical="center" wrapText="1"/>
    </xf>
    <xf numFmtId="10" fontId="9" fillId="0" borderId="0" xfId="7" applyNumberFormat="1" applyAlignment="1">
      <alignment horizontal="center" vertical="center" wrapText="1"/>
    </xf>
    <xf numFmtId="10" fontId="9" fillId="0" borderId="0" xfId="8" applyNumberFormat="1" applyAlignment="1">
      <alignment horizontal="right" vertical="center"/>
    </xf>
    <xf numFmtId="0" fontId="9" fillId="0" borderId="7" xfId="12" applyBorder="1"/>
    <xf numFmtId="0" fontId="9" fillId="0" borderId="7" xfId="12" applyBorder="1" applyAlignment="1">
      <alignment horizontal="center"/>
    </xf>
    <xf numFmtId="0" fontId="9" fillId="0" borderId="0" xfId="12"/>
    <xf numFmtId="0" fontId="9" fillId="0" borderId="0" xfId="12" applyAlignment="1">
      <alignment horizontal="center"/>
    </xf>
    <xf numFmtId="0" fontId="9" fillId="0" borderId="6" xfId="12" applyBorder="1"/>
    <xf numFmtId="0" fontId="9" fillId="0" borderId="6" xfId="12" applyBorder="1" applyAlignment="1">
      <alignment horizontal="center"/>
    </xf>
    <xf numFmtId="10" fontId="9" fillId="0" borderId="0" xfId="13" applyNumberFormat="1" applyFont="1" applyFill="1" applyBorder="1" applyAlignment="1">
      <alignment horizontal="center"/>
    </xf>
    <xf numFmtId="10" fontId="9" fillId="0" borderId="0" xfId="13" applyNumberFormat="1" applyFont="1" applyAlignment="1">
      <alignment horizontal="center"/>
    </xf>
    <xf numFmtId="10" fontId="9" fillId="0" borderId="6" xfId="13" applyNumberFormat="1" applyFont="1" applyFill="1" applyBorder="1" applyAlignment="1">
      <alignment horizontal="center"/>
    </xf>
    <xf numFmtId="10" fontId="9" fillId="0" borderId="6" xfId="13" applyNumberFormat="1" applyFont="1" applyBorder="1" applyAlignment="1">
      <alignment horizontal="center"/>
    </xf>
    <xf numFmtId="0" fontId="9" fillId="0" borderId="15" xfId="12" applyBorder="1"/>
    <xf numFmtId="10" fontId="9" fillId="0" borderId="15" xfId="13" applyNumberFormat="1" applyFont="1" applyBorder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13" fillId="0" borderId="0" xfId="0" applyFont="1"/>
    <xf numFmtId="0" fontId="9" fillId="0" borderId="4" xfId="12" applyBorder="1" applyAlignment="1">
      <alignment horizontal="center"/>
    </xf>
    <xf numFmtId="0" fontId="9" fillId="0" borderId="4" xfId="12" applyBorder="1" applyAlignment="1">
      <alignment horizontal="center" wrapText="1"/>
    </xf>
    <xf numFmtId="0" fontId="9" fillId="0" borderId="0" xfId="12" quotePrefix="1" applyAlignment="1">
      <alignment horizontal="center"/>
    </xf>
    <xf numFmtId="10" fontId="9" fillId="0" borderId="5" xfId="13" applyNumberFormat="1" applyFont="1" applyBorder="1" applyAlignment="1">
      <alignment horizontal="center"/>
    </xf>
    <xf numFmtId="10" fontId="9" fillId="0" borderId="0" xfId="13" applyNumberFormat="1" applyFont="1" applyBorder="1" applyAlignment="1">
      <alignment horizontal="center"/>
    </xf>
    <xf numFmtId="167" fontId="0" fillId="0" borderId="0" xfId="17" applyNumberFormat="1" applyFont="1" applyFill="1" applyBorder="1" applyAlignment="1"/>
    <xf numFmtId="167" fontId="0" fillId="0" borderId="14" xfId="17" applyNumberFormat="1" applyFont="1" applyFill="1" applyBorder="1" applyAlignment="1"/>
    <xf numFmtId="168" fontId="0" fillId="0" borderId="0" xfId="17" applyNumberFormat="1" applyFont="1" applyFill="1" applyBorder="1" applyAlignment="1"/>
    <xf numFmtId="169" fontId="0" fillId="0" borderId="0" xfId="17" applyNumberFormat="1" applyFont="1" applyFill="1" applyBorder="1" applyAlignment="1"/>
    <xf numFmtId="43" fontId="0" fillId="0" borderId="0" xfId="17" applyFont="1" applyFill="1" applyBorder="1" applyAlignment="1"/>
    <xf numFmtId="168" fontId="0" fillId="0" borderId="14" xfId="17" applyNumberFormat="1" applyFont="1" applyFill="1" applyBorder="1" applyAlignment="1"/>
    <xf numFmtId="169" fontId="0" fillId="0" borderId="14" xfId="17" applyNumberFormat="1" applyFont="1" applyFill="1" applyBorder="1" applyAlignment="1"/>
    <xf numFmtId="43" fontId="0" fillId="0" borderId="14" xfId="17" applyFont="1" applyFill="1" applyBorder="1" applyAlignment="1"/>
    <xf numFmtId="0" fontId="5" fillId="0" borderId="0" xfId="6" applyFont="1">
      <alignment vertical="center"/>
    </xf>
    <xf numFmtId="0" fontId="9" fillId="0" borderId="5" xfId="12" applyBorder="1" applyAlignment="1">
      <alignment horizontal="center"/>
    </xf>
    <xf numFmtId="10" fontId="5" fillId="0" borderId="5" xfId="12" applyNumberFormat="1" applyFont="1" applyBorder="1" applyAlignment="1">
      <alignment horizontal="center"/>
    </xf>
    <xf numFmtId="0" fontId="9" fillId="0" borderId="14" xfId="12" applyBorder="1" applyAlignment="1">
      <alignment horizontal="center"/>
    </xf>
    <xf numFmtId="10" fontId="5" fillId="0" borderId="14" xfId="12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2" fontId="1" fillId="0" borderId="0" xfId="2" applyNumberFormat="1" applyAlignment="1">
      <alignment horizontal="center" vertical="center"/>
    </xf>
    <xf numFmtId="2" fontId="1" fillId="0" borderId="6" xfId="2" applyNumberFormat="1" applyBorder="1" applyAlignment="1">
      <alignment horizontal="center" vertical="center"/>
    </xf>
    <xf numFmtId="0" fontId="1" fillId="0" borderId="15" xfId="2" applyBorder="1">
      <alignment vertical="center"/>
    </xf>
    <xf numFmtId="2" fontId="1" fillId="0" borderId="15" xfId="2" applyNumberForma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4" xfId="0" applyFont="1" applyBorder="1" applyAlignment="1">
      <alignment horizontal="centerContinuous"/>
    </xf>
    <xf numFmtId="0" fontId="6" fillId="0" borderId="4" xfId="0" applyFont="1" applyBorder="1"/>
    <xf numFmtId="14" fontId="6" fillId="0" borderId="6" xfId="0" applyNumberFormat="1" applyFont="1" applyBorder="1" applyAlignment="1">
      <alignment horizontal="center"/>
    </xf>
    <xf numFmtId="14" fontId="6" fillId="0" borderId="6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/>
    </xf>
    <xf numFmtId="2" fontId="6" fillId="0" borderId="0" xfId="5" applyNumberFormat="1" applyFont="1" applyFill="1" applyAlignment="1">
      <alignment horizontal="center"/>
    </xf>
    <xf numFmtId="0" fontId="7" fillId="0" borderId="0" xfId="18" applyFont="1" applyAlignment="1">
      <alignment horizontal="centerContinuous"/>
    </xf>
    <xf numFmtId="0" fontId="1" fillId="0" borderId="0" xfId="19" applyFont="1"/>
    <xf numFmtId="0" fontId="17" fillId="0" borderId="0" xfId="20" applyFont="1" applyAlignment="1">
      <alignment horizontal="centerContinuous"/>
    </xf>
    <xf numFmtId="0" fontId="1" fillId="0" borderId="0" xfId="20" applyFont="1"/>
    <xf numFmtId="0" fontId="17" fillId="0" borderId="0" xfId="20" applyFont="1" applyAlignment="1">
      <alignment horizontal="center"/>
    </xf>
    <xf numFmtId="0" fontId="6" fillId="0" borderId="6" xfId="18" applyFont="1" applyBorder="1" applyAlignment="1">
      <alignment horizontal="center"/>
    </xf>
    <xf numFmtId="0" fontId="1" fillId="0" borderId="6" xfId="20" applyFont="1" applyBorder="1"/>
    <xf numFmtId="0" fontId="1" fillId="0" borderId="6" xfId="20" applyFont="1" applyBorder="1" applyAlignment="1">
      <alignment horizontal="center"/>
    </xf>
    <xf numFmtId="0" fontId="1" fillId="0" borderId="0" xfId="20" applyFont="1" applyAlignment="1">
      <alignment horizontal="center"/>
    </xf>
    <xf numFmtId="0" fontId="6" fillId="0" borderId="0" xfId="18" applyFont="1"/>
    <xf numFmtId="0" fontId="6" fillId="0" borderId="0" xfId="18" applyFont="1" applyAlignment="1">
      <alignment horizontal="center"/>
    </xf>
    <xf numFmtId="0" fontId="7" fillId="0" borderId="0" xfId="18" applyFont="1" applyAlignment="1">
      <alignment horizontal="center"/>
    </xf>
    <xf numFmtId="0" fontId="7" fillId="0" borderId="14" xfId="18" applyFont="1" applyBorder="1" applyAlignment="1">
      <alignment horizontal="left"/>
    </xf>
    <xf numFmtId="0" fontId="7" fillId="0" borderId="14" xfId="18" applyFont="1" applyBorder="1" applyAlignment="1">
      <alignment horizontal="center"/>
    </xf>
    <xf numFmtId="0" fontId="17" fillId="0" borderId="14" xfId="20" applyFont="1" applyBorder="1" applyAlignment="1">
      <alignment horizontal="center" vertical="center"/>
    </xf>
    <xf numFmtId="0" fontId="17" fillId="0" borderId="14" xfId="20" applyFont="1" applyBorder="1" applyAlignment="1">
      <alignment horizontal="center"/>
    </xf>
    <xf numFmtId="0" fontId="7" fillId="0" borderId="0" xfId="18" applyFont="1" applyAlignment="1">
      <alignment horizontal="left"/>
    </xf>
    <xf numFmtId="0" fontId="1" fillId="0" borderId="0" xfId="18" applyFont="1" applyAlignment="1">
      <alignment horizontal="left"/>
    </xf>
    <xf numFmtId="0" fontId="1" fillId="0" borderId="0" xfId="18" applyFont="1" applyAlignment="1">
      <alignment horizontal="center"/>
    </xf>
    <xf numFmtId="0" fontId="6" fillId="0" borderId="0" xfId="18" applyFont="1" applyAlignment="1">
      <alignment horizontal="left" wrapText="1"/>
    </xf>
    <xf numFmtId="0" fontId="1" fillId="0" borderId="0" xfId="21" applyFont="1" applyAlignment="1">
      <alignment horizontal="center"/>
    </xf>
    <xf numFmtId="0" fontId="1" fillId="0" borderId="0" xfId="20" applyFont="1" applyAlignment="1">
      <alignment horizontal="left" wrapText="1"/>
    </xf>
    <xf numFmtId="0" fontId="1" fillId="0" borderId="0" xfId="20" applyFont="1" applyAlignment="1">
      <alignment horizontal="center" wrapText="1"/>
    </xf>
    <xf numFmtId="0" fontId="6" fillId="0" borderId="0" xfId="18" applyFont="1" applyAlignment="1">
      <alignment horizontal="left"/>
    </xf>
    <xf numFmtId="0" fontId="6" fillId="0" borderId="0" xfId="21" applyFont="1" applyAlignment="1">
      <alignment horizontal="center"/>
    </xf>
    <xf numFmtId="0" fontId="6" fillId="0" borderId="0" xfId="20" applyFont="1" applyAlignment="1">
      <alignment horizontal="left" wrapText="1"/>
    </xf>
    <xf numFmtId="0" fontId="6" fillId="0" borderId="0" xfId="20" applyFont="1" applyAlignment="1">
      <alignment horizontal="center" wrapText="1"/>
    </xf>
    <xf numFmtId="0" fontId="1" fillId="0" borderId="0" xfId="22" applyFont="1" applyAlignment="1">
      <alignment horizontal="center"/>
    </xf>
    <xf numFmtId="0" fontId="1" fillId="0" borderId="0" xfId="20" applyFont="1" applyAlignment="1">
      <alignment horizontal="left"/>
    </xf>
    <xf numFmtId="0" fontId="17" fillId="0" borderId="0" xfId="20" applyFont="1" applyAlignment="1">
      <alignment horizontal="right"/>
    </xf>
    <xf numFmtId="10" fontId="17" fillId="0" borderId="0" xfId="23" applyNumberFormat="1" applyFont="1" applyBorder="1" applyAlignment="1">
      <alignment horizontal="right"/>
    </xf>
    <xf numFmtId="0" fontId="17" fillId="0" borderId="6" xfId="20" applyFont="1" applyBorder="1" applyAlignment="1">
      <alignment horizontal="right"/>
    </xf>
    <xf numFmtId="0" fontId="17" fillId="0" borderId="6" xfId="20" applyFont="1" applyBorder="1" applyAlignment="1">
      <alignment horizontal="center"/>
    </xf>
    <xf numFmtId="10" fontId="17" fillId="0" borderId="6" xfId="23" applyNumberFormat="1" applyFont="1" applyBorder="1" applyAlignment="1">
      <alignment horizontal="right"/>
    </xf>
    <xf numFmtId="0" fontId="6" fillId="0" borderId="0" xfId="24" applyFont="1" applyAlignment="1">
      <alignment vertical="center"/>
    </xf>
    <xf numFmtId="170" fontId="17" fillId="0" borderId="0" xfId="23" applyNumberFormat="1" applyFont="1" applyBorder="1" applyAlignment="1">
      <alignment horizontal="center"/>
    </xf>
    <xf numFmtId="10" fontId="17" fillId="0" borderId="0" xfId="23" applyNumberFormat="1" applyFont="1" applyBorder="1" applyAlignment="1">
      <alignment horizontal="center"/>
    </xf>
    <xf numFmtId="0" fontId="1" fillId="0" borderId="0" xfId="25" applyFont="1" applyAlignment="1">
      <alignment vertical="center"/>
    </xf>
    <xf numFmtId="10" fontId="1" fillId="0" borderId="0" xfId="23" applyNumberFormat="1" applyFont="1" applyBorder="1" applyAlignment="1">
      <alignment horizontal="center"/>
    </xf>
    <xf numFmtId="0" fontId="17" fillId="0" borderId="0" xfId="20" applyFont="1"/>
    <xf numFmtId="0" fontId="18" fillId="0" borderId="0" xfId="26" applyFont="1"/>
    <xf numFmtId="0" fontId="6" fillId="0" borderId="0" xfId="26" applyFont="1"/>
    <xf numFmtId="0" fontId="16" fillId="0" borderId="0" xfId="18" applyFont="1" applyAlignment="1">
      <alignment horizontal="left"/>
    </xf>
    <xf numFmtId="0" fontId="1" fillId="0" borderId="0" xfId="18" applyFont="1" applyAlignment="1">
      <alignment horizontal="left" wrapText="1"/>
    </xf>
    <xf numFmtId="0" fontId="1" fillId="0" borderId="0" xfId="18" applyFont="1"/>
    <xf numFmtId="43" fontId="1" fillId="0" borderId="0" xfId="27" applyFont="1"/>
    <xf numFmtId="44" fontId="6" fillId="0" borderId="0" xfId="28" applyFont="1"/>
    <xf numFmtId="0" fontId="20" fillId="0" borderId="0" xfId="31" applyFont="1">
      <alignment vertical="center"/>
    </xf>
    <xf numFmtId="0" fontId="22" fillId="0" borderId="0" xfId="21" applyFont="1"/>
    <xf numFmtId="0" fontId="23" fillId="0" borderId="0" xfId="21" applyFont="1"/>
    <xf numFmtId="0" fontId="23" fillId="0" borderId="0" xfId="21" applyFont="1" applyAlignment="1">
      <alignment horizontal="center"/>
    </xf>
    <xf numFmtId="0" fontId="22" fillId="0" borderId="7" xfId="21" applyFont="1" applyBorder="1"/>
    <xf numFmtId="0" fontId="23" fillId="0" borderId="7" xfId="21" applyFont="1" applyBorder="1"/>
    <xf numFmtId="0" fontId="23" fillId="0" borderId="7" xfId="21" applyFont="1" applyBorder="1" applyAlignment="1">
      <alignment horizontal="center"/>
    </xf>
    <xf numFmtId="0" fontId="23" fillId="0" borderId="6" xfId="21" applyFont="1" applyBorder="1"/>
    <xf numFmtId="0" fontId="23" fillId="0" borderId="6" xfId="21" applyFont="1" applyBorder="1" applyAlignment="1">
      <alignment horizontal="center"/>
    </xf>
    <xf numFmtId="44" fontId="20" fillId="0" borderId="0" xfId="29" applyFont="1" applyAlignment="1">
      <alignment vertical="center"/>
    </xf>
    <xf numFmtId="44" fontId="20" fillId="0" borderId="6" xfId="29" applyFont="1" applyBorder="1" applyAlignment="1">
      <alignment vertical="center"/>
    </xf>
    <xf numFmtId="0" fontId="20" fillId="0" borderId="6" xfId="31" applyFont="1" applyBorder="1">
      <alignment vertical="center"/>
    </xf>
    <xf numFmtId="10" fontId="20" fillId="0" borderId="5" xfId="1" applyNumberFormat="1" applyFont="1" applyBorder="1" applyAlignment="1">
      <alignment vertical="center"/>
    </xf>
    <xf numFmtId="44" fontId="20" fillId="0" borderId="0" xfId="29" applyFont="1" applyFill="1" applyAlignment="1">
      <alignment vertical="center"/>
    </xf>
    <xf numFmtId="44" fontId="23" fillId="0" borderId="0" xfId="29" applyFont="1" applyFill="1" applyAlignment="1">
      <alignment horizontal="center"/>
    </xf>
    <xf numFmtId="44" fontId="20" fillId="0" borderId="6" xfId="29" applyFont="1" applyFill="1" applyBorder="1" applyAlignment="1">
      <alignment vertical="center"/>
    </xf>
    <xf numFmtId="44" fontId="23" fillId="0" borderId="6" xfId="29" applyFont="1" applyFill="1" applyBorder="1" applyAlignment="1">
      <alignment horizontal="center"/>
    </xf>
    <xf numFmtId="44" fontId="20" fillId="0" borderId="5" xfId="29" applyFont="1" applyBorder="1" applyAlignment="1">
      <alignment vertical="center"/>
    </xf>
    <xf numFmtId="44" fontId="20" fillId="0" borderId="5" xfId="29" applyFont="1" applyFill="1" applyBorder="1" applyAlignment="1">
      <alignment vertical="center"/>
    </xf>
    <xf numFmtId="171" fontId="20" fillId="0" borderId="0" xfId="29" applyNumberFormat="1" applyFont="1" applyFill="1" applyAlignment="1">
      <alignment vertical="center"/>
    </xf>
    <xf numFmtId="171" fontId="20" fillId="0" borderId="0" xfId="29" applyNumberFormat="1" applyFont="1" applyAlignment="1">
      <alignment vertical="center"/>
    </xf>
    <xf numFmtId="0" fontId="20" fillId="0" borderId="0" xfId="31" applyFont="1" applyAlignment="1">
      <alignment horizontal="center" vertical="center"/>
    </xf>
    <xf numFmtId="0" fontId="17" fillId="0" borderId="14" xfId="2" applyFont="1" applyBorder="1">
      <alignment vertical="center"/>
    </xf>
    <xf numFmtId="10" fontId="1" fillId="0" borderId="0" xfId="2" applyNumberFormat="1">
      <alignment vertical="center"/>
    </xf>
    <xf numFmtId="10" fontId="1" fillId="0" borderId="0" xfId="2" applyNumberFormat="1" applyAlignment="1">
      <alignment horizontal="center" vertical="center"/>
    </xf>
    <xf numFmtId="0" fontId="1" fillId="0" borderId="0" xfId="2" applyAlignment="1">
      <alignment horizontal="left" vertical="center"/>
    </xf>
    <xf numFmtId="0" fontId="17" fillId="0" borderId="14" xfId="2" applyFont="1" applyBorder="1" applyAlignment="1">
      <alignment horizontal="center" vertical="center"/>
    </xf>
    <xf numFmtId="0" fontId="0" fillId="0" borderId="1" xfId="2" applyFont="1" applyBorder="1" applyAlignment="1">
      <alignment horizontal="left" vertical="center"/>
    </xf>
    <xf numFmtId="0" fontId="0" fillId="0" borderId="2" xfId="2" applyFont="1" applyBorder="1" applyAlignment="1">
      <alignment horizontal="center" vertical="center"/>
    </xf>
    <xf numFmtId="10" fontId="1" fillId="0" borderId="3" xfId="2" applyNumberFormat="1" applyBorder="1" applyAlignment="1">
      <alignment horizontal="center" vertical="center"/>
    </xf>
    <xf numFmtId="0" fontId="0" fillId="0" borderId="5" xfId="2" applyFont="1" applyBorder="1">
      <alignment vertical="center"/>
    </xf>
    <xf numFmtId="0" fontId="1" fillId="0" borderId="5" xfId="2" applyBorder="1">
      <alignment vertical="center"/>
    </xf>
    <xf numFmtId="0" fontId="0" fillId="0" borderId="6" xfId="2" applyFont="1" applyBorder="1">
      <alignment vertical="center"/>
    </xf>
    <xf numFmtId="0" fontId="1" fillId="0" borderId="6" xfId="2" applyBorder="1">
      <alignment vertical="center"/>
    </xf>
    <xf numFmtId="10" fontId="1" fillId="0" borderId="5" xfId="2" applyNumberFormat="1" applyBorder="1" applyAlignment="1">
      <alignment horizontal="center" vertical="center"/>
    </xf>
    <xf numFmtId="10" fontId="1" fillId="0" borderId="6" xfId="1" applyNumberFormat="1" applyBorder="1" applyAlignment="1">
      <alignment horizontal="center" vertical="center"/>
    </xf>
    <xf numFmtId="0" fontId="24" fillId="0" borderId="0" xfId="25" applyFont="1" applyAlignment="1">
      <alignment horizontal="centerContinuous"/>
    </xf>
    <xf numFmtId="0" fontId="24" fillId="0" borderId="0" xfId="25" applyFont="1"/>
    <xf numFmtId="0" fontId="24" fillId="0" borderId="0" xfId="32" applyFont="1" applyAlignment="1">
      <alignment horizontal="center"/>
    </xf>
    <xf numFmtId="0" fontId="24" fillId="0" borderId="7" xfId="25" applyFont="1" applyBorder="1"/>
    <xf numFmtId="0" fontId="24" fillId="0" borderId="7" xfId="25" applyFont="1" applyBorder="1" applyAlignment="1">
      <alignment horizontal="center"/>
    </xf>
    <xf numFmtId="0" fontId="24" fillId="0" borderId="0" xfId="25" applyFont="1" applyAlignment="1">
      <alignment horizontal="center"/>
    </xf>
    <xf numFmtId="0" fontId="24" fillId="0" borderId="6" xfId="25" applyFont="1" applyBorder="1" applyAlignment="1">
      <alignment horizontal="centerContinuous"/>
    </xf>
    <xf numFmtId="0" fontId="24" fillId="0" borderId="6" xfId="25" applyFont="1" applyBorder="1" applyAlignment="1">
      <alignment horizontal="center"/>
    </xf>
    <xf numFmtId="0" fontId="9" fillId="0" borderId="0" xfId="32" applyFont="1"/>
    <xf numFmtId="0" fontId="9" fillId="0" borderId="0" xfId="32" applyFont="1" applyAlignment="1">
      <alignment horizontal="center"/>
    </xf>
    <xf numFmtId="2" fontId="24" fillId="0" borderId="0" xfId="25" applyNumberFormat="1" applyFont="1" applyAlignment="1">
      <alignment horizontal="center"/>
    </xf>
    <xf numFmtId="0" fontId="24" fillId="0" borderId="0" xfId="32" applyFont="1" applyAlignment="1">
      <alignment horizontal="left"/>
    </xf>
    <xf numFmtId="0" fontId="24" fillId="0" borderId="5" xfId="25" applyFont="1" applyBorder="1" applyAlignment="1">
      <alignment horizontal="centerContinuous"/>
    </xf>
    <xf numFmtId="0" fontId="24" fillId="0" borderId="5" xfId="25" applyFont="1" applyBorder="1"/>
    <xf numFmtId="4" fontId="24" fillId="0" borderId="5" xfId="25" applyNumberFormat="1" applyFont="1" applyBorder="1" applyAlignment="1">
      <alignment horizontal="center"/>
    </xf>
    <xf numFmtId="0" fontId="24" fillId="0" borderId="14" xfId="25" applyFont="1" applyBorder="1" applyAlignment="1">
      <alignment horizontal="centerContinuous"/>
    </xf>
    <xf numFmtId="0" fontId="24" fillId="0" borderId="14" xfId="25" applyFont="1" applyBorder="1"/>
    <xf numFmtId="4" fontId="24" fillId="0" borderId="14" xfId="25" applyNumberFormat="1" applyFont="1" applyBorder="1" applyAlignment="1">
      <alignment horizontal="center"/>
    </xf>
    <xf numFmtId="44" fontId="24" fillId="0" borderId="0" xfId="25" applyNumberFormat="1" applyFont="1"/>
    <xf numFmtId="0" fontId="24" fillId="0" borderId="0" xfId="32" applyFont="1" applyAlignment="1">
      <alignment horizontal="left" indent="1"/>
    </xf>
    <xf numFmtId="0" fontId="24" fillId="0" borderId="0" xfId="25" applyFont="1" applyAlignment="1">
      <alignment horizontal="left"/>
    </xf>
    <xf numFmtId="0" fontId="24" fillId="0" borderId="0" xfId="25" applyFont="1" applyAlignment="1">
      <alignment horizontal="left" indent="2"/>
    </xf>
    <xf numFmtId="10" fontId="24" fillId="0" borderId="0" xfId="34" applyNumberFormat="1" applyFont="1" applyFill="1" applyBorder="1" applyAlignment="1">
      <alignment horizontal="right"/>
    </xf>
    <xf numFmtId="0" fontId="24" fillId="0" borderId="7" xfId="32" applyFont="1" applyBorder="1" applyAlignment="1">
      <alignment horizontal="right"/>
    </xf>
    <xf numFmtId="0" fontId="24" fillId="0" borderId="7" xfId="32" applyFont="1" applyBorder="1"/>
    <xf numFmtId="0" fontId="24" fillId="0" borderId="0" xfId="32" applyFont="1" applyAlignment="1">
      <alignment horizontal="right"/>
    </xf>
    <xf numFmtId="0" fontId="24" fillId="0" borderId="0" xfId="32" applyFont="1"/>
    <xf numFmtId="0" fontId="24" fillId="0" borderId="6" xfId="25" applyFont="1" applyBorder="1"/>
    <xf numFmtId="0" fontId="24" fillId="0" borderId="6" xfId="32" applyFont="1" applyBorder="1" applyAlignment="1">
      <alignment horizontal="right"/>
    </xf>
    <xf numFmtId="10" fontId="24" fillId="0" borderId="0" xfId="25" applyNumberFormat="1" applyFont="1"/>
    <xf numFmtId="0" fontId="24" fillId="0" borderId="6" xfId="25" applyFont="1" applyBorder="1" applyAlignment="1">
      <alignment horizontal="left"/>
    </xf>
    <xf numFmtId="10" fontId="24" fillId="0" borderId="6" xfId="25" applyNumberFormat="1" applyFont="1" applyBorder="1"/>
    <xf numFmtId="173" fontId="24" fillId="0" borderId="0" xfId="25" applyNumberFormat="1" applyFont="1"/>
    <xf numFmtId="0" fontId="24" fillId="0" borderId="6" xfId="32" applyFont="1" applyBorder="1"/>
    <xf numFmtId="0" fontId="7" fillId="0" borderId="0" xfId="20" applyFont="1"/>
    <xf numFmtId="2" fontId="7" fillId="0" borderId="0" xfId="20" applyNumberFormat="1" applyFont="1" applyAlignment="1">
      <alignment horizontal="center"/>
    </xf>
    <xf numFmtId="0" fontId="7" fillId="0" borderId="0" xfId="20" applyFont="1" applyAlignment="1">
      <alignment horizontal="center"/>
    </xf>
    <xf numFmtId="0" fontId="26" fillId="0" borderId="0" xfId="25" applyFont="1" applyAlignment="1">
      <alignment horizontal="centerContinuous"/>
    </xf>
    <xf numFmtId="0" fontId="17" fillId="0" borderId="0" xfId="0" applyFont="1"/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10" fontId="1" fillId="0" borderId="0" xfId="1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0" xfId="1" applyNumberFormat="1" applyFont="1" applyBorder="1" applyAlignment="1">
      <alignment horizontal="center"/>
    </xf>
    <xf numFmtId="10" fontId="1" fillId="0" borderId="6" xfId="1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2" fontId="6" fillId="0" borderId="0" xfId="1" applyNumberFormat="1" applyFont="1" applyAlignment="1">
      <alignment horizontal="center"/>
    </xf>
    <xf numFmtId="10" fontId="6" fillId="0" borderId="0" xfId="1" applyNumberFormat="1" applyFont="1" applyAlignment="1">
      <alignment horizontal="center"/>
    </xf>
    <xf numFmtId="0" fontId="1" fillId="0" borderId="0" xfId="3" applyFont="1"/>
    <xf numFmtId="0" fontId="1" fillId="0" borderId="0" xfId="41">
      <alignment vertical="center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6" xfId="0" applyFont="1" applyBorder="1" applyAlignment="1">
      <alignment horizontal="centerContinuous"/>
    </xf>
    <xf numFmtId="1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9" fillId="0" borderId="6" xfId="42" applyBorder="1" applyAlignment="1">
      <alignment horizontal="center"/>
    </xf>
    <xf numFmtId="10" fontId="9" fillId="0" borderId="0" xfId="1" applyNumberFormat="1" applyFont="1" applyFill="1" applyBorder="1" applyAlignment="1">
      <alignment horizontal="center"/>
    </xf>
    <xf numFmtId="10" fontId="9" fillId="0" borderId="0" xfId="42" applyNumberFormat="1" applyAlignment="1">
      <alignment horizontal="center"/>
    </xf>
    <xf numFmtId="0" fontId="5" fillId="0" borderId="0" xfId="0" applyFont="1" applyAlignment="1">
      <alignment horizontal="left" wrapText="1"/>
    </xf>
    <xf numFmtId="0" fontId="9" fillId="0" borderId="0" xfId="42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7" fillId="0" borderId="0" xfId="0" applyFont="1"/>
    <xf numFmtId="0" fontId="5" fillId="0" borderId="0" xfId="0" applyFont="1" applyAlignment="1">
      <alignment horizontal="left" vertical="top"/>
    </xf>
    <xf numFmtId="10" fontId="9" fillId="0" borderId="5" xfId="43" applyNumberFormat="1" applyFont="1" applyBorder="1" applyAlignment="1">
      <alignment horizontal="center"/>
    </xf>
    <xf numFmtId="10" fontId="9" fillId="0" borderId="0" xfId="43" applyNumberFormat="1" applyFont="1" applyBorder="1" applyAlignment="1">
      <alignment horizontal="center"/>
    </xf>
    <xf numFmtId="172" fontId="5" fillId="0" borderId="0" xfId="32" applyNumberFormat="1" applyFont="1"/>
    <xf numFmtId="43" fontId="24" fillId="0" borderId="0" xfId="35" applyFont="1" applyFill="1" applyBorder="1"/>
    <xf numFmtId="43" fontId="24" fillId="0" borderId="0" xfId="25" applyNumberFormat="1" applyFont="1"/>
    <xf numFmtId="43" fontId="24" fillId="0" borderId="6" xfId="25" applyNumberFormat="1" applyFont="1" applyBorder="1"/>
    <xf numFmtId="0" fontId="28" fillId="0" borderId="0" xfId="2" applyFont="1" applyAlignment="1">
      <alignment horizontal="center" vertical="center"/>
    </xf>
    <xf numFmtId="0" fontId="28" fillId="0" borderId="0" xfId="2" applyFont="1">
      <alignment vertical="center"/>
    </xf>
    <xf numFmtId="10" fontId="28" fillId="0" borderId="0" xfId="2" applyNumberFormat="1" applyFont="1">
      <alignment vertical="center"/>
    </xf>
    <xf numFmtId="10" fontId="0" fillId="0" borderId="0" xfId="1" applyNumberFormat="1" applyFont="1" applyAlignment="1">
      <alignment horizontal="center"/>
    </xf>
    <xf numFmtId="0" fontId="15" fillId="0" borderId="4" xfId="0" applyFont="1" applyBorder="1" applyAlignment="1">
      <alignment horizontal="centerContinuous"/>
    </xf>
    <xf numFmtId="0" fontId="0" fillId="0" borderId="14" xfId="0" applyBorder="1"/>
    <xf numFmtId="0" fontId="15" fillId="0" borderId="4" xfId="0" applyFont="1" applyBorder="1" applyAlignment="1">
      <alignment horizontal="center"/>
    </xf>
    <xf numFmtId="0" fontId="0" fillId="0" borderId="0" xfId="6" applyFont="1" applyAlignment="1">
      <alignment horizontal="right" vertical="center"/>
    </xf>
    <xf numFmtId="10" fontId="1" fillId="0" borderId="0" xfId="6" applyNumberFormat="1">
      <alignment vertical="center"/>
    </xf>
    <xf numFmtId="0" fontId="10" fillId="0" borderId="0" xfId="7" applyFont="1" applyAlignment="1">
      <alignment horizontal="center" vertical="center" wrapText="1"/>
    </xf>
    <xf numFmtId="10" fontId="9" fillId="3" borderId="0" xfId="8" applyNumberFormat="1" applyFill="1" applyAlignment="1">
      <alignment horizontal="center" vertical="center" wrapText="1"/>
    </xf>
    <xf numFmtId="0" fontId="9" fillId="0" borderId="14" xfId="8" applyBorder="1" applyAlignment="1">
      <alignment horizontal="center" vertical="center" wrapText="1"/>
    </xf>
    <xf numFmtId="10" fontId="9" fillId="0" borderId="14" xfId="8" applyNumberFormat="1" applyBorder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0" fontId="11" fillId="0" borderId="6" xfId="7" applyFont="1" applyBorder="1" applyAlignment="1">
      <alignment horizontal="center" vertical="center" wrapText="1"/>
    </xf>
    <xf numFmtId="0" fontId="9" fillId="0" borderId="6" xfId="7" applyBorder="1" applyAlignment="1">
      <alignment horizontal="center" vertical="center" wrapText="1"/>
    </xf>
    <xf numFmtId="0" fontId="10" fillId="2" borderId="11" xfId="7" applyFont="1" applyFill="1" applyBorder="1" applyAlignment="1">
      <alignment horizontal="center" vertical="center" wrapText="1"/>
    </xf>
    <xf numFmtId="0" fontId="10" fillId="2" borderId="20" xfId="7" applyFont="1" applyFill="1" applyBorder="1" applyAlignment="1">
      <alignment horizontal="center" vertical="center" wrapText="1"/>
    </xf>
    <xf numFmtId="0" fontId="10" fillId="2" borderId="10" xfId="7" applyFont="1" applyFill="1" applyBorder="1" applyAlignment="1">
      <alignment horizontal="center" vertical="center" wrapText="1"/>
    </xf>
    <xf numFmtId="10" fontId="1" fillId="0" borderId="14" xfId="6" applyNumberFormat="1" applyBorder="1" applyAlignment="1">
      <alignment horizontal="center" vertical="center"/>
    </xf>
    <xf numFmtId="0" fontId="11" fillId="0" borderId="0" xfId="7" applyFont="1" applyAlignment="1">
      <alignment horizontal="center" wrapText="1"/>
    </xf>
    <xf numFmtId="0" fontId="10" fillId="2" borderId="17" xfId="7" applyFont="1" applyFill="1" applyBorder="1" applyAlignment="1">
      <alignment horizontal="center" vertical="center" wrapText="1"/>
    </xf>
    <xf numFmtId="0" fontId="10" fillId="2" borderId="18" xfId="7" applyFont="1" applyFill="1" applyBorder="1" applyAlignment="1">
      <alignment horizontal="center" vertical="center" wrapText="1"/>
    </xf>
    <xf numFmtId="0" fontId="10" fillId="2" borderId="19" xfId="7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3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0" fontId="6" fillId="0" borderId="3" xfId="0" applyNumberFormat="1" applyFont="1" applyBorder="1" applyAlignment="1">
      <alignment horizontal="center"/>
    </xf>
    <xf numFmtId="10" fontId="6" fillId="0" borderId="1" xfId="1" applyNumberFormat="1" applyFont="1" applyFill="1" applyBorder="1" applyAlignment="1">
      <alignment horizontal="center"/>
    </xf>
    <xf numFmtId="10" fontId="6" fillId="0" borderId="3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6" applyFont="1" applyAlignment="1">
      <alignment horizontal="center" vertical="center"/>
    </xf>
    <xf numFmtId="0" fontId="25" fillId="0" borderId="0" xfId="31" applyFont="1" applyAlignment="1">
      <alignment horizontal="center" vertical="center"/>
    </xf>
    <xf numFmtId="0" fontId="21" fillId="0" borderId="0" xfId="31" applyFont="1" applyAlignment="1">
      <alignment horizontal="center" vertical="center"/>
    </xf>
    <xf numFmtId="0" fontId="6" fillId="0" borderId="0" xfId="24" applyFont="1" applyAlignment="1">
      <alignment horizontal="left" wrapText="1"/>
    </xf>
    <xf numFmtId="0" fontId="0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</cellXfs>
  <cellStyles count="44">
    <cellStyle name="Comma 10" xfId="17" xr:uid="{00000000-0005-0000-0000-000000000000}"/>
    <cellStyle name="Comma 101" xfId="5" xr:uid="{00000000-0005-0000-0000-000001000000}"/>
    <cellStyle name="Comma 101 2" xfId="15" xr:uid="{00000000-0005-0000-0000-000002000000}"/>
    <cellStyle name="Comma 2" xfId="37" xr:uid="{00000000-0005-0000-0000-000003000000}"/>
    <cellStyle name="Comma 88 2 2" xfId="35" xr:uid="{00000000-0005-0000-0000-000004000000}"/>
    <cellStyle name="Comma 98" xfId="27" xr:uid="{00000000-0005-0000-0000-000005000000}"/>
    <cellStyle name="Currency" xfId="29" builtinId="4"/>
    <cellStyle name="Currency 10" xfId="28" xr:uid="{00000000-0005-0000-0000-000007000000}"/>
    <cellStyle name="Currency 2 10" xfId="38" xr:uid="{00000000-0005-0000-0000-000008000000}"/>
    <cellStyle name="Normal" xfId="0" builtinId="0"/>
    <cellStyle name="Normal 10" xfId="36" xr:uid="{00000000-0005-0000-0000-00000A000000}"/>
    <cellStyle name="Normal 10 10" xfId="4" xr:uid="{00000000-0005-0000-0000-00000B000000}"/>
    <cellStyle name="Normal 10 10 3 2" xfId="21" xr:uid="{00000000-0005-0000-0000-00000C000000}"/>
    <cellStyle name="Normal 10 10 6 2" xfId="22" xr:uid="{00000000-0005-0000-0000-00000D000000}"/>
    <cellStyle name="Normal 10 10 8 3" xfId="20" xr:uid="{00000000-0005-0000-0000-00000E000000}"/>
    <cellStyle name="Normal 10 11 4" xfId="26" xr:uid="{00000000-0005-0000-0000-00000F000000}"/>
    <cellStyle name="Normal 10 21 3" xfId="11" xr:uid="{00000000-0005-0000-0000-000010000000}"/>
    <cellStyle name="Normal 10 23 2" xfId="24" xr:uid="{00000000-0005-0000-0000-000011000000}"/>
    <cellStyle name="Normal 12 10 2" xfId="19" xr:uid="{00000000-0005-0000-0000-000012000000}"/>
    <cellStyle name="Normal 195 2" xfId="3" xr:uid="{00000000-0005-0000-0000-000013000000}"/>
    <cellStyle name="Normal 199 2 3" xfId="32" xr:uid="{00000000-0005-0000-0000-000014000000}"/>
    <cellStyle name="Normal 2" xfId="2" xr:uid="{00000000-0005-0000-0000-000015000000}"/>
    <cellStyle name="Normal 2 10 2" xfId="12" xr:uid="{00000000-0005-0000-0000-000016000000}"/>
    <cellStyle name="Normal 2 10 9 2" xfId="40" xr:uid="{00000000-0005-0000-0000-000017000000}"/>
    <cellStyle name="Normal 2 142 2 3" xfId="25" xr:uid="{00000000-0005-0000-0000-000018000000}"/>
    <cellStyle name="Normal 2 3 2" xfId="14" xr:uid="{00000000-0005-0000-0000-000019000000}"/>
    <cellStyle name="Normal 246" xfId="7" xr:uid="{00000000-0005-0000-0000-00001A000000}"/>
    <cellStyle name="Normal 246 2" xfId="8" xr:uid="{00000000-0005-0000-0000-00001B000000}"/>
    <cellStyle name="Normal 253" xfId="31" xr:uid="{00000000-0005-0000-0000-00001C000000}"/>
    <cellStyle name="Normal 3" xfId="6" xr:uid="{00000000-0005-0000-0000-00001D000000}"/>
    <cellStyle name="Normal 4" xfId="9" xr:uid="{00000000-0005-0000-0000-00001E000000}"/>
    <cellStyle name="Normal 41" xfId="18" xr:uid="{00000000-0005-0000-0000-00001F000000}"/>
    <cellStyle name="Normal 5" xfId="10" xr:uid="{00000000-0005-0000-0000-000020000000}"/>
    <cellStyle name="Normal 5 10 3" xfId="42" xr:uid="{00000000-0005-0000-0000-000021000000}"/>
    <cellStyle name="Normal 6" xfId="16" xr:uid="{00000000-0005-0000-0000-000022000000}"/>
    <cellStyle name="Normal 6 14 4" xfId="33" xr:uid="{00000000-0005-0000-0000-000023000000}"/>
    <cellStyle name="Normal 7" xfId="30" xr:uid="{00000000-0005-0000-0000-000024000000}"/>
    <cellStyle name="Normal 8" xfId="41" xr:uid="{00000000-0005-0000-0000-000025000000}"/>
    <cellStyle name="Percent" xfId="1" builtinId="5"/>
    <cellStyle name="Percent 2 155 2" xfId="39" xr:uid="{00000000-0005-0000-0000-000027000000}"/>
    <cellStyle name="Percent 2 16" xfId="13" xr:uid="{00000000-0005-0000-0000-000028000000}"/>
    <cellStyle name="Percent 6 4 2 3 2" xfId="43" xr:uid="{00000000-0005-0000-0000-000029000000}"/>
    <cellStyle name="Percent 80 2 3" xfId="34" xr:uid="{00000000-0005-0000-0000-00002A000000}"/>
    <cellStyle name="Percent 94 2 2 2" xfId="23" xr:uid="{00000000-0005-0000-0000-00002B000000}"/>
  </cellStyles>
  <dxfs count="18">
    <dxf>
      <fill>
        <patternFill>
          <bgColor rgb="FFF4B084"/>
        </patternFill>
      </fill>
    </dxf>
    <dxf>
      <fill>
        <patternFill>
          <bgColor rgb="FFF8CBAD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45654938439875E-2"/>
          <c:y val="5.3153263606613037E-2"/>
          <c:w val="0.90801958413493755"/>
          <c:h val="0.89534282300833379"/>
        </c:manualLayout>
      </c:layout>
      <c:scatterChart>
        <c:scatterStyle val="lineMarker"/>
        <c:varyColors val="0"/>
        <c:ser>
          <c:idx val="1"/>
          <c:order val="0"/>
          <c:tx>
            <c:strRef>
              <c:f>'Schedule 2 -Summary'!$K$5</c:f>
              <c:strCache>
                <c:ptCount val="1"/>
                <c:pt idx="0">
                  <c:v>Constant Growth Mean DCF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'Schedule 2 -Summary'!$L$5:$L$7</c:f>
              <c:numCache>
                <c:formatCode>0.00%</c:formatCode>
                <c:ptCount val="3"/>
                <c:pt idx="0">
                  <c:v>8.2804632374059439E-2</c:v>
                </c:pt>
                <c:pt idx="1">
                  <c:v>9.7656297602253181E-2</c:v>
                </c:pt>
                <c:pt idx="2">
                  <c:v>0.11058576630055293</c:v>
                </c:pt>
              </c:numCache>
            </c:numRef>
          </c:xVal>
          <c:yVal>
            <c:numRef>
              <c:f>'Schedule 2 -Summary'!$M$5:$M$7</c:f>
              <c:numCache>
                <c:formatCode>0.0</c:formatCode>
                <c:ptCount val="3"/>
                <c:pt idx="0">
                  <c:v>8</c:v>
                </c:pt>
                <c:pt idx="1">
                  <c:v>8</c:v>
                </c:pt>
                <c:pt idx="2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7D-427C-B1EB-6510C57E2588}"/>
            </c:ext>
          </c:extLst>
        </c:ser>
        <c:ser>
          <c:idx val="7"/>
          <c:order val="1"/>
          <c:tx>
            <c:strRef>
              <c:f>'Schedule 2 -Summary'!$K$8</c:f>
              <c:strCache>
                <c:ptCount val="1"/>
                <c:pt idx="0">
                  <c:v>Constant Growth Median DCF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'Schedule 2 -Summary'!$L$8:$L$10</c:f>
              <c:numCache>
                <c:formatCode>0.00%</c:formatCode>
                <c:ptCount val="3"/>
                <c:pt idx="0">
                  <c:v>8.5672048956115687E-2</c:v>
                </c:pt>
                <c:pt idx="1">
                  <c:v>9.7897706152784855E-2</c:v>
                </c:pt>
                <c:pt idx="2">
                  <c:v>0.10061137572097982</c:v>
                </c:pt>
              </c:numCache>
            </c:numRef>
          </c:xVal>
          <c:yVal>
            <c:numRef>
              <c:f>'Schedule 2 -Summary'!$M$8:$M$10</c:f>
              <c:numCache>
                <c:formatCode>0.0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7D-427C-B1EB-6510C57E2588}"/>
            </c:ext>
          </c:extLst>
        </c:ser>
        <c:ser>
          <c:idx val="4"/>
          <c:order val="2"/>
          <c:tx>
            <c:strRef>
              <c:f>'Schedule 2 -Summary'!$K$11</c:f>
              <c:strCache>
                <c:ptCount val="1"/>
                <c:pt idx="0">
                  <c:v>CAPM 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'Schedule 2 -Summary'!$L$11:$L$12</c:f>
              <c:numCache>
                <c:formatCode>0.00%</c:formatCode>
                <c:ptCount val="2"/>
                <c:pt idx="0">
                  <c:v>9.829069136795919E-2</c:v>
                </c:pt>
                <c:pt idx="1">
                  <c:v>0.11289006973346971</c:v>
                </c:pt>
              </c:numCache>
            </c:numRef>
          </c:xVal>
          <c:yVal>
            <c:numRef>
              <c:f>'Schedule 2 -Summary'!$M$11:$M$12</c:f>
              <c:numCache>
                <c:formatCode>0.0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7D-427C-B1EB-6510C57E2588}"/>
            </c:ext>
          </c:extLst>
        </c:ser>
        <c:ser>
          <c:idx val="0"/>
          <c:order val="3"/>
          <c:tx>
            <c:v>ECAPM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'Schedule 2 -Summary'!$L$13:$L$14</c:f>
              <c:numCache>
                <c:formatCode>0.00%</c:formatCode>
                <c:ptCount val="2"/>
                <c:pt idx="0">
                  <c:v>0.10542098021228401</c:v>
                </c:pt>
                <c:pt idx="1">
                  <c:v>0.11637051398641689</c:v>
                </c:pt>
              </c:numCache>
            </c:numRef>
          </c:xVal>
          <c:yVal>
            <c:numRef>
              <c:f>'Schedule 2 -Summary'!$M$13:$M$14</c:f>
              <c:numCache>
                <c:formatCode>0.0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5E-4E72-A585-CE40A146ACA3}"/>
            </c:ext>
          </c:extLst>
        </c:ser>
        <c:ser>
          <c:idx val="2"/>
          <c:order val="4"/>
          <c:tx>
            <c:strRef>
              <c:f>'Schedule 2 -Summary'!$K$15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'Schedule 2 -Summary'!$L$15:$L$16</c:f>
              <c:numCache>
                <c:formatCode>0.00%</c:formatCode>
                <c:ptCount val="2"/>
                <c:pt idx="0">
                  <c:v>9.5361094983805433E-2</c:v>
                </c:pt>
                <c:pt idx="1">
                  <c:v>9.9652695341272787E-2</c:v>
                </c:pt>
              </c:numCache>
            </c:numRef>
          </c:xVal>
          <c:yVal>
            <c:numRef>
              <c:f>'Schedule 2 -Summary'!$M$15:$M$16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18-40B7-8878-2A473E67B04B}"/>
            </c:ext>
          </c:extLst>
        </c:ser>
        <c:ser>
          <c:idx val="3"/>
          <c:order val="5"/>
          <c:tx>
            <c:strRef>
              <c:f>'Schedule 2 -Summary'!$K$17</c:f>
              <c:strCache>
                <c:ptCount val="1"/>
                <c:pt idx="0">
                  <c:v>Low End ROE Recommendation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'Schedule 2 -Summary'!$L$17:$L$18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'Schedule 2 -Summary'!$M$17:$M$18</c:f>
              <c:numCache>
                <c:formatCode>0.0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18-40B7-8878-2A473E67B04B}"/>
            </c:ext>
          </c:extLst>
        </c:ser>
        <c:ser>
          <c:idx val="5"/>
          <c:order val="6"/>
          <c:tx>
            <c:strRef>
              <c:f>'Schedule 2 -Summary'!$K$19</c:f>
              <c:strCache>
                <c:ptCount val="1"/>
                <c:pt idx="0">
                  <c:v>High End ROE Recommendation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'Schedule 2 -Summary'!$L$19:$L$20</c:f>
              <c:numCache>
                <c:formatCode>0.00%</c:formatCode>
                <c:ptCount val="2"/>
                <c:pt idx="0">
                  <c:v>0.1125</c:v>
                </c:pt>
                <c:pt idx="1">
                  <c:v>0.1125</c:v>
                </c:pt>
              </c:numCache>
            </c:numRef>
          </c:xVal>
          <c:yVal>
            <c:numRef>
              <c:f>'Schedule 2 -Summary'!$M$19:$M$20</c:f>
              <c:numCache>
                <c:formatCode>0.0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18-40B7-8878-2A473E67B04B}"/>
            </c:ext>
          </c:extLst>
        </c:ser>
        <c:ser>
          <c:idx val="6"/>
          <c:order val="7"/>
          <c:tx>
            <c:strRef>
              <c:f>'Schedule 2 -Summary'!$K$21</c:f>
              <c:strCache>
                <c:ptCount val="1"/>
                <c:pt idx="0">
                  <c:v>Recommended ROE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'Schedule 2 -Summary'!$L$21</c:f>
              <c:numCache>
                <c:formatCode>0.00%</c:formatCode>
                <c:ptCount val="1"/>
                <c:pt idx="0">
                  <c:v>0.1075</c:v>
                </c:pt>
              </c:numCache>
            </c:numRef>
          </c:xVal>
          <c:yVal>
            <c:numRef>
              <c:f>'Schedule 2 -Summary'!$M$21</c:f>
              <c:numCache>
                <c:formatCode>0.0</c:formatCode>
                <c:ptCount val="1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E18-40B7-8878-2A473E67B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  <c:extLst/>
      </c:scatterChart>
      <c:valAx>
        <c:axId val="238422656"/>
        <c:scaling>
          <c:orientation val="minMax"/>
          <c:max val="0.13"/>
          <c:min val="7.0000000000000007E-2"/>
        </c:scaling>
        <c:delete val="0"/>
        <c:axPos val="b"/>
        <c:numFmt formatCode="0.00%" sourceLinked="1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9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238422656"/>
        <c:crossesAt val="0.1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Risk Premium</c:v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5500229939206318E-2"/>
                  <c:y val="-0.473350415067011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'Schedule 7-Risk Premium'!$D$6:$D$122</c:f>
              <c:numCache>
                <c:formatCode>0.00%</c:formatCode>
                <c:ptCount val="117"/>
                <c:pt idx="0">
                  <c:v>7.8050793650793662E-2</c:v>
                </c:pt>
                <c:pt idx="1">
                  <c:v>7.8976190476190478E-2</c:v>
                </c:pt>
                <c:pt idx="2">
                  <c:v>7.4456250000000002E-2</c:v>
                </c:pt>
                <c:pt idx="3">
                  <c:v>7.5235937499999989E-2</c:v>
                </c:pt>
                <c:pt idx="4">
                  <c:v>7.0716129032258074E-2</c:v>
                </c:pt>
                <c:pt idx="5">
                  <c:v>6.8584126984127011E-2</c:v>
                </c:pt>
                <c:pt idx="6">
                  <c:v>6.3154687500000015E-2</c:v>
                </c:pt>
                <c:pt idx="7">
                  <c:v>6.1351562500000012E-2</c:v>
                </c:pt>
                <c:pt idx="8">
                  <c:v>6.5758730158730155E-2</c:v>
                </c:pt>
                <c:pt idx="9">
                  <c:v>7.3622580645161306E-2</c:v>
                </c:pt>
                <c:pt idx="10">
                  <c:v>7.5893750000000024E-2</c:v>
                </c:pt>
                <c:pt idx="11">
                  <c:v>7.9633333333333334E-2</c:v>
                </c:pt>
                <c:pt idx="12">
                  <c:v>6.9422222222222191E-2</c:v>
                </c:pt>
                <c:pt idx="13">
                  <c:v>6.7173015873015857E-2</c:v>
                </c:pt>
                <c:pt idx="14">
                  <c:v>6.2390476190476205E-2</c:v>
                </c:pt>
                <c:pt idx="15">
                  <c:v>6.2916923076923065E-2</c:v>
                </c:pt>
                <c:pt idx="16">
                  <c:v>6.9215384615384609E-2</c:v>
                </c:pt>
                <c:pt idx="17">
                  <c:v>6.9672727272727275E-2</c:v>
                </c:pt>
                <c:pt idx="18">
                  <c:v>6.6199999999999995E-2</c:v>
                </c:pt>
                <c:pt idx="19">
                  <c:v>6.8153124999999995E-2</c:v>
                </c:pt>
                <c:pt idx="20">
                  <c:v>6.9369230769230752E-2</c:v>
                </c:pt>
                <c:pt idx="21">
                  <c:v>6.5304545454545448E-2</c:v>
                </c:pt>
                <c:pt idx="22">
                  <c:v>6.1478125000000015E-2</c:v>
                </c:pt>
                <c:pt idx="23">
                  <c:v>5.8490769230769207E-2</c:v>
                </c:pt>
                <c:pt idx="24">
                  <c:v>5.4762121212121241E-2</c:v>
                </c:pt>
                <c:pt idx="25">
                  <c:v>5.1071212121212115E-2</c:v>
                </c:pt>
                <c:pt idx="26">
                  <c:v>5.3734374999999994E-2</c:v>
                </c:pt>
                <c:pt idx="27">
                  <c:v>5.7987692307692289E-2</c:v>
                </c:pt>
                <c:pt idx="28">
                  <c:v>6.2559090909090911E-2</c:v>
                </c:pt>
                <c:pt idx="29">
                  <c:v>6.2958461538461505E-2</c:v>
                </c:pt>
                <c:pt idx="30">
                  <c:v>5.9787692307692299E-2</c:v>
                </c:pt>
                <c:pt idx="31">
                  <c:v>5.7932307692307693E-2</c:v>
                </c:pt>
                <c:pt idx="32">
                  <c:v>5.6907692307692305E-2</c:v>
                </c:pt>
                <c:pt idx="33">
                  <c:v>5.4464615384615396E-2</c:v>
                </c:pt>
                <c:pt idx="34">
                  <c:v>5.7016923076923069E-2</c:v>
                </c:pt>
                <c:pt idx="35">
                  <c:v>5.3019696969696967E-2</c:v>
                </c:pt>
                <c:pt idx="36">
                  <c:v>5.51578125E-2</c:v>
                </c:pt>
                <c:pt idx="37">
                  <c:v>5.6164615384615389E-2</c:v>
                </c:pt>
                <c:pt idx="38">
                  <c:v>5.0868181818181826E-2</c:v>
                </c:pt>
                <c:pt idx="39">
                  <c:v>4.9322727272727268E-2</c:v>
                </c:pt>
                <c:pt idx="40">
                  <c:v>4.8518749999999999E-2</c:v>
                </c:pt>
                <c:pt idx="41">
                  <c:v>4.6032307692307678E-2</c:v>
                </c:pt>
                <c:pt idx="42">
                  <c:v>5.113939393939395E-2</c:v>
                </c:pt>
                <c:pt idx="43">
                  <c:v>5.1146969696969691E-2</c:v>
                </c:pt>
                <c:pt idx="44">
                  <c:v>4.8776923076923072E-2</c:v>
                </c:pt>
                <c:pt idx="45">
                  <c:v>5.3353846153846154E-2</c:v>
                </c:pt>
                <c:pt idx="46">
                  <c:v>5.1074242424242439E-2</c:v>
                </c:pt>
                <c:pt idx="47">
                  <c:v>4.9322727272727296E-2</c:v>
                </c:pt>
                <c:pt idx="48">
                  <c:v>4.7070312500000003E-2</c:v>
                </c:pt>
                <c:pt idx="49">
                  <c:v>4.4709230769230765E-2</c:v>
                </c:pt>
                <c:pt idx="50">
                  <c:v>4.4228787878787867E-2</c:v>
                </c:pt>
                <c:pt idx="51">
                  <c:v>4.6523076923076924E-2</c:v>
                </c:pt>
                <c:pt idx="52">
                  <c:v>4.6270769230769213E-2</c:v>
                </c:pt>
                <c:pt idx="53">
                  <c:v>5.1427692307692299E-2</c:v>
                </c:pt>
                <c:pt idx="54">
                  <c:v>4.9955384615384631E-2</c:v>
                </c:pt>
                <c:pt idx="55">
                  <c:v>4.7423076923076908E-2</c:v>
                </c:pt>
                <c:pt idx="56">
                  <c:v>4.7975384615384635E-2</c:v>
                </c:pt>
                <c:pt idx="57">
                  <c:v>4.9892307692307715E-2</c:v>
                </c:pt>
                <c:pt idx="58">
                  <c:v>4.9499999999999982E-2</c:v>
                </c:pt>
                <c:pt idx="59">
                  <c:v>4.6140000000000014E-2</c:v>
                </c:pt>
                <c:pt idx="60">
                  <c:v>4.409538461538462E-2</c:v>
                </c:pt>
                <c:pt idx="61">
                  <c:v>4.5739999999999996E-2</c:v>
                </c:pt>
                <c:pt idx="62">
                  <c:v>4.4501515151515146E-2</c:v>
                </c:pt>
                <c:pt idx="63">
                  <c:v>3.6437500000000005E-2</c:v>
                </c:pt>
                <c:pt idx="64">
                  <c:v>3.4393749999999994E-2</c:v>
                </c:pt>
                <c:pt idx="65">
                  <c:v>4.1692307692307695E-2</c:v>
                </c:pt>
                <c:pt idx="66">
                  <c:v>4.321666666666666E-2</c:v>
                </c:pt>
                <c:pt idx="67">
                  <c:v>4.3392187499999998E-2</c:v>
                </c:pt>
                <c:pt idx="68">
                  <c:v>4.6243749999999986E-2</c:v>
                </c:pt>
                <c:pt idx="69">
                  <c:v>4.3692307692307676E-2</c:v>
                </c:pt>
                <c:pt idx="70">
                  <c:v>3.8563636363636355E-2</c:v>
                </c:pt>
                <c:pt idx="71">
                  <c:v>4.1749230769230768E-2</c:v>
                </c:pt>
                <c:pt idx="72">
                  <c:v>4.5609374999999994E-2</c:v>
                </c:pt>
                <c:pt idx="73">
                  <c:v>4.3387692307692308E-2</c:v>
                </c:pt>
                <c:pt idx="74">
                  <c:v>3.6960606060606048E-2</c:v>
                </c:pt>
                <c:pt idx="75">
                  <c:v>3.0376190476190473E-2</c:v>
                </c:pt>
                <c:pt idx="76">
                  <c:v>3.1361538461538462E-2</c:v>
                </c:pt>
                <c:pt idx="77">
                  <c:v>2.9363076923076922E-2</c:v>
                </c:pt>
                <c:pt idx="78">
                  <c:v>2.7429230769230779E-2</c:v>
                </c:pt>
                <c:pt idx="79">
                  <c:v>2.8639062499999993E-2</c:v>
                </c:pt>
                <c:pt idx="80">
                  <c:v>3.1303125000000008E-2</c:v>
                </c:pt>
                <c:pt idx="81">
                  <c:v>3.1412307692307684E-2</c:v>
                </c:pt>
                <c:pt idx="82">
                  <c:v>3.7107575757575756E-2</c:v>
                </c:pt>
                <c:pt idx="83">
                  <c:v>3.7882812500000008E-2</c:v>
                </c:pt>
                <c:pt idx="84">
                  <c:v>3.6903125000000009E-2</c:v>
                </c:pt>
                <c:pt idx="85">
                  <c:v>3.4430769230769237E-2</c:v>
                </c:pt>
                <c:pt idx="86">
                  <c:v>3.2657575757575753E-2</c:v>
                </c:pt>
                <c:pt idx="87">
                  <c:v>2.9637499999999997E-2</c:v>
                </c:pt>
                <c:pt idx="88">
                  <c:v>2.5540625000000004E-2</c:v>
                </c:pt>
                <c:pt idx="89">
                  <c:v>2.8836923076923083E-2</c:v>
                </c:pt>
                <c:pt idx="90">
                  <c:v>2.9624242424242438E-2</c:v>
                </c:pt>
                <c:pt idx="91">
                  <c:v>2.9630303030303028E-2</c:v>
                </c:pt>
                <c:pt idx="92">
                  <c:v>2.7218461538461539E-2</c:v>
                </c:pt>
                <c:pt idx="93">
                  <c:v>2.5672307692307696E-2</c:v>
                </c:pt>
                <c:pt idx="94">
                  <c:v>2.2793939393939398E-2</c:v>
                </c:pt>
                <c:pt idx="95">
                  <c:v>2.8333846153846154E-2</c:v>
                </c:pt>
                <c:pt idx="96">
                  <c:v>3.0452307692307709E-2</c:v>
                </c:pt>
                <c:pt idx="97">
                  <c:v>2.8972307692307693E-2</c:v>
                </c:pt>
                <c:pt idx="98">
                  <c:v>2.8173846153846157E-2</c:v>
                </c:pt>
                <c:pt idx="99">
                  <c:v>2.817384615384615E-2</c:v>
                </c:pt>
                <c:pt idx="100">
                  <c:v>3.0235384615384615E-2</c:v>
                </c:pt>
                <c:pt idx="101">
                  <c:v>3.0853846153846162E-2</c:v>
                </c:pt>
                <c:pt idx="102">
                  <c:v>3.0607692307692315E-2</c:v>
                </c:pt>
                <c:pt idx="103">
                  <c:v>3.26939393939394E-2</c:v>
                </c:pt>
                <c:pt idx="104">
                  <c:v>3.0129687499999998E-2</c:v>
                </c:pt>
                <c:pt idx="105">
                  <c:v>2.7836923076923075E-2</c:v>
                </c:pt>
                <c:pt idx="106">
                  <c:v>2.2849999999999995E-2</c:v>
                </c:pt>
                <c:pt idx="107">
                  <c:v>2.2566666666666676E-2</c:v>
                </c:pt>
                <c:pt idx="108">
                  <c:v>1.8878461538461538E-2</c:v>
                </c:pt>
                <c:pt idx="109">
                  <c:v>1.3801538461538454E-2</c:v>
                </c:pt>
                <c:pt idx="110">
                  <c:v>1.3654545454545457E-2</c:v>
                </c:pt>
                <c:pt idx="111">
                  <c:v>1.6210606060606054E-2</c:v>
                </c:pt>
                <c:pt idx="112">
                  <c:v>2.0748437499999998E-2</c:v>
                </c:pt>
                <c:pt idx="113">
                  <c:v>2.2579999999999996E-2</c:v>
                </c:pt>
                <c:pt idx="114">
                  <c:v>1.9333333333333327E-2</c:v>
                </c:pt>
                <c:pt idx="115">
                  <c:v>1.9479687499999995E-2</c:v>
                </c:pt>
                <c:pt idx="116">
                  <c:v>2.2546031746031748E-2</c:v>
                </c:pt>
              </c:numCache>
            </c:numRef>
          </c:xVal>
          <c:yVal>
            <c:numRef>
              <c:f>'Schedule 7-Risk Premium'!$E$6:$E$122</c:f>
              <c:numCache>
                <c:formatCode>0.00%</c:formatCode>
                <c:ptCount val="117"/>
                <c:pt idx="0">
                  <c:v>4.6129206349206336E-2</c:v>
                </c:pt>
                <c:pt idx="1">
                  <c:v>4.0857142857142856E-2</c:v>
                </c:pt>
                <c:pt idx="2">
                  <c:v>4.4203749999999986E-2</c:v>
                </c:pt>
                <c:pt idx="3">
                  <c:v>4.4164062500000004E-2</c:v>
                </c:pt>
                <c:pt idx="4">
                  <c:v>4.678387096774192E-2</c:v>
                </c:pt>
                <c:pt idx="5">
                  <c:v>4.849920634920632E-2</c:v>
                </c:pt>
                <c:pt idx="6">
                  <c:v>5.0720312499999975E-2</c:v>
                </c:pt>
                <c:pt idx="7">
                  <c:v>5.0203993055555562E-2</c:v>
                </c:pt>
                <c:pt idx="8">
                  <c:v>4.5441269841269852E-2</c:v>
                </c:pt>
                <c:pt idx="9">
                  <c:v>3.4727419354838682E-2</c:v>
                </c:pt>
                <c:pt idx="10">
                  <c:v>3.2772916666666652E-2</c:v>
                </c:pt>
                <c:pt idx="11">
                  <c:v>3.5625000000000004E-2</c:v>
                </c:pt>
                <c:pt idx="12">
                  <c:v>4.057777777777781E-2</c:v>
                </c:pt>
                <c:pt idx="13">
                  <c:v>4.349365079365082E-2</c:v>
                </c:pt>
                <c:pt idx="14">
                  <c:v>5.3676190476190461E-2</c:v>
                </c:pt>
                <c:pt idx="15">
                  <c:v>5.1583076923076926E-2</c:v>
                </c:pt>
                <c:pt idx="16">
                  <c:v>3.953461538461539E-2</c:v>
                </c:pt>
                <c:pt idx="17">
                  <c:v>4.2827272727272728E-2</c:v>
                </c:pt>
                <c:pt idx="18">
                  <c:v>4.5742857142857155E-2</c:v>
                </c:pt>
                <c:pt idx="19">
                  <c:v>4.4918303571428578E-2</c:v>
                </c:pt>
                <c:pt idx="20">
                  <c:v>4.763076923076924E-2</c:v>
                </c:pt>
                <c:pt idx="21">
                  <c:v>5.4695454545454547E-2</c:v>
                </c:pt>
                <c:pt idx="22">
                  <c:v>4.768854166666666E-2</c:v>
                </c:pt>
                <c:pt idx="23">
                  <c:v>5.5175897435897445E-2</c:v>
                </c:pt>
                <c:pt idx="24">
                  <c:v>5.9337878787878752E-2</c:v>
                </c:pt>
                <c:pt idx="25">
                  <c:v>6.5828787878787889E-2</c:v>
                </c:pt>
                <c:pt idx="26">
                  <c:v>5.4432291666666681E-2</c:v>
                </c:pt>
                <c:pt idx="27">
                  <c:v>5.4512307692307714E-2</c:v>
                </c:pt>
                <c:pt idx="28">
                  <c:v>4.1190909090909084E-2</c:v>
                </c:pt>
                <c:pt idx="29">
                  <c:v>4.3591538461538501E-2</c:v>
                </c:pt>
                <c:pt idx="30">
                  <c:v>5.054564102564104E-2</c:v>
                </c:pt>
                <c:pt idx="31">
                  <c:v>5.5407692307692304E-2</c:v>
                </c:pt>
                <c:pt idx="32">
                  <c:v>6.4092307692307698E-2</c:v>
                </c:pt>
                <c:pt idx="33">
                  <c:v>5.9285384615384608E-2</c:v>
                </c:pt>
                <c:pt idx="34">
                  <c:v>5.0483076923076929E-2</c:v>
                </c:pt>
                <c:pt idx="35">
                  <c:v>5.3480303030303045E-2</c:v>
                </c:pt>
                <c:pt idx="36">
                  <c:v>5.1508854166666673E-2</c:v>
                </c:pt>
                <c:pt idx="37">
                  <c:v>6.0260384615384611E-2</c:v>
                </c:pt>
                <c:pt idx="38">
                  <c:v>6.4131818181818165E-2</c:v>
                </c:pt>
                <c:pt idx="39">
                  <c:v>6.0788383838383836E-2</c:v>
                </c:pt>
                <c:pt idx="40">
                  <c:v>6.5301249999999991E-2</c:v>
                </c:pt>
                <c:pt idx="41">
                  <c:v>6.7592692307692326E-2</c:v>
                </c:pt>
                <c:pt idx="42">
                  <c:v>5.498060606060607E-2</c:v>
                </c:pt>
                <c:pt idx="43">
                  <c:v>5.7271212121212139E-2</c:v>
                </c:pt>
                <c:pt idx="44">
                  <c:v>6.1823076923076918E-2</c:v>
                </c:pt>
                <c:pt idx="45">
                  <c:v>5.2379487179487191E-2</c:v>
                </c:pt>
                <c:pt idx="46">
                  <c:v>5.2613257575757549E-2</c:v>
                </c:pt>
                <c:pt idx="47">
                  <c:v>5.7260606060606026E-2</c:v>
                </c:pt>
                <c:pt idx="48">
                  <c:v>5.9429687500000009E-2</c:v>
                </c:pt>
                <c:pt idx="49">
                  <c:v>6.0650769230769244E-2</c:v>
                </c:pt>
                <c:pt idx="50">
                  <c:v>6.0491212121212126E-2</c:v>
                </c:pt>
                <c:pt idx="51">
                  <c:v>5.6641208791208798E-2</c:v>
                </c:pt>
                <c:pt idx="52">
                  <c:v>6.0529230769230793E-2</c:v>
                </c:pt>
                <c:pt idx="53">
                  <c:v>5.4572307692307698E-2</c:v>
                </c:pt>
                <c:pt idx="54">
                  <c:v>5.3419615384615364E-2</c:v>
                </c:pt>
                <c:pt idx="55">
                  <c:v>5.3996923076923088E-2</c:v>
                </c:pt>
                <c:pt idx="56">
                  <c:v>5.7206433566433533E-2</c:v>
                </c:pt>
                <c:pt idx="57">
                  <c:v>5.1374358974358943E-2</c:v>
                </c:pt>
                <c:pt idx="58">
                  <c:v>5.0762500000000009E-2</c:v>
                </c:pt>
                <c:pt idx="59">
                  <c:v>5.5036923076923053E-2</c:v>
                </c:pt>
                <c:pt idx="60">
                  <c:v>5.9661758241758248E-2</c:v>
                </c:pt>
                <c:pt idx="61">
                  <c:v>5.5926666666666687E-2</c:v>
                </c:pt>
                <c:pt idx="62">
                  <c:v>6.1009595959595965E-2</c:v>
                </c:pt>
                <c:pt idx="63">
                  <c:v>6.6947115384615369E-2</c:v>
                </c:pt>
                <c:pt idx="64">
                  <c:v>6.8031249999999988E-2</c:v>
                </c:pt>
                <c:pt idx="65">
                  <c:v>5.9382692307692303E-2</c:v>
                </c:pt>
                <c:pt idx="66">
                  <c:v>5.5583333333333339E-2</c:v>
                </c:pt>
                <c:pt idx="67">
                  <c:v>5.9657812500000032E-2</c:v>
                </c:pt>
                <c:pt idx="68">
                  <c:v>5.6122916666666675E-2</c:v>
                </c:pt>
                <c:pt idx="69">
                  <c:v>5.6162237762237784E-2</c:v>
                </c:pt>
                <c:pt idx="70">
                  <c:v>6.568636363636364E-2</c:v>
                </c:pt>
                <c:pt idx="71">
                  <c:v>5.9173846153846153E-2</c:v>
                </c:pt>
                <c:pt idx="72">
                  <c:v>5.5390625000000013E-2</c:v>
                </c:pt>
                <c:pt idx="73">
                  <c:v>5.5062307692307702E-2</c:v>
                </c:pt>
                <c:pt idx="74">
                  <c:v>5.9539393939393954E-2</c:v>
                </c:pt>
                <c:pt idx="75">
                  <c:v>6.8373809523809531E-2</c:v>
                </c:pt>
                <c:pt idx="76">
                  <c:v>6.495846153846152E-2</c:v>
                </c:pt>
                <c:pt idx="77">
                  <c:v>6.8949423076923061E-2</c:v>
                </c:pt>
                <c:pt idx="78">
                  <c:v>7.0070769230769228E-2</c:v>
                </c:pt>
                <c:pt idx="79">
                  <c:v>7.1910937500000008E-2</c:v>
                </c:pt>
                <c:pt idx="80">
                  <c:v>6.4363541666666663E-2</c:v>
                </c:pt>
                <c:pt idx="81">
                  <c:v>6.3271025641025644E-2</c:v>
                </c:pt>
                <c:pt idx="82">
                  <c:v>5.8892424242424246E-2</c:v>
                </c:pt>
                <c:pt idx="83">
                  <c:v>6.0408096590909073E-2</c:v>
                </c:pt>
                <c:pt idx="84">
                  <c:v>5.8513541666666655E-2</c:v>
                </c:pt>
                <c:pt idx="85">
                  <c:v>6.3931730769230755E-2</c:v>
                </c:pt>
                <c:pt idx="86">
                  <c:v>6.1842424242424261E-2</c:v>
                </c:pt>
                <c:pt idx="87">
                  <c:v>7.3195833333333335E-2</c:v>
                </c:pt>
                <c:pt idx="88">
                  <c:v>6.9126041666666665E-2</c:v>
                </c:pt>
                <c:pt idx="89">
                  <c:v>6.5496410256410259E-2</c:v>
                </c:pt>
                <c:pt idx="90">
                  <c:v>6.7875757575757562E-2</c:v>
                </c:pt>
                <c:pt idx="91">
                  <c:v>6.7147474747474734E-2</c:v>
                </c:pt>
                <c:pt idx="92">
                  <c:v>6.7614871794871786E-2</c:v>
                </c:pt>
                <c:pt idx="93">
                  <c:v>6.8477692307692295E-2</c:v>
                </c:pt>
                <c:pt idx="94">
                  <c:v>7.185606060606059E-2</c:v>
                </c:pt>
                <c:pt idx="95">
                  <c:v>6.8388376068376056E-2</c:v>
                </c:pt>
                <c:pt idx="96">
                  <c:v>6.5547692307692307E-2</c:v>
                </c:pt>
                <c:pt idx="97">
                  <c:v>6.5741978021978009E-2</c:v>
                </c:pt>
                <c:pt idx="98">
                  <c:v>7.3209487179487165E-2</c:v>
                </c:pt>
                <c:pt idx="99">
                  <c:v>6.8826153846153842E-2</c:v>
                </c:pt>
                <c:pt idx="100">
                  <c:v>6.6581282051282054E-2</c:v>
                </c:pt>
                <c:pt idx="101">
                  <c:v>6.343186813186813E-2</c:v>
                </c:pt>
                <c:pt idx="102">
                  <c:v>6.6500641025641016E-2</c:v>
                </c:pt>
                <c:pt idx="103">
                  <c:v>6.2613203463203454E-2</c:v>
                </c:pt>
                <c:pt idx="104">
                  <c:v>6.53703125E-2</c:v>
                </c:pt>
                <c:pt idx="105">
                  <c:v>6.9429743589743589E-2</c:v>
                </c:pt>
                <c:pt idx="106">
                  <c:v>7.665000000000001E-2</c:v>
                </c:pt>
                <c:pt idx="107">
                  <c:v>7.4742857142857166E-2</c:v>
                </c:pt>
                <c:pt idx="108">
                  <c:v>7.464376068376069E-2</c:v>
                </c:pt>
                <c:pt idx="109">
                  <c:v>8.1698461538461539E-2</c:v>
                </c:pt>
                <c:pt idx="110">
                  <c:v>8.1532954545454547E-2</c:v>
                </c:pt>
                <c:pt idx="111">
                  <c:v>7.8525108225108248E-2</c:v>
                </c:pt>
                <c:pt idx="112">
                  <c:v>7.6331562500000005E-2</c:v>
                </c:pt>
                <c:pt idx="113">
                  <c:v>7.2203333333333342E-2</c:v>
                </c:pt>
                <c:pt idx="114">
                  <c:v>7.4626666666666647E-2</c:v>
                </c:pt>
                <c:pt idx="115">
                  <c:v>7.6457812500000027E-2</c:v>
                </c:pt>
                <c:pt idx="116">
                  <c:v>7.1203968253968242E-2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78-4FF9-AE28-4BEF64094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795120"/>
        <c:axId val="1143802192"/>
      </c:scatterChart>
      <c:valAx>
        <c:axId val="1143795120"/>
        <c:scaling>
          <c:orientation val="minMax"/>
          <c:max val="8.0000000000000016E-2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b="0" i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</a:rPr>
                  <a:t>U.S. Government 30-year Treasury Yield</a:t>
                </a:r>
              </a:p>
            </c:rich>
          </c:tx>
          <c:layout>
            <c:manualLayout>
              <c:xMode val="edge"/>
              <c:yMode val="edge"/>
              <c:x val="0.34729134419095042"/>
              <c:y val="0.9268066266780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143802192"/>
        <c:crosses val="autoZero"/>
        <c:crossBetween val="midCat"/>
      </c:valAx>
      <c:valAx>
        <c:axId val="1143802192"/>
        <c:scaling>
          <c:orientation val="minMax"/>
          <c:max val="9.0000000000000024E-2"/>
          <c:min val="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Risk Premium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1437951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&amp;RExhibit AEB 1.1, Schedule 7
Page &amp;P of 1</c:oddHeader>
    </c:headerFooter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BE-4797-9ACE-FAADB111FC50}"/>
              </c:ext>
            </c:extLst>
          </c:dPt>
          <c:dLbls>
            <c:dLbl>
              <c:idx val="0"/>
              <c:layout>
                <c:manualLayout>
                  <c:x val="0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06-4533-AC97-59981553366A}"/>
                </c:ext>
              </c:extLst>
            </c:dLbl>
            <c:dLbl>
              <c:idx val="1"/>
              <c:layout>
                <c:manualLayout>
                  <c:x val="-2.7777777777777779E-3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06-4533-AC97-59981553366A}"/>
                </c:ext>
              </c:extLst>
            </c:dLbl>
            <c:dLbl>
              <c:idx val="2"/>
              <c:layout>
                <c:manualLayout>
                  <c:x val="-2.7777777777777779E-3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06-4533-AC97-59981553366A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'Schedule 9-CapEx p. 2'!$C$21:$C$27</c:f>
              <c:strCache>
                <c:ptCount val="7"/>
                <c:pt idx="0">
                  <c:v>NI</c:v>
                </c:pt>
                <c:pt idx="1">
                  <c:v>NWN</c:v>
                </c:pt>
                <c:pt idx="2">
                  <c:v>OGS</c:v>
                </c:pt>
                <c:pt idx="3">
                  <c:v>SR</c:v>
                </c:pt>
                <c:pt idx="4">
                  <c:v>MidAm</c:v>
                </c:pt>
                <c:pt idx="5">
                  <c:v>NJR</c:v>
                </c:pt>
                <c:pt idx="6">
                  <c:v>ATO</c:v>
                </c:pt>
              </c:strCache>
            </c:strRef>
          </c:cat>
          <c:val>
            <c:numRef>
              <c:f>'Schedule 9-CapEx p. 2'!$D$21:$D$27</c:f>
              <c:numCache>
                <c:formatCode>0.00%</c:formatCode>
                <c:ptCount val="7"/>
                <c:pt idx="0">
                  <c:v>0.5425240673886883</c:v>
                </c:pt>
                <c:pt idx="1">
                  <c:v>0.54333188940786492</c:v>
                </c:pt>
                <c:pt idx="2">
                  <c:v>0.54443097532411489</c:v>
                </c:pt>
                <c:pt idx="3">
                  <c:v>0.64710022221747399</c:v>
                </c:pt>
                <c:pt idx="4">
                  <c:v>0.65269461077844315</c:v>
                </c:pt>
                <c:pt idx="5">
                  <c:v>0.67444137584735131</c:v>
                </c:pt>
                <c:pt idx="6">
                  <c:v>0.98629726694122055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6-4533-AC97-599815533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207263"/>
        <c:axId val="1065207679"/>
      </c:barChart>
      <c:scatterChart>
        <c:scatterStyle val="smoothMarker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E1-447C-8BDD-A5A6F3E54E82}"/>
              </c:ext>
            </c:extLst>
          </c:dPt>
          <c:xVal>
            <c:numRef>
              <c:f>'Schedule 9-CapEx p. 2'!$B$34:$B$35</c:f>
              <c:numCache>
                <c:formatCode>General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'Schedule 9-CapEx p. 2'!$C$34:$C$35</c:f>
              <c:numCache>
                <c:formatCode>0.00%</c:formatCode>
                <c:ptCount val="2"/>
                <c:pt idx="0">
                  <c:v>0.59576559877079438</c:v>
                </c:pt>
                <c:pt idx="1">
                  <c:v>0.59576559877079438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E1-447C-8BDD-A5A6F3E54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5015248"/>
        <c:axId val="1895018992"/>
      </c:scatterChart>
      <c:catAx>
        <c:axId val="1065207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207679"/>
        <c:crosses val="autoZero"/>
        <c:auto val="1"/>
        <c:lblAlgn val="ctr"/>
        <c:lblOffset val="100"/>
        <c:noMultiLvlLbl val="0"/>
      </c:catAx>
      <c:valAx>
        <c:axId val="106520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5207263"/>
        <c:crosses val="autoZero"/>
        <c:crossBetween val="between"/>
      </c:valAx>
      <c:valAx>
        <c:axId val="1895018992"/>
        <c:scaling>
          <c:orientation val="minMax"/>
        </c:scaling>
        <c:delete val="1"/>
        <c:axPos val="r"/>
        <c:numFmt formatCode="0.00%" sourceLinked="1"/>
        <c:majorTickMark val="out"/>
        <c:minorTickMark val="none"/>
        <c:tickLblPos val="nextTo"/>
        <c:crossAx val="1895015248"/>
        <c:crosses val="max"/>
        <c:crossBetween val="midCat"/>
      </c:valAx>
      <c:valAx>
        <c:axId val="1895015248"/>
        <c:scaling>
          <c:orientation val="minMax"/>
          <c:max val="10"/>
          <c:min val="1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5018992"/>
        <c:crosses val="max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254001</xdr:colOff>
      <xdr:row>3</xdr:row>
      <xdr:rowOff>42333</xdr:rowOff>
    </xdr:from>
    <xdr:to>
      <xdr:col>23</xdr:col>
      <xdr:colOff>211667</xdr:colOff>
      <xdr:row>20</xdr:row>
      <xdr:rowOff>412750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6EE14A-01F5-4140-A19C-BF31367D7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0.28076</cdr:x>
      <cdr:y>0.20954</cdr:y>
    </cdr:from>
    <cdr:to>
      <cdr:x>0.44149</cdr:x>
      <cdr:y>0.25519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A457792-F7B5-4332-9C14-41224D22A084}"/>
            </a:ext>
          </a:extLst>
        </cdr:cNvPr>
        <cdr:cNvSpPr txBox="1"/>
      </cdr:nvSpPr>
      <cdr:spPr>
        <a:xfrm xmlns:a="http://schemas.openxmlformats.org/drawingml/2006/main">
          <a:off x="2058897" y="1202531"/>
          <a:ext cx="1178718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0.54505</cdr:x>
      <cdr:y>0.38724</cdr:y>
    </cdr:from>
    <cdr:to>
      <cdr:x>0.65383</cdr:x>
      <cdr:y>0.44741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380ECD5-C799-4397-B109-C5E8D2582F0D}"/>
            </a:ext>
          </a:extLst>
        </cdr:cNvPr>
        <cdr:cNvSpPr txBox="1"/>
      </cdr:nvSpPr>
      <cdr:spPr>
        <a:xfrm xmlns:a="http://schemas.openxmlformats.org/drawingml/2006/main">
          <a:off x="3312136" y="1574994"/>
          <a:ext cx="661030" cy="244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CAPM</a:t>
          </a:r>
        </a:p>
      </cdr:txBody>
    </cdr:sp>
  </cdr:relSizeAnchor>
  <cdr:relSizeAnchor xmlns:cdr="http://schemas.openxmlformats.org/drawingml/2006/chartDrawing">
    <cdr:from>
      <cdr:x>0.59282</cdr:x>
      <cdr:y>0.67699</cdr:y>
    </cdr:from>
    <cdr:to>
      <cdr:x>0.77164</cdr:x>
      <cdr:y>0.71275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BEB9929-E302-4329-99E6-31AC07649BE9}"/>
            </a:ext>
          </a:extLst>
        </cdr:cNvPr>
        <cdr:cNvSpPr txBox="1"/>
      </cdr:nvSpPr>
      <cdr:spPr>
        <a:xfrm xmlns:a="http://schemas.openxmlformats.org/drawingml/2006/main">
          <a:off x="3602432" y="2554207"/>
          <a:ext cx="1086646" cy="134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ECAPM</a:t>
          </a:r>
        </a:p>
      </cdr:txBody>
    </cdr:sp>
  </cdr:relSizeAnchor>
  <cdr:relSizeAnchor xmlns:cdr="http://schemas.openxmlformats.org/drawingml/2006/chartDrawing">
    <cdr:from>
      <cdr:x>0.16421</cdr:x>
      <cdr:y>0.08141</cdr:y>
    </cdr:from>
    <cdr:to>
      <cdr:x>0.59179</cdr:x>
      <cdr:y>0.13278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60524A09-0478-451B-BE21-AFAA95785582}"/>
            </a:ext>
          </a:extLst>
        </cdr:cNvPr>
        <cdr:cNvSpPr txBox="1"/>
      </cdr:nvSpPr>
      <cdr:spPr>
        <a:xfrm xmlns:a="http://schemas.openxmlformats.org/drawingml/2006/main">
          <a:off x="997868" y="307148"/>
          <a:ext cx="2598300" cy="193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Constant Growth</a:t>
          </a:r>
          <a:r>
            <a:rPr lang="en-US" sz="1100" b="1" baseline="0"/>
            <a:t> </a:t>
          </a:r>
          <a:r>
            <a:rPr lang="en-US" sz="1100" b="1"/>
            <a:t>DCF - Mean </a:t>
          </a:r>
        </a:p>
      </cdr:txBody>
    </cdr:sp>
  </cdr:relSizeAnchor>
  <cdr:relSizeAnchor xmlns:cdr="http://schemas.openxmlformats.org/drawingml/2006/chartDrawing">
    <cdr:from>
      <cdr:x>0.51301</cdr:x>
      <cdr:y>0.38559</cdr:y>
    </cdr:from>
    <cdr:to>
      <cdr:x>0.56984</cdr:x>
      <cdr:y>0.38559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653CABBF-61E2-4E43-AA0A-6C017C891534}"/>
            </a:ext>
          </a:extLst>
        </cdr:cNvPr>
        <cdr:cNvCxnSpPr/>
      </cdr:nvCxnSpPr>
      <cdr:spPr>
        <a:xfrm xmlns:a="http://schemas.openxmlformats.org/drawingml/2006/main" flipV="1">
          <a:off x="4191000" y="2166919"/>
          <a:ext cx="464304" cy="18"/>
        </a:xfrm>
        <a:prstGeom xmlns:a="http://schemas.openxmlformats.org/drawingml/2006/main" prst="straightConnector1">
          <a:avLst/>
        </a:prstGeom>
        <a:ln xmlns:a="http://schemas.openxmlformats.org/drawingml/2006/main" w="19050">
          <a:noFill/>
          <a:prstDash val="dash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0.14915</cdr:x>
      <cdr:y>0.26793</cdr:y>
    </cdr:from>
    <cdr:to>
      <cdr:x>0.55602</cdr:x>
      <cdr:y>0.33639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66204D9D-EE32-4988-B6CD-046DA4C804FD}"/>
            </a:ext>
          </a:extLst>
        </cdr:cNvPr>
        <cdr:cNvSpPr txBox="1"/>
      </cdr:nvSpPr>
      <cdr:spPr>
        <a:xfrm xmlns:a="http://schemas.openxmlformats.org/drawingml/2006/main">
          <a:off x="906362" y="1010865"/>
          <a:ext cx="2472450" cy="258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Constant Growth DCF - Median</a:t>
          </a:r>
        </a:p>
      </cdr:txBody>
    </cdr:sp>
  </cdr:relSizeAnchor>
  <cdr:relSizeAnchor xmlns:cdr="http://schemas.openxmlformats.org/drawingml/2006/chartDrawing">
    <cdr:from>
      <cdr:x>0.46624</cdr:x>
      <cdr:y>0.76779</cdr:y>
    </cdr:from>
    <cdr:to>
      <cdr:x>0.64506</cdr:x>
      <cdr:y>0.81655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5BEB9929-E302-4329-99E6-31AC07649BE9}"/>
            </a:ext>
          </a:extLst>
        </cdr:cNvPr>
        <cdr:cNvSpPr txBox="1"/>
      </cdr:nvSpPr>
      <cdr:spPr>
        <a:xfrm xmlns:a="http://schemas.openxmlformats.org/drawingml/2006/main">
          <a:off x="2833254" y="2896754"/>
          <a:ext cx="1086646" cy="183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</a:t>
          </a:r>
          <a:endParaRPr lang="en-US" sz="1100" b="1"/>
        </a:p>
      </cdr:txBody>
    </cdr:sp>
  </cdr:relSizeAnchor>
  <cdr:relSizeAnchor xmlns:cdr="http://schemas.openxmlformats.org/drawingml/2006/chartDrawing">
    <cdr:from>
      <cdr:x>0.23939</cdr:x>
      <cdr:y>0.47401</cdr:y>
    </cdr:from>
    <cdr:to>
      <cdr:x>0.45887</cdr:x>
      <cdr:y>0.53348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5BEB9929-E302-4329-99E6-31AC07649BE9}"/>
            </a:ext>
          </a:extLst>
        </cdr:cNvPr>
        <cdr:cNvSpPr txBox="1"/>
      </cdr:nvSpPr>
      <cdr:spPr>
        <a:xfrm xmlns:a="http://schemas.openxmlformats.org/drawingml/2006/main">
          <a:off x="1454727" y="1788390"/>
          <a:ext cx="1333719" cy="224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Recommended ROE </a:t>
          </a:r>
        </a:p>
      </cdr:txBody>
    </cdr:sp>
  </cdr:relSizeAnchor>
  <cdr:relSizeAnchor xmlns:cdr="http://schemas.openxmlformats.org/drawingml/2006/chartDrawing">
    <cdr:from>
      <cdr:x>0.34579</cdr:x>
      <cdr:y>0.53195</cdr:y>
    </cdr:from>
    <cdr:to>
      <cdr:x>0.60418</cdr:x>
      <cdr:y>0.54419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80836A6D-AD8E-5BEE-3B4F-089B25AF38D5}"/>
            </a:ext>
          </a:extLst>
        </cdr:cNvPr>
        <cdr:cNvCxnSpPr/>
      </cdr:nvCxnSpPr>
      <cdr:spPr>
        <a:xfrm xmlns:a="http://schemas.openxmlformats.org/drawingml/2006/main">
          <a:off x="2101272" y="2006985"/>
          <a:ext cx="1570182" cy="46182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0.17859</cdr:x>
      <cdr:y>0.59948</cdr:y>
    </cdr:from>
    <cdr:to>
      <cdr:x>0.48148</cdr:x>
      <cdr:y>0.65589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5BEB9929-E302-4329-99E6-31AC07649BE9}"/>
            </a:ext>
          </a:extLst>
        </cdr:cNvPr>
        <cdr:cNvSpPr txBox="1"/>
      </cdr:nvSpPr>
      <cdr:spPr>
        <a:xfrm xmlns:a="http://schemas.openxmlformats.org/drawingml/2006/main">
          <a:off x="1085272" y="2261755"/>
          <a:ext cx="1840565" cy="212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Recommended ROE Range</a:t>
          </a:r>
        </a:p>
      </cdr:txBody>
    </cdr:sp>
  </cdr:relSizeAnchor>
  <cdr:relSizeAnchor xmlns:cdr="http://schemas.openxmlformats.org/drawingml/2006/chartDrawing">
    <cdr:from>
      <cdr:x>0.49018</cdr:x>
      <cdr:y>0.636</cdr:y>
    </cdr:from>
    <cdr:to>
      <cdr:x>0.68968</cdr:x>
      <cdr:y>0.63753</cdr:y>
    </cdr:to>
    <cdr:cxnSp macro="">
      <cdr:nvCxnSpPr>
        <cdr:cNvPr id="15" name="Straight Arrow Connector 14">
          <a:extLst xmlns:a="http://schemas.openxmlformats.org/drawingml/2006/main">
            <a:ext uri="{FF2B5EF4-FFF2-40B4-BE49-F238E27FC236}">
              <a16:creationId xmlns:a16="http://schemas.microsoft.com/office/drawing/2014/main" id="{7EF50115-605A-4485-8ECC-343283752EB1}"/>
            </a:ext>
          </a:extLst>
        </cdr:cNvPr>
        <cdr:cNvCxnSpPr/>
      </cdr:nvCxnSpPr>
      <cdr:spPr>
        <a:xfrm xmlns:a="http://schemas.openxmlformats.org/drawingml/2006/main" flipV="1">
          <a:off x="2978727" y="2399531"/>
          <a:ext cx="1212272" cy="5772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7057</xdr:colOff>
      <xdr:row>2</xdr:row>
      <xdr:rowOff>14609</xdr:rowOff>
    </xdr:from>
    <xdr:to>
      <xdr:col>12</xdr:col>
      <xdr:colOff>664884</xdr:colOff>
      <xdr:row>19</xdr:row>
      <xdr:rowOff>43847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</xdr:row>
      <xdr:rowOff>28575</xdr:rowOff>
    </xdr:from>
    <xdr:to>
      <xdr:col>3</xdr:col>
      <xdr:colOff>1028700</xdr:colOff>
      <xdr:row>15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1047749</xdr:colOff>
      <xdr:row>3</xdr:row>
      <xdr:rowOff>76200</xdr:rowOff>
    </xdr:from>
    <xdr:to>
      <xdr:col>2</xdr:col>
      <xdr:colOff>209549</xdr:colOff>
      <xdr:row>4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628774" y="647700"/>
          <a:ext cx="1457325" cy="2381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Median= 59.58%</a:t>
          </a:r>
        </a:p>
      </xdr:txBody>
    </xdr:sp>
    <xdr:clientData/>
  </xdr:twoCellAnchor>
  <xdr:twoCellAnchor>
    <xdr:from>
      <xdr:col>1</xdr:col>
      <xdr:colOff>1609725</xdr:colOff>
      <xdr:row>4</xdr:row>
      <xdr:rowOff>114300</xdr:rowOff>
    </xdr:from>
    <xdr:to>
      <xdr:col>1</xdr:col>
      <xdr:colOff>2032000</xdr:colOff>
      <xdr:row>8</xdr:row>
      <xdr:rowOff>69850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2219325" y="876300"/>
          <a:ext cx="422275" cy="7175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B3:M29"/>
  <sheetViews>
    <sheetView showGridLines="0" tabSelected="1" view="pageLayout" zoomScaleNormal="110" workbookViewId="0"/>
  </sheetViews>
  <sheetFormatPr defaultColWidth="8.7109375" defaultRowHeight="15" customHeight="1" x14ac:dyDescent="0.25"/>
  <cols>
    <col min="1" max="1" width="8.7109375" style="53"/>
    <col min="2" max="2" width="28" style="53" customWidth="1"/>
    <col min="3" max="3" width="20.28515625" style="53" customWidth="1"/>
    <col min="4" max="4" width="20" style="53" customWidth="1"/>
    <col min="5" max="5" width="19.140625" style="53" customWidth="1"/>
    <col min="6" max="16384" width="8.7109375" style="53"/>
  </cols>
  <sheetData>
    <row r="3" spans="2:13" ht="15" customHeight="1" x14ac:dyDescent="0.2">
      <c r="B3" s="285" t="s">
        <v>0</v>
      </c>
      <c r="C3" s="285"/>
      <c r="D3" s="285"/>
      <c r="E3" s="285"/>
    </row>
    <row r="4" spans="2:13" ht="15" customHeight="1" thickBot="1" x14ac:dyDescent="0.25">
      <c r="B4" s="54"/>
      <c r="C4" s="54"/>
      <c r="D4" s="54"/>
      <c r="E4" s="54"/>
      <c r="J4" s="56"/>
      <c r="K4" s="57"/>
      <c r="L4" s="57" t="s">
        <v>1</v>
      </c>
      <c r="M4" s="57" t="s">
        <v>2</v>
      </c>
    </row>
    <row r="5" spans="2:13" ht="15" customHeight="1" x14ac:dyDescent="0.25">
      <c r="B5" s="286" t="s">
        <v>3</v>
      </c>
      <c r="C5" s="287"/>
      <c r="D5" s="287"/>
      <c r="E5" s="288"/>
      <c r="J5" s="56"/>
      <c r="K5" s="58" t="s">
        <v>4</v>
      </c>
      <c r="L5" s="59">
        <f>C10</f>
        <v>8.2804632374059439E-2</v>
      </c>
      <c r="M5" s="60">
        <v>8</v>
      </c>
    </row>
    <row r="6" spans="2:13" ht="15" customHeight="1" x14ac:dyDescent="0.25">
      <c r="B6" s="274"/>
      <c r="C6" s="57" t="s">
        <v>5</v>
      </c>
      <c r="D6" s="57" t="s">
        <v>6</v>
      </c>
      <c r="E6" s="57" t="s">
        <v>7</v>
      </c>
      <c r="J6" s="56"/>
      <c r="K6" s="58"/>
      <c r="L6" s="61">
        <f>D10</f>
        <v>9.7656297602253181E-2</v>
      </c>
      <c r="M6" s="60">
        <v>8</v>
      </c>
    </row>
    <row r="7" spans="2:13" ht="15" customHeight="1" x14ac:dyDescent="0.25">
      <c r="B7" s="56" t="s">
        <v>8</v>
      </c>
      <c r="C7" s="275">
        <f>'Schedule 3-CGDCF'!K13</f>
        <v>8.1041448480887054E-2</v>
      </c>
      <c r="D7" s="275">
        <f>'Schedule 3-CGDCF'!L13</f>
        <v>9.5880330132269265E-2</v>
      </c>
      <c r="E7" s="275">
        <f>'Schedule 3-CGDCF'!M13</f>
        <v>0.10879884566104775</v>
      </c>
      <c r="J7" s="56"/>
      <c r="K7" s="58"/>
      <c r="L7" s="59">
        <f>E10</f>
        <v>0.11058576630055293</v>
      </c>
      <c r="M7" s="60">
        <v>8</v>
      </c>
    </row>
    <row r="8" spans="2:13" ht="15" customHeight="1" x14ac:dyDescent="0.25">
      <c r="B8" s="56" t="s">
        <v>9</v>
      </c>
      <c r="C8" s="275">
        <f>'Schedule 3-CGDCF'!K42</f>
        <v>8.3139579173470299E-2</v>
      </c>
      <c r="D8" s="275">
        <f>'Schedule 3-CGDCF'!L42</f>
        <v>9.7992862934172378E-2</v>
      </c>
      <c r="E8" s="275">
        <f>'Schedule 3-CGDCF'!M42</f>
        <v>0.11092367548201065</v>
      </c>
      <c r="J8" s="56"/>
      <c r="K8" s="58" t="s">
        <v>10</v>
      </c>
      <c r="L8" s="59">
        <f>C15</f>
        <v>8.5672048956115687E-2</v>
      </c>
      <c r="M8" s="60">
        <v>6</v>
      </c>
    </row>
    <row r="9" spans="2:13" ht="15" customHeight="1" x14ac:dyDescent="0.25">
      <c r="B9" s="56" t="s">
        <v>11</v>
      </c>
      <c r="C9" s="275">
        <f>'Schedule 3-CGDCF'!K76</f>
        <v>8.4232869467820978E-2</v>
      </c>
      <c r="D9" s="275">
        <f>'Schedule 3-CGDCF'!L76</f>
        <v>9.9095699740317886E-2</v>
      </c>
      <c r="E9" s="275">
        <f>'Schedule 3-CGDCF'!M76</f>
        <v>0.11203477775860038</v>
      </c>
      <c r="J9" s="56"/>
      <c r="K9" s="58"/>
      <c r="L9" s="59">
        <f>D15</f>
        <v>9.7897706152784855E-2</v>
      </c>
      <c r="M9" s="60">
        <v>6</v>
      </c>
    </row>
    <row r="10" spans="2:13" ht="15" customHeight="1" thickBot="1" x14ac:dyDescent="0.3">
      <c r="B10" s="276" t="s">
        <v>12</v>
      </c>
      <c r="C10" s="277">
        <f>AVERAGE(C7:C9)</f>
        <v>8.2804632374059439E-2</v>
      </c>
      <c r="D10" s="277">
        <f>AVERAGE(D7:D9)</f>
        <v>9.7656297602253181E-2</v>
      </c>
      <c r="E10" s="277">
        <f>AVERAGE(E7:E9)</f>
        <v>0.11058576630055293</v>
      </c>
      <c r="J10" s="56"/>
      <c r="K10" s="58"/>
      <c r="L10" s="59">
        <f>E15</f>
        <v>0.10061137572097982</v>
      </c>
      <c r="M10" s="60">
        <v>6</v>
      </c>
    </row>
    <row r="11" spans="2:13" ht="15" customHeight="1" x14ac:dyDescent="0.25">
      <c r="B11" s="278"/>
      <c r="C11" s="56" t="s">
        <v>13</v>
      </c>
      <c r="D11" s="56" t="s">
        <v>14</v>
      </c>
      <c r="E11" s="56" t="s">
        <v>15</v>
      </c>
      <c r="J11" s="56"/>
      <c r="K11" s="62" t="s">
        <v>16</v>
      </c>
      <c r="L11" s="59">
        <f>C20</f>
        <v>9.829069136795919E-2</v>
      </c>
      <c r="M11" s="60">
        <v>5</v>
      </c>
    </row>
    <row r="12" spans="2:13" ht="15" customHeight="1" x14ac:dyDescent="0.25">
      <c r="B12" s="56" t="s">
        <v>8</v>
      </c>
      <c r="C12" s="59">
        <f>'Schedule 3-CGDCF'!K14</f>
        <v>8.3746605379017708E-2</v>
      </c>
      <c r="D12" s="59">
        <f>'Schedule 3-CGDCF'!L14</f>
        <v>9.6169035262308938E-2</v>
      </c>
      <c r="E12" s="59">
        <f>'Schedule 3-CGDCF'!M14</f>
        <v>9.8880416276585795E-2</v>
      </c>
      <c r="J12" s="56"/>
      <c r="K12" s="62"/>
      <c r="L12" s="59">
        <f>E18</f>
        <v>0.11289006973346971</v>
      </c>
      <c r="M12" s="60">
        <v>5</v>
      </c>
    </row>
    <row r="13" spans="2:13" ht="15" customHeight="1" x14ac:dyDescent="0.25">
      <c r="B13" s="56" t="s">
        <v>9</v>
      </c>
      <c r="C13" s="59">
        <f>'Schedule 3-CGDCF'!K43</f>
        <v>8.6256131648149034E-2</v>
      </c>
      <c r="D13" s="59">
        <f>'Schedule 3-CGDCF'!L43</f>
        <v>9.8414817992080683E-2</v>
      </c>
      <c r="E13" s="59">
        <f>'Schedule 3-CGDCF'!M43</f>
        <v>0.1011294177896481</v>
      </c>
      <c r="J13" s="56"/>
      <c r="K13" s="62" t="s">
        <v>17</v>
      </c>
      <c r="L13" s="59">
        <f>C24</f>
        <v>0.10542098021228401</v>
      </c>
      <c r="M13" s="60">
        <v>2</v>
      </c>
    </row>
    <row r="14" spans="2:13" ht="15" customHeight="1" x14ac:dyDescent="0.25">
      <c r="B14" s="56" t="s">
        <v>11</v>
      </c>
      <c r="C14" s="59">
        <f>'Schedule 3-CGDCF'!K77</f>
        <v>8.7013409841180361E-2</v>
      </c>
      <c r="D14" s="59">
        <f>'Schedule 3-CGDCF'!L77</f>
        <v>9.9109265203964916E-2</v>
      </c>
      <c r="E14" s="59">
        <f>'Schedule 3-CGDCF'!M77</f>
        <v>0.10182429309670553</v>
      </c>
      <c r="J14" s="56"/>
      <c r="K14" s="62"/>
      <c r="L14" s="59">
        <f>E22</f>
        <v>0.11637051398641689</v>
      </c>
      <c r="M14" s="60">
        <v>2</v>
      </c>
    </row>
    <row r="15" spans="2:13" ht="15" customHeight="1" x14ac:dyDescent="0.25">
      <c r="B15" s="57" t="s">
        <v>12</v>
      </c>
      <c r="C15" s="59">
        <f>AVERAGE(C12:C14)</f>
        <v>8.5672048956115687E-2</v>
      </c>
      <c r="D15" s="59">
        <f>AVERAGE(D12:D14)</f>
        <v>9.7897706152784855E-2</v>
      </c>
      <c r="E15" s="59">
        <f>AVERAGE(E12:E14)</f>
        <v>0.10061137572097982</v>
      </c>
      <c r="J15" s="56"/>
      <c r="K15" s="272" t="s">
        <v>18</v>
      </c>
      <c r="L15" s="59">
        <f>C27</f>
        <v>9.5361094983805433E-2</v>
      </c>
      <c r="M15" s="60">
        <v>1</v>
      </c>
    </row>
    <row r="16" spans="2:13" ht="24.75" customHeight="1" x14ac:dyDescent="0.25">
      <c r="B16" s="281" t="s">
        <v>19</v>
      </c>
      <c r="C16" s="282"/>
      <c r="D16" s="282"/>
      <c r="E16" s="283"/>
      <c r="J16" s="56"/>
      <c r="L16" s="59">
        <f>E27</f>
        <v>9.9652695341272787E-2</v>
      </c>
      <c r="M16" s="60">
        <v>1</v>
      </c>
    </row>
    <row r="17" spans="2:13" ht="38.25" x14ac:dyDescent="0.25">
      <c r="B17" s="279"/>
      <c r="C17" s="280" t="s">
        <v>20</v>
      </c>
      <c r="D17" s="280" t="s">
        <v>21</v>
      </c>
      <c r="E17" s="280" t="s">
        <v>22</v>
      </c>
      <c r="J17" s="56"/>
      <c r="K17" s="62" t="s">
        <v>23</v>
      </c>
      <c r="L17" s="59">
        <v>9.9000000000000005E-2</v>
      </c>
      <c r="M17" s="60">
        <v>0</v>
      </c>
    </row>
    <row r="18" spans="2:13" ht="14.1" customHeight="1" x14ac:dyDescent="0.25">
      <c r="B18" s="56" t="s">
        <v>24</v>
      </c>
      <c r="C18" s="275">
        <f>'Schedule 4- CAPM &amp; ECAPM'!G14</f>
        <v>0.1113485697334697</v>
      </c>
      <c r="D18" s="275">
        <f>'Schedule 4- CAPM &amp; ECAPM'!P14</f>
        <v>0.11247006973346969</v>
      </c>
      <c r="E18" s="275">
        <f>'Schedule 4- CAPM &amp; ECAPM'!Y14</f>
        <v>0.11289006973346971</v>
      </c>
      <c r="K18" s="62"/>
      <c r="L18" s="59">
        <v>9.9000000000000005E-2</v>
      </c>
      <c r="M18" s="60">
        <v>9</v>
      </c>
    </row>
    <row r="19" spans="2:13" x14ac:dyDescent="0.25">
      <c r="B19" s="56" t="s">
        <v>25</v>
      </c>
      <c r="C19" s="275">
        <f>'Schedule 4- CAPM &amp; ECAPM'!AH14</f>
        <v>0.10377141120700129</v>
      </c>
      <c r="D19" s="275">
        <f>'Schedule 4- CAPM &amp; ECAPM'!AQ14</f>
        <v>0.10544245728840147</v>
      </c>
      <c r="E19" s="275">
        <f>'Schedule 4- CAPM &amp; ECAPM'!AZ14</f>
        <v>0.10606826143836856</v>
      </c>
      <c r="K19" s="62" t="s">
        <v>26</v>
      </c>
      <c r="L19" s="59">
        <v>0.1125</v>
      </c>
      <c r="M19" s="60">
        <f>M17</f>
        <v>0</v>
      </c>
    </row>
    <row r="20" spans="2:13" ht="17.45" customHeight="1" x14ac:dyDescent="0.25">
      <c r="B20" s="56" t="s">
        <v>27</v>
      </c>
      <c r="C20" s="275">
        <f>'Schedule 4- CAPM &amp; ECAPM'!BI14</f>
        <v>9.829069136795919E-2</v>
      </c>
      <c r="D20" s="275">
        <f>'Schedule 4- CAPM &amp; ECAPM'!BR14</f>
        <v>0.10035923581240362</v>
      </c>
      <c r="E20" s="275">
        <f>'Schedule 4- CAPM &amp; ECAPM'!CA14</f>
        <v>0.10113390247907028</v>
      </c>
      <c r="K20" s="57"/>
      <c r="L20" s="59">
        <v>0.1125</v>
      </c>
      <c r="M20" s="60">
        <v>9</v>
      </c>
    </row>
    <row r="21" spans="2:13" ht="24.75" customHeight="1" x14ac:dyDescent="0.25">
      <c r="B21" s="281" t="s">
        <v>28</v>
      </c>
      <c r="C21" s="282"/>
      <c r="D21" s="282"/>
      <c r="E21" s="283"/>
      <c r="K21" s="58" t="s">
        <v>29</v>
      </c>
      <c r="L21" s="59">
        <v>0.1075</v>
      </c>
      <c r="M21" s="60">
        <v>4</v>
      </c>
    </row>
    <row r="22" spans="2:13" ht="15" customHeight="1" x14ac:dyDescent="0.25">
      <c r="B22" s="56" t="s">
        <v>24</v>
      </c>
      <c r="C22" s="61">
        <f>'Schedule 4- CAPM &amp; ECAPM'!H14</f>
        <v>0.11521438898641691</v>
      </c>
      <c r="D22" s="61">
        <f>'Schedule 4- CAPM &amp; ECAPM'!Q14</f>
        <v>0.11605551398641691</v>
      </c>
      <c r="E22" s="61">
        <f>'Schedule 4- CAPM &amp; ECAPM'!Z14</f>
        <v>0.11637051398641689</v>
      </c>
      <c r="L22" s="273"/>
    </row>
    <row r="23" spans="2:13" ht="15" customHeight="1" x14ac:dyDescent="0.25">
      <c r="B23" s="56" t="s">
        <v>25</v>
      </c>
      <c r="C23" s="61">
        <f>'Schedule 4- CAPM &amp; ECAPM'!AI14</f>
        <v>0.10953152009156558</v>
      </c>
      <c r="D23" s="61">
        <f>'Schedule 4- CAPM &amp; ECAPM'!AR14</f>
        <v>0.11078480465261574</v>
      </c>
      <c r="E23" s="61">
        <f>'Schedule 4- CAPM &amp; ECAPM'!BA14</f>
        <v>0.11125415776509107</v>
      </c>
    </row>
    <row r="24" spans="2:13" ht="15" customHeight="1" x14ac:dyDescent="0.25">
      <c r="B24" s="56" t="s">
        <v>27</v>
      </c>
      <c r="C24" s="61">
        <f>'Schedule 4- CAPM &amp; ECAPM'!BJ14</f>
        <v>0.10542098021228401</v>
      </c>
      <c r="D24" s="61">
        <f>'Schedule 4- CAPM &amp; ECAPM'!BS14</f>
        <v>0.10697238854561734</v>
      </c>
      <c r="E24" s="61">
        <f>'Schedule 4- CAPM &amp; ECAPM'!CB14</f>
        <v>0.10755338854561731</v>
      </c>
    </row>
    <row r="25" spans="2:13" ht="15" customHeight="1" x14ac:dyDescent="0.25">
      <c r="B25" s="281" t="s">
        <v>30</v>
      </c>
      <c r="C25" s="282"/>
      <c r="D25" s="282"/>
      <c r="E25" s="283"/>
    </row>
    <row r="26" spans="2:13" ht="38.25" x14ac:dyDescent="0.25">
      <c r="B26" s="280"/>
      <c r="C26" s="280" t="s">
        <v>20</v>
      </c>
      <c r="D26" s="280" t="s">
        <v>21</v>
      </c>
      <c r="E26" s="280" t="s">
        <v>22</v>
      </c>
    </row>
    <row r="27" spans="2:13" ht="15" customHeight="1" x14ac:dyDescent="0.25">
      <c r="B27" s="56" t="s">
        <v>31</v>
      </c>
      <c r="C27" s="61">
        <f>'Schedule 7-Risk Premium'!$L$47</f>
        <v>9.5361094983805433E-2</v>
      </c>
      <c r="D27" s="61">
        <f>'Schedule 7-Risk Premium'!$L$48</f>
        <v>9.8483397806315737E-2</v>
      </c>
      <c r="E27" s="61">
        <f>'Schedule 7-Risk Premium'!$L$49</f>
        <v>9.9652695341272787E-2</v>
      </c>
    </row>
    <row r="28" spans="2:13" ht="15" customHeight="1" x14ac:dyDescent="0.25">
      <c r="B28" s="281" t="s">
        <v>32</v>
      </c>
      <c r="C28" s="282"/>
      <c r="D28" s="282"/>
      <c r="E28" s="283"/>
    </row>
    <row r="29" spans="2:13" ht="15" customHeight="1" thickBot="1" x14ac:dyDescent="0.3">
      <c r="B29" s="284">
        <f>'Schedule 8-Size Premium '!G50</f>
        <v>3.9100000000000003E-2</v>
      </c>
      <c r="C29" s="284"/>
      <c r="D29" s="284"/>
      <c r="E29" s="284"/>
    </row>
  </sheetData>
  <mergeCells count="7">
    <mergeCell ref="B28:E28"/>
    <mergeCell ref="B29:E29"/>
    <mergeCell ref="B3:E3"/>
    <mergeCell ref="B5:E5"/>
    <mergeCell ref="B16:E16"/>
    <mergeCell ref="B21:E21"/>
    <mergeCell ref="B25:E25"/>
  </mergeCells>
  <printOptions horizontalCentered="1"/>
  <pageMargins left="0.7" right="0.7" top="0.75" bottom="0.75" header="0.3" footer="0.3"/>
  <pageSetup scale="88" orientation="landscape" horizontalDpi="1200" verticalDpi="1200" r:id="rId1"/>
  <headerFooter scaleWithDoc="0">
    <oddHeader>&amp;CExhibit AEB 1.1, Schedule 2
Test Year Ending December 31, 2021
Utility: MidAmerican Energy Company
Docket No. NG22-___</oddHeader>
    <oddFooter>&amp;CExhibit AEB 1.1, Schedule 2
Page &amp;P of &amp;N</oddFooter>
  </headerFooter>
  <colBreaks count="1" manualBreakCount="1">
    <brk id="8" max="2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autoPageBreaks="0"/>
  </sheetPr>
  <dimension ref="B2:P55"/>
  <sheetViews>
    <sheetView view="pageLayout" zoomScaleNormal="85" workbookViewId="0"/>
  </sheetViews>
  <sheetFormatPr defaultColWidth="9.140625" defaultRowHeight="15" customHeight="1" x14ac:dyDescent="0.25"/>
  <cols>
    <col min="1" max="1" width="4.42578125" style="111" customWidth="1"/>
    <col min="2" max="3" width="42" style="111" customWidth="1"/>
    <col min="4" max="4" width="18.28515625" style="111" bestFit="1" customWidth="1"/>
    <col min="5" max="5" width="12.85546875" style="111" bestFit="1" customWidth="1"/>
    <col min="6" max="6" width="16.85546875" style="111" customWidth="1"/>
    <col min="7" max="7" width="4.5703125" style="111" customWidth="1"/>
    <col min="8" max="8" width="10.85546875" style="111" bestFit="1" customWidth="1"/>
    <col min="9" max="9" width="10.5703125" style="111" customWidth="1"/>
    <col min="10" max="10" width="4.5703125" style="111" customWidth="1"/>
    <col min="11" max="11" width="12.85546875" style="111" customWidth="1"/>
    <col min="12" max="12" width="11" style="111" bestFit="1" customWidth="1"/>
    <col min="13" max="13" width="4.5703125" style="111" customWidth="1"/>
    <col min="14" max="14" width="8.5703125" style="111" customWidth="1"/>
    <col min="15" max="15" width="15.7109375" style="111" customWidth="1"/>
    <col min="16" max="18" width="9.140625" style="111"/>
    <col min="19" max="19" width="10.85546875" style="111" customWidth="1"/>
    <col min="20" max="20" width="4" style="111" customWidth="1"/>
    <col min="21" max="16384" width="9.140625" style="111"/>
  </cols>
  <sheetData>
    <row r="2" spans="2:16" s="109" customFormat="1" x14ac:dyDescent="0.25">
      <c r="B2" s="108" t="s">
        <v>1358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6" x14ac:dyDescent="0.25">
      <c r="B3" s="110" t="s">
        <v>1359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2:16" x14ac:dyDescent="0.2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2:16" x14ac:dyDescent="0.25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2:16" x14ac:dyDescent="0.25">
      <c r="B6" s="112"/>
      <c r="C6" s="112"/>
      <c r="D6" s="112"/>
      <c r="E6" s="112"/>
      <c r="F6" s="113" t="s">
        <v>85</v>
      </c>
      <c r="G6" s="113"/>
      <c r="H6" s="114"/>
      <c r="I6" s="113" t="s">
        <v>86</v>
      </c>
      <c r="J6" s="115"/>
      <c r="K6" s="115"/>
      <c r="L6" s="113" t="s">
        <v>87</v>
      </c>
      <c r="M6" s="115"/>
      <c r="N6" s="115"/>
      <c r="O6" s="115" t="s">
        <v>88</v>
      </c>
      <c r="P6" s="112"/>
    </row>
    <row r="7" spans="2:16" x14ac:dyDescent="0.25">
      <c r="B7" s="112"/>
      <c r="C7" s="112"/>
      <c r="D7" s="112"/>
      <c r="E7" s="112"/>
      <c r="F7" s="116"/>
      <c r="G7" s="116"/>
      <c r="H7" s="116"/>
      <c r="I7" s="116"/>
      <c r="J7" s="116"/>
      <c r="K7" s="116"/>
      <c r="L7" s="116"/>
      <c r="M7" s="116"/>
      <c r="N7" s="116"/>
      <c r="O7" s="112" t="s">
        <v>1360</v>
      </c>
    </row>
    <row r="8" spans="2:16" ht="15" customHeight="1" x14ac:dyDescent="0.25">
      <c r="E8" s="116"/>
      <c r="F8" s="112" t="s">
        <v>1361</v>
      </c>
      <c r="G8" s="116"/>
      <c r="H8" s="116"/>
      <c r="I8" s="116"/>
      <c r="J8" s="116"/>
      <c r="K8" s="116"/>
      <c r="L8" s="112" t="s">
        <v>1362</v>
      </c>
      <c r="M8" s="116"/>
      <c r="N8" s="116"/>
      <c r="O8" s="112" t="s">
        <v>1363</v>
      </c>
    </row>
    <row r="9" spans="2:16" ht="15" customHeight="1" x14ac:dyDescent="0.25">
      <c r="B9" s="117"/>
      <c r="C9" s="117"/>
      <c r="D9" s="117"/>
      <c r="E9" s="118"/>
      <c r="F9" s="112" t="s">
        <v>1364</v>
      </c>
      <c r="G9" s="116"/>
      <c r="H9" s="116"/>
      <c r="I9" s="119" t="s">
        <v>1365</v>
      </c>
      <c r="J9" s="119"/>
      <c r="K9" s="116"/>
      <c r="L9" s="119" t="s">
        <v>1366</v>
      </c>
      <c r="M9" s="119"/>
      <c r="N9" s="116"/>
      <c r="O9" s="112" t="s">
        <v>1367</v>
      </c>
    </row>
    <row r="10" spans="2:16" s="116" customFormat="1" ht="15" customHeight="1" thickBot="1" x14ac:dyDescent="0.3">
      <c r="B10" s="120" t="s">
        <v>1368</v>
      </c>
      <c r="C10" s="121" t="s">
        <v>1369</v>
      </c>
      <c r="D10" s="121" t="s">
        <v>1370</v>
      </c>
      <c r="E10" s="121" t="s">
        <v>1371</v>
      </c>
      <c r="F10" s="121" t="s">
        <v>1372</v>
      </c>
      <c r="G10" s="121"/>
      <c r="H10" s="121"/>
      <c r="I10" s="121" t="s">
        <v>1373</v>
      </c>
      <c r="J10" s="121"/>
      <c r="K10" s="122"/>
      <c r="L10" s="122" t="s">
        <v>1374</v>
      </c>
      <c r="M10" s="122"/>
      <c r="N10" s="123"/>
      <c r="O10" s="123" t="s">
        <v>1375</v>
      </c>
    </row>
    <row r="11" spans="2:16" s="116" customFormat="1" ht="15" customHeight="1" x14ac:dyDescent="0.25">
      <c r="B11" s="124"/>
      <c r="C11" s="124"/>
      <c r="D11" s="124"/>
      <c r="E11" s="124"/>
      <c r="F11" s="119"/>
      <c r="G11" s="119"/>
      <c r="H11" s="119"/>
      <c r="I11" s="119"/>
      <c r="J11" s="119"/>
      <c r="K11" s="119"/>
      <c r="L11" s="119"/>
      <c r="M11" s="119"/>
      <c r="N11" s="112"/>
      <c r="O11" s="112"/>
    </row>
    <row r="12" spans="2:16" ht="15" customHeight="1" x14ac:dyDescent="0.25">
      <c r="B12" s="125" t="s">
        <v>49</v>
      </c>
      <c r="C12" s="125" t="s">
        <v>49</v>
      </c>
      <c r="D12" s="126" t="s">
        <v>1376</v>
      </c>
      <c r="E12" s="126" t="s">
        <v>1377</v>
      </c>
      <c r="F12" s="126" t="s">
        <v>1378</v>
      </c>
      <c r="G12" s="126"/>
      <c r="H12" s="127"/>
      <c r="I12" s="128" t="s">
        <v>1379</v>
      </c>
      <c r="J12" s="128"/>
      <c r="K12" s="128"/>
      <c r="L12" s="128" t="s">
        <v>1380</v>
      </c>
      <c r="M12" s="128"/>
      <c r="N12" s="129"/>
      <c r="O12" s="130" t="s">
        <v>1380</v>
      </c>
    </row>
    <row r="13" spans="2:16" ht="15" customHeight="1" x14ac:dyDescent="0.25">
      <c r="B13" s="131"/>
      <c r="C13" s="125" t="s">
        <v>49</v>
      </c>
      <c r="D13" s="126" t="s">
        <v>1381</v>
      </c>
      <c r="E13" s="126" t="s">
        <v>1377</v>
      </c>
      <c r="F13" s="126" t="s">
        <v>1380</v>
      </c>
      <c r="G13" s="126"/>
      <c r="H13" s="127"/>
      <c r="I13" s="128" t="s">
        <v>1147</v>
      </c>
      <c r="J13" s="128"/>
      <c r="K13" s="128"/>
      <c r="L13" s="128" t="s">
        <v>1380</v>
      </c>
      <c r="M13" s="128"/>
      <c r="N13" s="129"/>
      <c r="O13" s="130" t="s">
        <v>1380</v>
      </c>
    </row>
    <row r="14" spans="2:16" ht="15" customHeight="1" x14ac:dyDescent="0.25">
      <c r="B14" s="131"/>
      <c r="C14" s="125" t="s">
        <v>49</v>
      </c>
      <c r="D14" s="126" t="s">
        <v>1382</v>
      </c>
      <c r="E14" s="126" t="s">
        <v>1377</v>
      </c>
      <c r="F14" s="126" t="s">
        <v>1378</v>
      </c>
      <c r="G14" s="126"/>
      <c r="H14" s="127"/>
      <c r="I14" s="128" t="s">
        <v>1379</v>
      </c>
      <c r="J14" s="128"/>
      <c r="K14" s="128"/>
      <c r="L14" s="128" t="s">
        <v>1380</v>
      </c>
      <c r="M14" s="128"/>
      <c r="N14" s="129"/>
      <c r="O14" s="130" t="s">
        <v>1380</v>
      </c>
    </row>
    <row r="15" spans="2:16" ht="15" customHeight="1" x14ac:dyDescent="0.25">
      <c r="B15" s="131"/>
      <c r="C15" s="125" t="s">
        <v>49</v>
      </c>
      <c r="D15" s="126" t="s">
        <v>1383</v>
      </c>
      <c r="E15" s="126" t="s">
        <v>1377</v>
      </c>
      <c r="F15" s="126" t="s">
        <v>1380</v>
      </c>
      <c r="G15" s="126"/>
      <c r="H15" s="127"/>
      <c r="I15" s="128" t="s">
        <v>1147</v>
      </c>
      <c r="J15" s="128"/>
      <c r="K15" s="128"/>
      <c r="L15" s="128" t="s">
        <v>1380</v>
      </c>
      <c r="M15" s="128"/>
      <c r="N15" s="129"/>
      <c r="O15" s="130" t="s">
        <v>1380</v>
      </c>
    </row>
    <row r="16" spans="2:16" ht="15" customHeight="1" x14ac:dyDescent="0.25">
      <c r="B16" s="131"/>
      <c r="C16" s="125" t="s">
        <v>49</v>
      </c>
      <c r="D16" s="126" t="s">
        <v>1384</v>
      </c>
      <c r="E16" s="126" t="s">
        <v>1377</v>
      </c>
      <c r="F16" s="126" t="s">
        <v>1380</v>
      </c>
      <c r="G16" s="126"/>
      <c r="H16" s="127"/>
      <c r="I16" s="128" t="s">
        <v>1147</v>
      </c>
      <c r="J16" s="128"/>
      <c r="K16" s="128"/>
      <c r="L16" s="128" t="s">
        <v>1380</v>
      </c>
      <c r="M16" s="128"/>
      <c r="N16" s="129"/>
      <c r="O16" s="130" t="s">
        <v>1378</v>
      </c>
    </row>
    <row r="17" spans="2:15" ht="15" customHeight="1" x14ac:dyDescent="0.25">
      <c r="B17" s="131"/>
      <c r="C17" s="125" t="s">
        <v>49</v>
      </c>
      <c r="D17" s="126" t="s">
        <v>1385</v>
      </c>
      <c r="E17" s="126" t="s">
        <v>1377</v>
      </c>
      <c r="F17" s="126" t="s">
        <v>1378</v>
      </c>
      <c r="G17" s="126"/>
      <c r="H17" s="127"/>
      <c r="I17" s="128" t="s">
        <v>1379</v>
      </c>
      <c r="J17" s="128"/>
      <c r="K17" s="128"/>
      <c r="L17" s="128" t="s">
        <v>1380</v>
      </c>
      <c r="M17" s="128"/>
      <c r="N17" s="129"/>
      <c r="O17" s="130" t="s">
        <v>1380</v>
      </c>
    </row>
    <row r="18" spans="2:15" ht="15" customHeight="1" x14ac:dyDescent="0.25">
      <c r="B18" s="131" t="s">
        <v>51</v>
      </c>
      <c r="C18" s="131" t="s">
        <v>1386</v>
      </c>
      <c r="D18" s="116" t="s">
        <v>1387</v>
      </c>
      <c r="E18" s="116" t="s">
        <v>1377</v>
      </c>
      <c r="F18" s="126" t="s">
        <v>1380</v>
      </c>
      <c r="G18" s="126"/>
      <c r="H18" s="127"/>
      <c r="I18" s="128" t="s">
        <v>1379</v>
      </c>
      <c r="J18" s="128"/>
      <c r="K18" s="128"/>
      <c r="L18" s="128" t="s">
        <v>1380</v>
      </c>
      <c r="M18" s="128"/>
      <c r="N18" s="129"/>
      <c r="O18" s="130" t="s">
        <v>1380</v>
      </c>
    </row>
    <row r="19" spans="2:15" ht="15" customHeight="1" x14ac:dyDescent="0.25">
      <c r="B19" s="131" t="s">
        <v>53</v>
      </c>
      <c r="C19" s="131" t="s">
        <v>1388</v>
      </c>
      <c r="D19" s="118" t="s">
        <v>1389</v>
      </c>
      <c r="E19" s="118" t="s">
        <v>1390</v>
      </c>
      <c r="F19" s="126" t="s">
        <v>1380</v>
      </c>
      <c r="G19" s="118"/>
      <c r="H19" s="127"/>
      <c r="I19" s="132" t="s">
        <v>1379</v>
      </c>
      <c r="J19" s="132"/>
      <c r="K19" s="132"/>
      <c r="L19" s="128" t="s">
        <v>1380</v>
      </c>
      <c r="M19" s="132"/>
      <c r="N19" s="133"/>
      <c r="O19" s="134" t="s">
        <v>1380</v>
      </c>
    </row>
    <row r="20" spans="2:15" ht="15" customHeight="1" x14ac:dyDescent="0.25">
      <c r="B20" s="131"/>
      <c r="C20" s="131" t="s">
        <v>1388</v>
      </c>
      <c r="D20" s="118" t="s">
        <v>1389</v>
      </c>
      <c r="E20" s="118" t="s">
        <v>1377</v>
      </c>
      <c r="F20" s="126" t="s">
        <v>1380</v>
      </c>
      <c r="G20" s="118"/>
      <c r="H20" s="127"/>
      <c r="I20" s="132" t="s">
        <v>1379</v>
      </c>
      <c r="J20" s="132"/>
      <c r="K20" s="132"/>
      <c r="L20" s="132" t="s">
        <v>1378</v>
      </c>
      <c r="M20" s="132"/>
      <c r="N20" s="133"/>
      <c r="O20" s="134" t="s">
        <v>1380</v>
      </c>
    </row>
    <row r="21" spans="2:15" ht="15" customHeight="1" x14ac:dyDescent="0.25">
      <c r="B21" s="131"/>
      <c r="C21" s="131" t="s">
        <v>1391</v>
      </c>
      <c r="D21" s="126" t="s">
        <v>1381</v>
      </c>
      <c r="E21" s="126" t="s">
        <v>1377</v>
      </c>
      <c r="F21" s="126" t="s">
        <v>1380</v>
      </c>
      <c r="G21" s="126"/>
      <c r="H21" s="127"/>
      <c r="I21" s="128" t="s">
        <v>1147</v>
      </c>
      <c r="J21" s="128"/>
      <c r="K21" s="128"/>
      <c r="L21" s="128" t="s">
        <v>1380</v>
      </c>
      <c r="M21" s="128"/>
      <c r="N21" s="129"/>
      <c r="O21" s="130" t="s">
        <v>1380</v>
      </c>
    </row>
    <row r="22" spans="2:15" ht="15" customHeight="1" x14ac:dyDescent="0.25">
      <c r="B22" s="131"/>
      <c r="C22" s="131" t="s">
        <v>1392</v>
      </c>
      <c r="D22" s="126" t="s">
        <v>1393</v>
      </c>
      <c r="E22" s="126" t="s">
        <v>1377</v>
      </c>
      <c r="F22" s="126" t="s">
        <v>1380</v>
      </c>
      <c r="G22" s="126"/>
      <c r="H22" s="127"/>
      <c r="I22" s="128" t="s">
        <v>1147</v>
      </c>
      <c r="J22" s="128"/>
      <c r="K22" s="128"/>
      <c r="L22" s="128" t="s">
        <v>1380</v>
      </c>
      <c r="M22" s="128"/>
      <c r="N22" s="129"/>
      <c r="O22" s="130" t="s">
        <v>1380</v>
      </c>
    </row>
    <row r="23" spans="2:15" ht="15" customHeight="1" x14ac:dyDescent="0.25">
      <c r="B23" s="131"/>
      <c r="C23" s="131" t="s">
        <v>1394</v>
      </c>
      <c r="D23" s="126" t="s">
        <v>1395</v>
      </c>
      <c r="E23" s="126" t="s">
        <v>1377</v>
      </c>
      <c r="F23" s="126" t="s">
        <v>1380</v>
      </c>
      <c r="G23" s="126"/>
      <c r="H23" s="127"/>
      <c r="I23" s="128" t="s">
        <v>1379</v>
      </c>
      <c r="J23" s="128"/>
      <c r="K23" s="128"/>
      <c r="L23" s="128" t="s">
        <v>1378</v>
      </c>
      <c r="M23" s="128"/>
      <c r="N23" s="129"/>
      <c r="O23" s="130" t="s">
        <v>1380</v>
      </c>
    </row>
    <row r="24" spans="2:15" ht="15" customHeight="1" x14ac:dyDescent="0.25">
      <c r="B24" s="131"/>
      <c r="C24" s="131" t="s">
        <v>1396</v>
      </c>
      <c r="D24" s="126" t="s">
        <v>1397</v>
      </c>
      <c r="E24" s="126" t="s">
        <v>1377</v>
      </c>
      <c r="F24" s="126" t="s">
        <v>1380</v>
      </c>
      <c r="G24" s="126"/>
      <c r="H24" s="127"/>
      <c r="I24" s="128" t="s">
        <v>1379</v>
      </c>
      <c r="J24" s="128"/>
      <c r="K24" s="128"/>
      <c r="L24" s="128" t="s">
        <v>1380</v>
      </c>
      <c r="M24" s="128"/>
      <c r="N24" s="129"/>
      <c r="O24" s="130" t="s">
        <v>1380</v>
      </c>
    </row>
    <row r="25" spans="2:15" ht="15" customHeight="1" x14ac:dyDescent="0.25">
      <c r="B25" s="131"/>
      <c r="C25" s="131" t="s">
        <v>1398</v>
      </c>
      <c r="D25" s="126" t="s">
        <v>1399</v>
      </c>
      <c r="E25" s="126" t="s">
        <v>1377</v>
      </c>
      <c r="F25" s="126" t="s">
        <v>1378</v>
      </c>
      <c r="G25" s="126"/>
      <c r="H25" s="127"/>
      <c r="I25" s="128" t="s">
        <v>1147</v>
      </c>
      <c r="J25" s="128"/>
      <c r="K25" s="128"/>
      <c r="L25" s="128" t="s">
        <v>1380</v>
      </c>
      <c r="M25" s="128"/>
      <c r="N25" s="129"/>
      <c r="O25" s="130" t="s">
        <v>1380</v>
      </c>
    </row>
    <row r="26" spans="2:15" ht="15" customHeight="1" x14ac:dyDescent="0.25">
      <c r="B26" s="111" t="s">
        <v>55</v>
      </c>
      <c r="C26" s="111" t="s">
        <v>1400</v>
      </c>
      <c r="D26" s="116" t="s">
        <v>1401</v>
      </c>
      <c r="E26" s="116" t="s">
        <v>1377</v>
      </c>
      <c r="F26" s="126" t="s">
        <v>1380</v>
      </c>
      <c r="G26" s="116"/>
      <c r="I26" s="135" t="s">
        <v>1147</v>
      </c>
      <c r="J26" s="135"/>
      <c r="K26" s="135"/>
      <c r="L26" s="128" t="s">
        <v>1380</v>
      </c>
      <c r="M26" s="135"/>
      <c r="O26" s="116" t="s">
        <v>1378</v>
      </c>
    </row>
    <row r="27" spans="2:15" ht="15" customHeight="1" x14ac:dyDescent="0.25">
      <c r="C27" s="111" t="s">
        <v>1400</v>
      </c>
      <c r="D27" s="116" t="s">
        <v>1402</v>
      </c>
      <c r="E27" s="116" t="s">
        <v>1377</v>
      </c>
      <c r="F27" s="126" t="s">
        <v>1378</v>
      </c>
      <c r="G27" s="116"/>
      <c r="I27" s="135" t="s">
        <v>1147</v>
      </c>
      <c r="J27" s="135"/>
      <c r="K27" s="135"/>
      <c r="L27" s="135" t="s">
        <v>1378</v>
      </c>
      <c r="M27" s="135"/>
      <c r="N27" s="136"/>
      <c r="O27" s="116" t="s">
        <v>1378</v>
      </c>
    </row>
    <row r="28" spans="2:15" ht="15" customHeight="1" x14ac:dyDescent="0.25">
      <c r="B28" s="111" t="s">
        <v>57</v>
      </c>
      <c r="C28" s="111" t="s">
        <v>1403</v>
      </c>
      <c r="D28" s="116" t="s">
        <v>1376</v>
      </c>
      <c r="E28" s="116" t="s">
        <v>1377</v>
      </c>
      <c r="F28" s="126" t="s">
        <v>1378</v>
      </c>
      <c r="G28" s="116"/>
      <c r="I28" s="128" t="s">
        <v>1379</v>
      </c>
      <c r="J28" s="128"/>
      <c r="K28" s="128"/>
      <c r="L28" s="128" t="s">
        <v>1380</v>
      </c>
      <c r="M28" s="128"/>
      <c r="N28" s="136"/>
      <c r="O28" s="116" t="s">
        <v>1380</v>
      </c>
    </row>
    <row r="29" spans="2:15" ht="15" customHeight="1" x14ac:dyDescent="0.25">
      <c r="C29" s="111" t="s">
        <v>1404</v>
      </c>
      <c r="D29" s="116" t="s">
        <v>1405</v>
      </c>
      <c r="E29" s="116" t="s">
        <v>1377</v>
      </c>
      <c r="F29" s="126" t="s">
        <v>1378</v>
      </c>
      <c r="G29" s="116"/>
      <c r="I29" s="128" t="s">
        <v>1379</v>
      </c>
      <c r="J29" s="128"/>
      <c r="K29" s="128"/>
      <c r="L29" s="128" t="s">
        <v>1380</v>
      </c>
      <c r="M29" s="128"/>
      <c r="N29" s="136"/>
      <c r="O29" s="116" t="s">
        <v>1378</v>
      </c>
    </row>
    <row r="30" spans="2:15" ht="15" customHeight="1" x14ac:dyDescent="0.25">
      <c r="C30" s="111" t="s">
        <v>1406</v>
      </c>
      <c r="D30" s="116" t="s">
        <v>1385</v>
      </c>
      <c r="E30" s="116" t="s">
        <v>1377</v>
      </c>
      <c r="F30" s="126" t="s">
        <v>1378</v>
      </c>
      <c r="G30" s="116"/>
      <c r="I30" s="128" t="s">
        <v>1379</v>
      </c>
      <c r="J30" s="128"/>
      <c r="K30" s="128"/>
      <c r="L30" s="128" t="s">
        <v>1380</v>
      </c>
      <c r="M30" s="128"/>
      <c r="N30" s="136"/>
      <c r="O30" s="116" t="s">
        <v>1380</v>
      </c>
    </row>
    <row r="31" spans="2:15" ht="15" customHeight="1" x14ac:dyDescent="0.25">
      <c r="B31" s="111" t="s">
        <v>59</v>
      </c>
      <c r="C31" s="111" t="s">
        <v>1407</v>
      </c>
      <c r="D31" s="116" t="s">
        <v>1408</v>
      </c>
      <c r="E31" s="116" t="s">
        <v>1377</v>
      </c>
      <c r="F31" s="126" t="s">
        <v>1380</v>
      </c>
      <c r="G31" s="116"/>
      <c r="I31" s="128" t="s">
        <v>1147</v>
      </c>
      <c r="J31" s="128"/>
      <c r="K31" s="128"/>
      <c r="L31" s="128" t="s">
        <v>1380</v>
      </c>
      <c r="M31" s="128"/>
      <c r="N31" s="136"/>
      <c r="O31" s="116" t="s">
        <v>1378</v>
      </c>
    </row>
    <row r="32" spans="2:15" ht="15" customHeight="1" x14ac:dyDescent="0.25">
      <c r="C32" s="111" t="s">
        <v>1409</v>
      </c>
      <c r="D32" s="116" t="s">
        <v>1408</v>
      </c>
      <c r="E32" s="116" t="s">
        <v>1377</v>
      </c>
      <c r="F32" s="126" t="s">
        <v>1380</v>
      </c>
      <c r="G32" s="116"/>
      <c r="I32" s="128" t="s">
        <v>1147</v>
      </c>
      <c r="J32" s="128"/>
      <c r="K32" s="128"/>
      <c r="L32" s="128" t="s">
        <v>1380</v>
      </c>
      <c r="M32" s="128"/>
      <c r="N32" s="136"/>
      <c r="O32" s="116" t="s">
        <v>1378</v>
      </c>
    </row>
    <row r="33" spans="2:15" ht="15" customHeight="1" x14ac:dyDescent="0.25">
      <c r="C33" s="111" t="s">
        <v>1410</v>
      </c>
      <c r="D33" s="116" t="s">
        <v>1411</v>
      </c>
      <c r="E33" s="116" t="s">
        <v>1377</v>
      </c>
      <c r="F33" s="126" t="s">
        <v>1378</v>
      </c>
      <c r="G33" s="116"/>
      <c r="I33" s="135" t="s">
        <v>1379</v>
      </c>
      <c r="J33" s="135"/>
      <c r="K33" s="135"/>
      <c r="L33" s="128" t="s">
        <v>1380</v>
      </c>
      <c r="M33" s="135"/>
      <c r="N33" s="136"/>
      <c r="O33" s="116" t="s">
        <v>1380</v>
      </c>
    </row>
    <row r="34" spans="2:15" ht="15" customHeight="1" x14ac:dyDescent="0.25">
      <c r="C34" s="111" t="s">
        <v>1412</v>
      </c>
      <c r="D34" s="116" t="s">
        <v>1411</v>
      </c>
      <c r="E34" s="116" t="s">
        <v>1377</v>
      </c>
      <c r="F34" s="126" t="s">
        <v>1378</v>
      </c>
      <c r="G34" s="116"/>
      <c r="I34" s="135" t="s">
        <v>1379</v>
      </c>
      <c r="J34" s="135"/>
      <c r="K34" s="135"/>
      <c r="L34" s="135" t="s">
        <v>1378</v>
      </c>
      <c r="M34" s="135"/>
      <c r="N34" s="136"/>
      <c r="O34" s="116" t="s">
        <v>1380</v>
      </c>
    </row>
    <row r="35" spans="2:15" ht="15" customHeight="1" x14ac:dyDescent="0.25">
      <c r="F35" s="116"/>
      <c r="G35" s="116"/>
      <c r="I35" s="135"/>
      <c r="J35" s="135"/>
      <c r="K35" s="135"/>
      <c r="L35" s="135"/>
      <c r="M35" s="135"/>
      <c r="N35" s="136"/>
      <c r="O35" s="116"/>
    </row>
    <row r="36" spans="2:15" ht="15" customHeight="1" x14ac:dyDescent="0.25">
      <c r="B36" s="112" t="s">
        <v>1413</v>
      </c>
      <c r="E36" s="137" t="s">
        <v>1380</v>
      </c>
      <c r="F36" s="112">
        <f>COUNTIF($F$12:$F$34,E36)</f>
        <v>13</v>
      </c>
      <c r="G36" s="112"/>
      <c r="H36" s="138" t="s">
        <v>1379</v>
      </c>
      <c r="I36" s="112">
        <f>COUNTIF($I$12:$I$34,H36)</f>
        <v>13</v>
      </c>
      <c r="J36" s="112"/>
      <c r="K36" s="137" t="s">
        <v>1380</v>
      </c>
      <c r="L36" s="112">
        <f>COUNTIF($L$12:$L$34,K36)</f>
        <v>19</v>
      </c>
      <c r="M36" s="112"/>
      <c r="N36" s="137" t="s">
        <v>1380</v>
      </c>
      <c r="O36" s="112">
        <f>COUNTIF($O$12:$O$34,"Yes")</f>
        <v>17</v>
      </c>
    </row>
    <row r="37" spans="2:15" ht="15" customHeight="1" x14ac:dyDescent="0.25">
      <c r="E37" s="139" t="s">
        <v>1378</v>
      </c>
      <c r="F37" s="140">
        <f>COUNTIF($F$12:$F$34,E37)</f>
        <v>10</v>
      </c>
      <c r="G37" s="112"/>
      <c r="H37" s="141" t="s">
        <v>1147</v>
      </c>
      <c r="I37" s="140">
        <f>COUNTIF($I$12:$I$34,H37)</f>
        <v>10</v>
      </c>
      <c r="J37" s="112"/>
      <c r="K37" s="139" t="s">
        <v>1378</v>
      </c>
      <c r="L37" s="140">
        <f>COUNTIF($L$12:$L$34,K37)</f>
        <v>4</v>
      </c>
      <c r="M37" s="112"/>
      <c r="N37" s="139" t="s">
        <v>1378</v>
      </c>
      <c r="O37" s="140">
        <f>COUNTIF($O$12:$O$34,"No")</f>
        <v>6</v>
      </c>
    </row>
    <row r="38" spans="2:15" ht="15" customHeight="1" x14ac:dyDescent="0.25">
      <c r="B38" s="142"/>
      <c r="C38" s="142"/>
      <c r="E38" s="138" t="s">
        <v>1414</v>
      </c>
      <c r="F38" s="143">
        <f>F36/SUM(F36:F37)</f>
        <v>0.56521739130434778</v>
      </c>
      <c r="G38" s="144"/>
      <c r="H38" s="138" t="s">
        <v>1415</v>
      </c>
      <c r="I38" s="143">
        <f>I36/(I36+I37)</f>
        <v>0.56521739130434778</v>
      </c>
      <c r="J38" s="144"/>
      <c r="K38" s="138" t="s">
        <v>1414</v>
      </c>
      <c r="L38" s="143">
        <f>L36/SUM(L36:L37)</f>
        <v>0.82608695652173914</v>
      </c>
      <c r="M38" s="144"/>
      <c r="N38" s="138" t="s">
        <v>1416</v>
      </c>
      <c r="O38" s="143">
        <f>O36/(O36+O37)</f>
        <v>0.73913043478260865</v>
      </c>
    </row>
    <row r="39" spans="2:15" ht="15" customHeight="1" x14ac:dyDescent="0.25">
      <c r="B39" s="142"/>
      <c r="C39" s="142"/>
      <c r="D39" s="145"/>
      <c r="E39" s="145"/>
      <c r="F39" s="116"/>
      <c r="G39" s="116"/>
      <c r="H39" s="146"/>
      <c r="I39" s="146"/>
      <c r="J39" s="146"/>
      <c r="K39" s="146"/>
      <c r="L39" s="146"/>
      <c r="M39" s="146"/>
      <c r="N39" s="116"/>
    </row>
    <row r="40" spans="2:15" ht="15" customHeight="1" x14ac:dyDescent="0.25">
      <c r="B40" s="147" t="s">
        <v>1346</v>
      </c>
      <c r="C40" s="147" t="s">
        <v>1346</v>
      </c>
      <c r="D40" s="112" t="s">
        <v>1417</v>
      </c>
      <c r="E40" s="147"/>
      <c r="F40" s="112" t="s">
        <v>1378</v>
      </c>
      <c r="G40" s="112"/>
      <c r="H40" s="225"/>
      <c r="I40" s="112" t="s">
        <v>1147</v>
      </c>
      <c r="J40" s="112"/>
      <c r="K40" s="226"/>
      <c r="L40" s="112" t="s">
        <v>1378</v>
      </c>
      <c r="M40" s="112"/>
      <c r="N40" s="227"/>
      <c r="O40" s="112" t="s">
        <v>1378</v>
      </c>
    </row>
    <row r="43" spans="2:15" ht="15" customHeight="1" x14ac:dyDescent="0.25">
      <c r="B43" s="148" t="s">
        <v>1418</v>
      </c>
      <c r="C43" s="149"/>
    </row>
    <row r="44" spans="2:15" ht="15" customHeight="1" x14ac:dyDescent="0.25">
      <c r="B44" s="304" t="s">
        <v>1419</v>
      </c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</row>
    <row r="45" spans="2:15" ht="15" customHeight="1" x14ac:dyDescent="0.25">
      <c r="B45" s="305" t="s">
        <v>1420</v>
      </c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</row>
    <row r="46" spans="2:15" ht="15" customHeight="1" x14ac:dyDescent="0.25">
      <c r="B46" s="150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</row>
    <row r="47" spans="2:15" ht="15" customHeight="1" x14ac:dyDescent="0.25"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</row>
    <row r="48" spans="2:15" ht="15" customHeight="1" x14ac:dyDescent="0.25">
      <c r="B48" s="152"/>
      <c r="C48" s="152"/>
    </row>
    <row r="52" spans="3:14" ht="15" customHeight="1" x14ac:dyDescent="0.25">
      <c r="C52" s="153"/>
    </row>
    <row r="53" spans="3:14" ht="15" customHeight="1" x14ac:dyDescent="0.25">
      <c r="N53" s="154"/>
    </row>
    <row r="54" spans="3:14" x14ac:dyDescent="0.25">
      <c r="N54" s="154"/>
    </row>
    <row r="55" spans="3:14" x14ac:dyDescent="0.25">
      <c r="N55" s="154"/>
    </row>
  </sheetData>
  <mergeCells count="3">
    <mergeCell ref="B44:O44"/>
    <mergeCell ref="B45:O45"/>
    <mergeCell ref="B47:O47"/>
  </mergeCells>
  <printOptions horizontalCentered="1"/>
  <pageMargins left="0.7" right="0.7" top="0.77916666666666667" bottom="0.75" header="0.3" footer="0.3"/>
  <pageSetup scale="55" orientation="landscape" horizontalDpi="1200" verticalDpi="1200" r:id="rId1"/>
  <headerFooter scaleWithDoc="0">
    <oddHeader>&amp;C&amp;8Exhibit AEB 1.1, Schedule 10
Test Year Ending December 31, 2021
Utility: MidAmerican Energy Company
Docket No. NG22-___</oddHeader>
    <oddFooter>&amp;C&amp;8Exhibit AEB 1.1, Schedule 10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autoPageBreaks="0"/>
  </sheetPr>
  <dimension ref="B2:H24"/>
  <sheetViews>
    <sheetView view="pageLayout" zoomScaleNormal="100" workbookViewId="0"/>
  </sheetViews>
  <sheetFormatPr defaultColWidth="8.7109375" defaultRowHeight="15" customHeight="1" x14ac:dyDescent="0.25"/>
  <cols>
    <col min="1" max="1" width="8.7109375" style="241"/>
    <col min="2" max="2" width="36.140625" style="241" customWidth="1"/>
    <col min="3" max="5" width="8.7109375" style="241"/>
    <col min="6" max="6" width="12.7109375" style="241" customWidth="1"/>
    <col min="7" max="16384" width="8.7109375" style="241"/>
  </cols>
  <sheetData>
    <row r="2" spans="2:8" ht="15" customHeight="1" x14ac:dyDescent="0.2">
      <c r="B2" s="242" t="s">
        <v>1421</v>
      </c>
      <c r="C2" s="242"/>
      <c r="D2" s="242"/>
      <c r="E2" s="242"/>
      <c r="F2" s="242"/>
      <c r="G2" s="243"/>
      <c r="H2" s="21"/>
    </row>
    <row r="3" spans="2:8" ht="15" customHeight="1" x14ac:dyDescent="0.2">
      <c r="B3" s="242" t="s">
        <v>1422</v>
      </c>
      <c r="C3" s="242"/>
      <c r="D3" s="242"/>
      <c r="E3" s="242"/>
      <c r="F3" s="242"/>
      <c r="G3" s="243"/>
      <c r="H3" s="21"/>
    </row>
    <row r="4" spans="2:8" ht="15" customHeight="1" x14ac:dyDescent="0.2">
      <c r="B4" s="21"/>
      <c r="C4" s="21"/>
      <c r="D4" s="21"/>
      <c r="E4" s="21"/>
      <c r="F4" s="21"/>
      <c r="G4" s="244"/>
      <c r="H4" s="21"/>
    </row>
    <row r="5" spans="2:8" ht="15" customHeight="1" x14ac:dyDescent="0.2">
      <c r="B5" s="243"/>
      <c r="C5" s="243"/>
      <c r="D5" s="243"/>
      <c r="E5" s="243"/>
      <c r="F5" s="243"/>
      <c r="G5" s="243"/>
      <c r="H5" s="21"/>
    </row>
    <row r="6" spans="2:8" ht="15" customHeight="1" x14ac:dyDescent="0.2">
      <c r="B6" s="243"/>
      <c r="C6" s="243"/>
      <c r="D6" s="245" t="s">
        <v>1423</v>
      </c>
      <c r="E6" s="245"/>
      <c r="F6" s="245"/>
      <c r="G6" s="246"/>
      <c r="H6" s="21"/>
    </row>
    <row r="7" spans="2:8" ht="15" customHeight="1" x14ac:dyDescent="0.2">
      <c r="B7" s="243"/>
      <c r="C7" s="243"/>
      <c r="D7" s="243" t="s">
        <v>1424</v>
      </c>
      <c r="E7" s="243" t="s">
        <v>124</v>
      </c>
      <c r="F7" s="243"/>
      <c r="G7" s="246"/>
      <c r="H7" s="21"/>
    </row>
    <row r="8" spans="2:8" ht="15" customHeight="1" x14ac:dyDescent="0.2">
      <c r="B8" s="247"/>
      <c r="C8" s="247"/>
      <c r="D8" s="243" t="s">
        <v>1425</v>
      </c>
      <c r="E8" s="243" t="s">
        <v>1426</v>
      </c>
      <c r="F8" s="243" t="s">
        <v>1204</v>
      </c>
      <c r="G8" s="246"/>
      <c r="H8" s="21"/>
    </row>
    <row r="9" spans="2:8" ht="15" customHeight="1" x14ac:dyDescent="0.2">
      <c r="B9" s="248" t="s">
        <v>1427</v>
      </c>
      <c r="C9" s="249" t="s">
        <v>91</v>
      </c>
      <c r="D9" s="250" t="s">
        <v>1428</v>
      </c>
      <c r="E9" s="250" t="s">
        <v>1428</v>
      </c>
      <c r="F9" s="250" t="s">
        <v>128</v>
      </c>
      <c r="G9" s="246"/>
      <c r="H9" s="21"/>
    </row>
    <row r="10" spans="2:8" ht="15" customHeight="1" x14ac:dyDescent="0.2">
      <c r="B10" s="247" t="s">
        <v>49</v>
      </c>
      <c r="C10" s="243" t="s">
        <v>50</v>
      </c>
      <c r="D10" s="259">
        <v>0.58311375099208396</v>
      </c>
      <c r="E10" s="251">
        <v>0.4168862490079161</v>
      </c>
      <c r="F10" s="252">
        <v>1</v>
      </c>
      <c r="G10" s="246"/>
      <c r="H10" s="21"/>
    </row>
    <row r="11" spans="2:8" ht="15" customHeight="1" x14ac:dyDescent="0.2">
      <c r="B11" s="253" t="s">
        <v>51</v>
      </c>
      <c r="C11" s="243" t="s">
        <v>52</v>
      </c>
      <c r="D11" s="260">
        <v>0.5545289421267785</v>
      </c>
      <c r="E11" s="251">
        <v>0.44547105787322167</v>
      </c>
      <c r="F11" s="252">
        <v>0.99999999999999989</v>
      </c>
      <c r="G11" s="246"/>
      <c r="H11" s="21"/>
    </row>
    <row r="12" spans="2:8" ht="15" customHeight="1" x14ac:dyDescent="0.2">
      <c r="B12" s="247" t="s">
        <v>53</v>
      </c>
      <c r="C12" s="243" t="s">
        <v>54</v>
      </c>
      <c r="D12" s="260">
        <v>0.54425319759431012</v>
      </c>
      <c r="E12" s="251">
        <v>0.45574680240568988</v>
      </c>
      <c r="F12" s="252">
        <v>1</v>
      </c>
      <c r="G12" s="246"/>
      <c r="H12" s="21"/>
    </row>
    <row r="13" spans="2:8" ht="15" customHeight="1" x14ac:dyDescent="0.2">
      <c r="B13" s="247" t="s">
        <v>55</v>
      </c>
      <c r="C13" s="243" t="s">
        <v>56</v>
      </c>
      <c r="D13" s="260">
        <v>0.47439216667007456</v>
      </c>
      <c r="E13" s="251">
        <v>0.52560783332992544</v>
      </c>
      <c r="F13" s="252">
        <v>1</v>
      </c>
      <c r="G13" s="246"/>
      <c r="H13" s="21"/>
    </row>
    <row r="14" spans="2:8" ht="15" customHeight="1" x14ac:dyDescent="0.2">
      <c r="B14" s="247" t="s">
        <v>57</v>
      </c>
      <c r="C14" s="243" t="s">
        <v>58</v>
      </c>
      <c r="D14" s="260">
        <v>0.60041608011645631</v>
      </c>
      <c r="E14" s="251">
        <v>0.39958391988354364</v>
      </c>
      <c r="F14" s="252">
        <v>1</v>
      </c>
      <c r="G14" s="246"/>
      <c r="H14" s="21"/>
    </row>
    <row r="15" spans="2:8" ht="15" customHeight="1" x14ac:dyDescent="0.2">
      <c r="B15" s="247" t="s">
        <v>59</v>
      </c>
      <c r="C15" s="243" t="s">
        <v>60</v>
      </c>
      <c r="D15" s="260">
        <v>0.58516872593864644</v>
      </c>
      <c r="E15" s="251">
        <v>0.41483127406135356</v>
      </c>
      <c r="F15" s="252">
        <v>1</v>
      </c>
      <c r="G15" s="246"/>
      <c r="H15" s="21"/>
    </row>
    <row r="16" spans="2:8" ht="15" customHeight="1" x14ac:dyDescent="0.2">
      <c r="B16" s="247"/>
      <c r="C16" s="243"/>
      <c r="E16" s="254"/>
      <c r="F16" s="254"/>
      <c r="G16" s="246"/>
      <c r="H16" s="21"/>
    </row>
    <row r="17" spans="2:8" ht="15" customHeight="1" x14ac:dyDescent="0.2">
      <c r="B17" s="255" t="s">
        <v>1147</v>
      </c>
      <c r="C17" s="243"/>
      <c r="D17" s="252">
        <f>AVERAGE(D10:D15)</f>
        <v>0.55697881057305831</v>
      </c>
      <c r="E17" s="252">
        <f t="shared" ref="E17" si="0">AVERAGE(E10:E15)</f>
        <v>0.44302118942694174</v>
      </c>
      <c r="F17" s="254"/>
      <c r="G17" s="246"/>
      <c r="H17" s="21"/>
    </row>
    <row r="18" spans="2:8" ht="15" customHeight="1" x14ac:dyDescent="0.2">
      <c r="B18" s="255" t="s">
        <v>14</v>
      </c>
      <c r="C18" s="243"/>
      <c r="D18" s="252">
        <f>MEDIAN(D10:D15)</f>
        <v>0.56882134655943117</v>
      </c>
      <c r="E18" s="252">
        <f t="shared" ref="E18" si="1">MEDIAN(E10:E15)</f>
        <v>0.43117865344056888</v>
      </c>
      <c r="F18" s="254"/>
      <c r="G18" s="246"/>
      <c r="H18" s="21"/>
    </row>
    <row r="19" spans="2:8" ht="15" customHeight="1" x14ac:dyDescent="0.2">
      <c r="B19" s="255" t="s">
        <v>1429</v>
      </c>
      <c r="C19" s="243"/>
      <c r="D19" s="252">
        <f>MAX(D10:D15)</f>
        <v>0.60041608011645631</v>
      </c>
      <c r="E19" s="252">
        <f t="shared" ref="E19" si="2">MAX(E10:E15)</f>
        <v>0.52560783332992544</v>
      </c>
      <c r="F19" s="254"/>
      <c r="G19" s="246"/>
      <c r="H19" s="21"/>
    </row>
    <row r="20" spans="2:8" ht="15" customHeight="1" x14ac:dyDescent="0.2">
      <c r="B20" s="255" t="s">
        <v>1430</v>
      </c>
      <c r="C20" s="243"/>
      <c r="D20" s="252">
        <f>MIN(D10:D15)</f>
        <v>0.47439216667007456</v>
      </c>
      <c r="E20" s="252">
        <f t="shared" ref="E20" si="3">MIN(E10:E15)</f>
        <v>0.39958391988354364</v>
      </c>
      <c r="F20" s="254"/>
      <c r="G20" s="246"/>
      <c r="H20" s="21"/>
    </row>
    <row r="21" spans="2:8" ht="15" customHeight="1" x14ac:dyDescent="0.2">
      <c r="B21" s="256"/>
      <c r="C21" s="243"/>
      <c r="D21" s="254"/>
      <c r="E21" s="254"/>
      <c r="F21" s="254"/>
      <c r="G21" s="254"/>
      <c r="H21" s="21"/>
    </row>
    <row r="22" spans="2:8" ht="15" customHeight="1" x14ac:dyDescent="0.2">
      <c r="B22" s="257" t="s">
        <v>61</v>
      </c>
      <c r="C22" s="243"/>
      <c r="D22" s="254"/>
      <c r="E22" s="254"/>
      <c r="F22" s="254"/>
      <c r="G22" s="254"/>
      <c r="H22" s="21"/>
    </row>
    <row r="23" spans="2:8" ht="15" customHeight="1" x14ac:dyDescent="0.2">
      <c r="B23" s="258" t="s">
        <v>1431</v>
      </c>
      <c r="C23" s="243"/>
      <c r="D23" s="254"/>
      <c r="E23" s="254"/>
      <c r="F23" s="254"/>
      <c r="G23" s="254"/>
      <c r="H23" s="21"/>
    </row>
    <row r="24" spans="2:8" ht="15" customHeight="1" x14ac:dyDescent="0.2">
      <c r="B24" s="258" t="s">
        <v>1432</v>
      </c>
      <c r="C24" s="243"/>
      <c r="D24" s="254"/>
      <c r="E24" s="254"/>
      <c r="F24" s="254"/>
      <c r="G24" s="254"/>
      <c r="H24" s="21"/>
    </row>
  </sheetData>
  <printOptions horizontalCentered="1"/>
  <pageMargins left="0.7" right="0.7" top="1.15625" bottom="0.75" header="0.3" footer="0.3"/>
  <pageSetup orientation="landscape" horizontalDpi="1200" verticalDpi="1200" r:id="rId1"/>
  <headerFooter scaleWithDoc="0">
    <oddHeader>&amp;CExhibit AEB 1.1, Schedule 11
Test Year Ending December 31, 2021
Utility: MidAmerican Energy Company
Docket No. NG22-___</oddHeader>
    <oddFooter>&amp;CExhibit AEB 1.1, Schedule 11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90"/>
  <sheetViews>
    <sheetView view="pageLayout" zoomScaleNormal="100" zoomScaleSheetLayoutView="100" workbookViewId="0"/>
  </sheetViews>
  <sheetFormatPr defaultRowHeight="15" x14ac:dyDescent="0.25"/>
  <cols>
    <col min="1" max="1" width="42.5703125" style="2" customWidth="1"/>
    <col min="2" max="2" width="8.7109375" style="2"/>
    <col min="3" max="3" width="13.85546875" style="3" customWidth="1"/>
    <col min="4" max="4" width="10.5703125" style="3" customWidth="1"/>
    <col min="5" max="5" width="8.7109375" style="3"/>
    <col min="6" max="6" width="12" style="3" customWidth="1"/>
    <col min="7" max="7" width="11.42578125" style="3" customWidth="1"/>
    <col min="8" max="8" width="8.7109375" style="3"/>
    <col min="9" max="9" width="12.140625" style="3" customWidth="1"/>
    <col min="10" max="10" width="10.140625" style="2" customWidth="1"/>
    <col min="11" max="11" width="12" style="2" customWidth="1"/>
    <col min="12" max="12" width="11.28515625" style="2" customWidth="1"/>
    <col min="13" max="13" width="11.42578125" style="2" customWidth="1"/>
  </cols>
  <sheetData>
    <row r="1" spans="1:13" x14ac:dyDescent="0.25">
      <c r="A1" s="1" t="s">
        <v>33</v>
      </c>
    </row>
    <row r="2" spans="1:13" x14ac:dyDescent="0.25">
      <c r="A2" s="1" t="s">
        <v>34</v>
      </c>
      <c r="B2" s="1">
        <v>30</v>
      </c>
      <c r="C2" s="4" t="s">
        <v>35</v>
      </c>
    </row>
    <row r="3" spans="1:13" x14ac:dyDescent="0.25">
      <c r="A3" s="1" t="s">
        <v>36</v>
      </c>
      <c r="G3" s="289"/>
      <c r="H3" s="289"/>
      <c r="I3" s="289"/>
    </row>
    <row r="4" spans="1:13" ht="15.75" thickBot="1" x14ac:dyDescent="0.3"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f>I4+1</f>
        <v>8</v>
      </c>
      <c r="K4" s="3">
        <f t="shared" ref="K4:M4" si="0">J4+1</f>
        <v>9</v>
      </c>
      <c r="L4" s="3">
        <f t="shared" si="0"/>
        <v>10</v>
      </c>
      <c r="M4" s="3">
        <f t="shared" si="0"/>
        <v>11</v>
      </c>
    </row>
    <row r="5" spans="1:13" ht="39" x14ac:dyDescent="0.25">
      <c r="A5" s="5" t="s">
        <v>37</v>
      </c>
      <c r="B5" s="6"/>
      <c r="C5" s="7" t="s">
        <v>38</v>
      </c>
      <c r="D5" s="7" t="s">
        <v>39</v>
      </c>
      <c r="E5" s="7" t="s">
        <v>40</v>
      </c>
      <c r="F5" s="7" t="s">
        <v>41</v>
      </c>
      <c r="G5" s="7" t="s">
        <v>42</v>
      </c>
      <c r="H5" s="7" t="s">
        <v>43</v>
      </c>
      <c r="I5" s="7" t="s">
        <v>44</v>
      </c>
      <c r="J5" s="7" t="s">
        <v>45</v>
      </c>
      <c r="K5" s="7" t="s">
        <v>46</v>
      </c>
      <c r="L5" s="7" t="s">
        <v>47</v>
      </c>
      <c r="M5" s="7" t="s">
        <v>48</v>
      </c>
    </row>
    <row r="6" spans="1:13" x14ac:dyDescent="0.25">
      <c r="A6" s="8"/>
      <c r="B6" s="8"/>
      <c r="J6" s="3"/>
      <c r="K6" s="3"/>
      <c r="L6" s="3"/>
      <c r="M6" s="3"/>
    </row>
    <row r="7" spans="1:13" x14ac:dyDescent="0.25">
      <c r="A7" s="10" t="s">
        <v>49</v>
      </c>
      <c r="B7" s="11" t="s">
        <v>50</v>
      </c>
      <c r="C7" s="12">
        <v>2.72</v>
      </c>
      <c r="D7" s="12">
        <v>113.02766666666665</v>
      </c>
      <c r="E7" s="9">
        <f>C7/D7</f>
        <v>2.4064904462919114E-2</v>
      </c>
      <c r="F7" s="22">
        <f>IFERROR(E7*(1+0.5*J7),"")</f>
        <v>2.4951295110636634E-2</v>
      </c>
      <c r="G7" s="9">
        <v>7.4999999999999997E-2</v>
      </c>
      <c r="H7" s="9">
        <v>7.2999999999999995E-2</v>
      </c>
      <c r="I7" s="9">
        <v>7.2999999999999995E-2</v>
      </c>
      <c r="J7" s="14">
        <f>AVERAGE(G7:I7)</f>
        <v>7.3666666666666658E-2</v>
      </c>
      <c r="K7" s="22">
        <f>$E7*(1+0.5*MIN($G7:$I7))+MIN($G7:$I7)</f>
        <v>9.7943273475815662E-2</v>
      </c>
      <c r="L7" s="22">
        <f>J7+F7</f>
        <v>9.8617961777303295E-2</v>
      </c>
      <c r="M7" s="22">
        <f>$E7*(1+0.5*MAX($G7:$I7))+MAX($G7:$I7)</f>
        <v>9.9967338380278575E-2</v>
      </c>
    </row>
    <row r="8" spans="1:13" x14ac:dyDescent="0.25">
      <c r="A8" s="10" t="s">
        <v>51</v>
      </c>
      <c r="B8" s="11" t="s">
        <v>52</v>
      </c>
      <c r="C8" s="12">
        <v>1.45</v>
      </c>
      <c r="D8" s="12">
        <v>43.780666666666669</v>
      </c>
      <c r="E8" s="9">
        <f t="shared" ref="E8:E12" si="1">C8/D8</f>
        <v>3.3119641851045357E-2</v>
      </c>
      <c r="F8" s="22">
        <f t="shared" ref="F8:F12" si="2">IFERROR(E8*(1+0.5*J8),"")</f>
        <v>3.4030432001949107E-2</v>
      </c>
      <c r="G8" s="9">
        <v>4.4999999999999998E-2</v>
      </c>
      <c r="H8" s="9">
        <v>0.06</v>
      </c>
      <c r="I8" s="9">
        <v>0.06</v>
      </c>
      <c r="J8" s="14">
        <f t="shared" ref="J8:J12" si="3">AVERAGE(G8:I8)</f>
        <v>5.4999999999999993E-2</v>
      </c>
      <c r="K8" s="22">
        <f t="shared" ref="K8:K12" si="4">$E8*(1+0.5*MIN($G8:$I8))+MIN($G8:$I8)</f>
        <v>7.8864833792693878E-2</v>
      </c>
      <c r="L8" s="22">
        <f t="shared" ref="L8:L12" si="5">J8+F8</f>
        <v>8.90304320019491E-2</v>
      </c>
      <c r="M8" s="22">
        <f t="shared" ref="M8:M12" si="6">$E8*(1+0.5*MAX($G8:$I8))+MAX($G8:$I8)</f>
        <v>9.4113231106576711E-2</v>
      </c>
    </row>
    <row r="9" spans="1:13" x14ac:dyDescent="0.25">
      <c r="A9" s="10" t="s">
        <v>53</v>
      </c>
      <c r="B9" s="11" t="s">
        <v>54</v>
      </c>
      <c r="C9" s="12">
        <v>0.94</v>
      </c>
      <c r="D9" s="12">
        <v>29.836000000000006</v>
      </c>
      <c r="E9" s="9">
        <f t="shared" si="1"/>
        <v>3.1505563748491748E-2</v>
      </c>
      <c r="F9" s="22">
        <f t="shared" si="2"/>
        <v>3.2619810519730078E-2</v>
      </c>
      <c r="G9" s="9">
        <v>0.105</v>
      </c>
      <c r="H9" s="9">
        <v>3.5200000000000002E-2</v>
      </c>
      <c r="I9" s="9">
        <v>7.2000000000000008E-2</v>
      </c>
      <c r="J9" s="14">
        <f t="shared" si="3"/>
        <v>7.0733333333333329E-2</v>
      </c>
      <c r="K9" s="22">
        <f t="shared" si="4"/>
        <v>6.7260061670465207E-2</v>
      </c>
      <c r="L9" s="22">
        <f t="shared" si="5"/>
        <v>0.10335314385306341</v>
      </c>
      <c r="M9" s="22">
        <f t="shared" si="6"/>
        <v>0.13815960584528755</v>
      </c>
    </row>
    <row r="10" spans="1:13" x14ac:dyDescent="0.25">
      <c r="A10" s="10" t="s">
        <v>55</v>
      </c>
      <c r="B10" s="11" t="s">
        <v>56</v>
      </c>
      <c r="C10" s="12">
        <v>1.93</v>
      </c>
      <c r="D10" s="12">
        <v>52.599000000000004</v>
      </c>
      <c r="E10" s="9">
        <f t="shared" si="1"/>
        <v>3.6692712789216521E-2</v>
      </c>
      <c r="F10" s="22">
        <f t="shared" si="2"/>
        <v>3.7720108747314587E-2</v>
      </c>
      <c r="G10" s="9">
        <v>0.06</v>
      </c>
      <c r="H10" s="9">
        <v>5.7000000000000002E-2</v>
      </c>
      <c r="I10" s="9">
        <v>5.0999999999999997E-2</v>
      </c>
      <c r="J10" s="14">
        <f t="shared" si="3"/>
        <v>5.5999999999999994E-2</v>
      </c>
      <c r="K10" s="22">
        <f t="shared" si="4"/>
        <v>8.8628376965341538E-2</v>
      </c>
      <c r="L10" s="22">
        <f t="shared" si="5"/>
        <v>9.3720108747314582E-2</v>
      </c>
      <c r="M10" s="22">
        <f t="shared" si="6"/>
        <v>9.7793494172893014E-2</v>
      </c>
    </row>
    <row r="11" spans="1:13" ht="14.1" customHeight="1" x14ac:dyDescent="0.25">
      <c r="A11" s="10" t="s">
        <v>57</v>
      </c>
      <c r="B11" s="11" t="s">
        <v>58</v>
      </c>
      <c r="C11" s="12">
        <v>2.48</v>
      </c>
      <c r="D11" s="12">
        <v>83.902000000000015</v>
      </c>
      <c r="E11" s="9">
        <f t="shared" si="1"/>
        <v>2.9558294200376624E-2</v>
      </c>
      <c r="F11" s="22">
        <f t="shared" si="2"/>
        <v>3.0243061349352011E-2</v>
      </c>
      <c r="G11" s="9">
        <v>0.06</v>
      </c>
      <c r="H11" s="9">
        <v>2.8999999999999998E-2</v>
      </c>
      <c r="I11" s="9">
        <v>0.05</v>
      </c>
      <c r="J11" s="14">
        <f t="shared" si="3"/>
        <v>4.6333333333333337E-2</v>
      </c>
      <c r="K11" s="22">
        <f t="shared" si="4"/>
        <v>5.8986889466282083E-2</v>
      </c>
      <c r="L11" s="22">
        <f t="shared" si="5"/>
        <v>7.6576394682685345E-2</v>
      </c>
      <c r="M11" s="22">
        <f t="shared" si="6"/>
        <v>9.0445043026387922E-2</v>
      </c>
    </row>
    <row r="12" spans="1:13" x14ac:dyDescent="0.25">
      <c r="A12" s="15" t="s">
        <v>59</v>
      </c>
      <c r="B12" s="16" t="s">
        <v>60</v>
      </c>
      <c r="C12" s="17">
        <v>2.74</v>
      </c>
      <c r="D12" s="17">
        <v>67.667333333333318</v>
      </c>
      <c r="E12" s="18">
        <f t="shared" si="1"/>
        <v>4.0492211899390167E-2</v>
      </c>
      <c r="F12" s="19">
        <f t="shared" si="2"/>
        <v>4.1950606397966529E-2</v>
      </c>
      <c r="G12" s="18">
        <v>0.09</v>
      </c>
      <c r="H12" s="18">
        <v>7.3099999999999998E-2</v>
      </c>
      <c r="I12" s="18">
        <v>5.2999999999999999E-2</v>
      </c>
      <c r="J12" s="20">
        <f t="shared" si="3"/>
        <v>7.2033333333333324E-2</v>
      </c>
      <c r="K12" s="19">
        <f t="shared" si="4"/>
        <v>9.4565255514724E-2</v>
      </c>
      <c r="L12" s="19">
        <f t="shared" si="5"/>
        <v>0.11398393973129986</v>
      </c>
      <c r="M12" s="19">
        <f t="shared" si="6"/>
        <v>0.13231436143486272</v>
      </c>
    </row>
    <row r="13" spans="1:13" x14ac:dyDescent="0.25">
      <c r="A13" s="10" t="s">
        <v>6</v>
      </c>
      <c r="E13" s="14">
        <f>AVERAGE(E7:E12)</f>
        <v>3.257222149190659E-2</v>
      </c>
      <c r="F13" s="14">
        <f t="shared" ref="F13:M13" si="7">AVERAGE(F7:F12)</f>
        <v>3.3585885687824821E-2</v>
      </c>
      <c r="G13" s="14">
        <f t="shared" si="7"/>
        <v>7.2499999999999995E-2</v>
      </c>
      <c r="H13" s="14">
        <f t="shared" si="7"/>
        <v>5.4549999999999994E-2</v>
      </c>
      <c r="I13" s="14">
        <f t="shared" si="7"/>
        <v>5.9833333333333329E-2</v>
      </c>
      <c r="J13" s="14">
        <f t="shared" si="7"/>
        <v>6.2294444444444437E-2</v>
      </c>
      <c r="K13" s="14">
        <f t="shared" si="7"/>
        <v>8.1041448480887054E-2</v>
      </c>
      <c r="L13" s="14">
        <f t="shared" si="7"/>
        <v>9.5880330132269265E-2</v>
      </c>
      <c r="M13" s="14">
        <f t="shared" si="7"/>
        <v>0.10879884566104775</v>
      </c>
    </row>
    <row r="14" spans="1:13" x14ac:dyDescent="0.25">
      <c r="A14" s="10" t="s">
        <v>14</v>
      </c>
      <c r="E14" s="14">
        <f>MEDIAN(E7:E12)</f>
        <v>3.2312602799768553E-2</v>
      </c>
      <c r="F14" s="14">
        <f t="shared" ref="F14:M14" si="8">MEDIAN(F7:F12)</f>
        <v>3.3325121260839592E-2</v>
      </c>
      <c r="G14" s="14">
        <f t="shared" si="8"/>
        <v>6.7500000000000004E-2</v>
      </c>
      <c r="H14" s="14">
        <f t="shared" si="8"/>
        <v>5.8499999999999996E-2</v>
      </c>
      <c r="I14" s="14">
        <f t="shared" si="8"/>
        <v>5.6499999999999995E-2</v>
      </c>
      <c r="J14" s="14">
        <f t="shared" si="8"/>
        <v>6.3366666666666654E-2</v>
      </c>
      <c r="K14" s="14">
        <f t="shared" si="8"/>
        <v>8.3746605379017708E-2</v>
      </c>
      <c r="L14" s="14">
        <f t="shared" si="8"/>
        <v>9.6169035262308938E-2</v>
      </c>
      <c r="M14" s="14">
        <f t="shared" si="8"/>
        <v>9.8880416276585795E-2</v>
      </c>
    </row>
    <row r="15" spans="1:13" x14ac:dyDescent="0.25">
      <c r="J15" s="3"/>
      <c r="K15" s="3"/>
      <c r="L15" s="3"/>
      <c r="M15" s="3"/>
    </row>
    <row r="16" spans="1:13" x14ac:dyDescent="0.25">
      <c r="A16" s="76" t="s">
        <v>61</v>
      </c>
      <c r="J16" s="3"/>
      <c r="K16" s="3"/>
      <c r="L16" s="3"/>
      <c r="M16" s="3"/>
    </row>
    <row r="17" spans="1:13" x14ac:dyDescent="0.25">
      <c r="A17" s="2" t="s">
        <v>62</v>
      </c>
      <c r="J17" s="3"/>
      <c r="K17" s="3"/>
      <c r="L17" s="3"/>
      <c r="M17" s="3"/>
    </row>
    <row r="18" spans="1:13" x14ac:dyDescent="0.25">
      <c r="A18" s="2" t="s">
        <v>63</v>
      </c>
      <c r="J18" s="3"/>
      <c r="K18" s="3"/>
      <c r="L18" s="3"/>
      <c r="M18" s="3"/>
    </row>
    <row r="19" spans="1:13" x14ac:dyDescent="0.25">
      <c r="A19" s="2" t="s">
        <v>64</v>
      </c>
    </row>
    <row r="20" spans="1:13" x14ac:dyDescent="0.25">
      <c r="A20" s="2" t="s">
        <v>65</v>
      </c>
    </row>
    <row r="21" spans="1:13" x14ac:dyDescent="0.25">
      <c r="A21" s="2" t="s">
        <v>66</v>
      </c>
    </row>
    <row r="22" spans="1:13" x14ac:dyDescent="0.25">
      <c r="A22" s="2" t="s">
        <v>67</v>
      </c>
    </row>
    <row r="23" spans="1:13" x14ac:dyDescent="0.25">
      <c r="A23" s="2" t="s">
        <v>68</v>
      </c>
    </row>
    <row r="24" spans="1:13" x14ac:dyDescent="0.25">
      <c r="A24" s="2" t="s">
        <v>69</v>
      </c>
    </row>
    <row r="25" spans="1:13" x14ac:dyDescent="0.25">
      <c r="A25" s="2" t="s">
        <v>70</v>
      </c>
    </row>
    <row r="26" spans="1:13" x14ac:dyDescent="0.25">
      <c r="A26" s="2" t="s">
        <v>71</v>
      </c>
    </row>
    <row r="27" spans="1:13" x14ac:dyDescent="0.25">
      <c r="A27" s="2" t="s">
        <v>72</v>
      </c>
    </row>
    <row r="29" spans="1:13" x14ac:dyDescent="0.25">
      <c r="A29" s="1" t="s">
        <v>33</v>
      </c>
    </row>
    <row r="30" spans="1:13" x14ac:dyDescent="0.25">
      <c r="A30" s="1" t="s">
        <v>34</v>
      </c>
      <c r="B30" s="1">
        <v>90</v>
      </c>
      <c r="C30" s="4" t="s">
        <v>35</v>
      </c>
    </row>
    <row r="31" spans="1:13" x14ac:dyDescent="0.25">
      <c r="A31" s="1" t="str">
        <f>A3</f>
        <v>MIDAMERICAN GAS PROXY GROUP</v>
      </c>
    </row>
    <row r="32" spans="1:13" x14ac:dyDescent="0.25">
      <c r="G32" s="289"/>
      <c r="H32" s="289"/>
      <c r="I32" s="289"/>
    </row>
    <row r="33" spans="1:13" ht="15.75" thickBot="1" x14ac:dyDescent="0.3">
      <c r="C33" s="3">
        <v>1</v>
      </c>
      <c r="D33" s="3">
        <v>2</v>
      </c>
      <c r="E33" s="3">
        <v>3</v>
      </c>
      <c r="F33" s="3">
        <v>4</v>
      </c>
      <c r="G33" s="3">
        <v>5</v>
      </c>
      <c r="H33" s="3">
        <v>6</v>
      </c>
      <c r="I33" s="3">
        <v>7</v>
      </c>
      <c r="J33" s="3">
        <f>I33+1</f>
        <v>8</v>
      </c>
      <c r="K33" s="3">
        <f t="shared" ref="K33:M33" si="9">J33+1</f>
        <v>9</v>
      </c>
      <c r="L33" s="3">
        <f t="shared" si="9"/>
        <v>10</v>
      </c>
      <c r="M33" s="3">
        <f t="shared" si="9"/>
        <v>11</v>
      </c>
    </row>
    <row r="34" spans="1:13" ht="39" x14ac:dyDescent="0.25">
      <c r="A34" s="5" t="s">
        <v>37</v>
      </c>
      <c r="B34" s="6"/>
      <c r="C34" s="7" t="s">
        <v>38</v>
      </c>
      <c r="D34" s="7" t="s">
        <v>39</v>
      </c>
      <c r="E34" s="7" t="s">
        <v>40</v>
      </c>
      <c r="F34" s="7" t="s">
        <v>41</v>
      </c>
      <c r="G34" s="7" t="s">
        <v>42</v>
      </c>
      <c r="H34" s="7" t="s">
        <v>43</v>
      </c>
      <c r="I34" s="7" t="s">
        <v>44</v>
      </c>
      <c r="J34" s="7" t="s">
        <v>45</v>
      </c>
      <c r="K34" s="7" t="s">
        <v>46</v>
      </c>
      <c r="L34" s="7" t="s">
        <v>47</v>
      </c>
      <c r="M34" s="7" t="s">
        <v>48</v>
      </c>
    </row>
    <row r="35" spans="1:13" x14ac:dyDescent="0.25">
      <c r="A35" s="8"/>
      <c r="B35" s="8"/>
      <c r="J35" s="3"/>
      <c r="K35" s="3"/>
      <c r="L35" s="3"/>
      <c r="M35" s="3"/>
    </row>
    <row r="36" spans="1:13" x14ac:dyDescent="0.25">
      <c r="A36" s="10" t="s">
        <v>49</v>
      </c>
      <c r="B36" s="11" t="s">
        <v>50</v>
      </c>
      <c r="C36" s="12">
        <f>C7</f>
        <v>2.72</v>
      </c>
      <c r="D36" s="12">
        <v>105.55477777777776</v>
      </c>
      <c r="E36" s="9">
        <f>C36/D36</f>
        <v>2.5768610926606834E-2</v>
      </c>
      <c r="F36" s="22">
        <f>IFERROR(E36*(1+0.5*J36),"")</f>
        <v>2.6717754762403519E-2</v>
      </c>
      <c r="G36" s="9">
        <f t="shared" ref="G36:I38" si="10">G7</f>
        <v>7.4999999999999997E-2</v>
      </c>
      <c r="H36" s="9">
        <f t="shared" si="10"/>
        <v>7.2999999999999995E-2</v>
      </c>
      <c r="I36" s="9">
        <f t="shared" si="10"/>
        <v>7.2999999999999995E-2</v>
      </c>
      <c r="J36" s="14">
        <f>AVERAGE(G36:I36)</f>
        <v>7.3666666666666658E-2</v>
      </c>
      <c r="K36" s="13">
        <f>$E36*(1+0.5*MIN($G36:$I36))+MIN($G36:$I36)</f>
        <v>9.970916522542797E-2</v>
      </c>
      <c r="L36" s="13">
        <f>J36+F36</f>
        <v>0.10038442142907017</v>
      </c>
      <c r="M36" s="13">
        <f>$E36*(1+0.5*MAX($G36:$I36))+MAX($G36:$I36)</f>
        <v>0.1017349338363546</v>
      </c>
    </row>
    <row r="37" spans="1:13" x14ac:dyDescent="0.25">
      <c r="A37" s="10" t="s">
        <v>51</v>
      </c>
      <c r="B37" s="11" t="s">
        <v>52</v>
      </c>
      <c r="C37" s="12">
        <f t="shared" ref="C37:C41" si="11">C8</f>
        <v>1.45</v>
      </c>
      <c r="D37" s="12">
        <v>40.995666666666658</v>
      </c>
      <c r="E37" s="9">
        <f t="shared" ref="E37:E41" si="12">C37/D37</f>
        <v>3.5369591908087854E-2</v>
      </c>
      <c r="F37" s="22">
        <f t="shared" ref="F37:F41" si="13">IFERROR(E37*(1+0.5*J37),"")</f>
        <v>3.6342255685560272E-2</v>
      </c>
      <c r="G37" s="9">
        <f t="shared" si="10"/>
        <v>4.4999999999999998E-2</v>
      </c>
      <c r="H37" s="9">
        <f t="shared" si="10"/>
        <v>0.06</v>
      </c>
      <c r="I37" s="9">
        <f t="shared" si="10"/>
        <v>0.06</v>
      </c>
      <c r="J37" s="14">
        <f t="shared" ref="J37:J41" si="14">AVERAGE(G37:I37)</f>
        <v>5.4999999999999993E-2</v>
      </c>
      <c r="K37" s="13">
        <f t="shared" ref="K37:K41" si="15">$E37*(1+0.5*MIN($G37:$I37))+MIN($G37:$I37)</f>
        <v>8.1165407726019823E-2</v>
      </c>
      <c r="L37" s="13">
        <f t="shared" ref="L37:L41" si="16">J37+F37</f>
        <v>9.1342255685560259E-2</v>
      </c>
      <c r="M37" s="13">
        <f t="shared" ref="M37:M41" si="17">$E37*(1+0.5*MAX($G37:$I37))+MAX($G37:$I37)</f>
        <v>9.643067966533049E-2</v>
      </c>
    </row>
    <row r="38" spans="1:13" x14ac:dyDescent="0.25">
      <c r="A38" s="10" t="s">
        <v>53</v>
      </c>
      <c r="B38" s="11" t="s">
        <v>54</v>
      </c>
      <c r="C38" s="12">
        <f t="shared" si="11"/>
        <v>0.94</v>
      </c>
      <c r="D38" s="12">
        <v>28.134555555555536</v>
      </c>
      <c r="E38" s="9">
        <f t="shared" si="12"/>
        <v>3.3410870775756212E-2</v>
      </c>
      <c r="F38" s="22">
        <f t="shared" si="13"/>
        <v>3.4592501905525458E-2</v>
      </c>
      <c r="G38" s="9">
        <f t="shared" si="10"/>
        <v>0.105</v>
      </c>
      <c r="H38" s="9">
        <f t="shared" si="10"/>
        <v>3.5200000000000002E-2</v>
      </c>
      <c r="I38" s="9">
        <f t="shared" si="10"/>
        <v>7.2000000000000008E-2</v>
      </c>
      <c r="J38" s="14">
        <f t="shared" si="14"/>
        <v>7.0733333333333329E-2</v>
      </c>
      <c r="K38" s="13">
        <f t="shared" si="15"/>
        <v>6.9198902101409526E-2</v>
      </c>
      <c r="L38" s="13">
        <f t="shared" si="16"/>
        <v>0.10532583523885879</v>
      </c>
      <c r="M38" s="13">
        <f t="shared" si="17"/>
        <v>0.1401649414914834</v>
      </c>
    </row>
    <row r="39" spans="1:13" x14ac:dyDescent="0.25">
      <c r="A39" s="10" t="str">
        <f>A10</f>
        <v>Northwest Natural Gas Company</v>
      </c>
      <c r="B39" s="11" t="str">
        <f>B10</f>
        <v>NWN</v>
      </c>
      <c r="C39" s="12">
        <f t="shared" si="11"/>
        <v>1.93</v>
      </c>
      <c r="D39" s="12">
        <v>49.055000000000007</v>
      </c>
      <c r="E39" s="9">
        <f t="shared" si="12"/>
        <v>3.9343593925186007E-2</v>
      </c>
      <c r="F39" s="22">
        <f t="shared" si="13"/>
        <v>4.0445214555091216E-2</v>
      </c>
      <c r="G39" s="9">
        <f>G10</f>
        <v>0.06</v>
      </c>
      <c r="H39" s="9">
        <f t="shared" ref="H39:I39" si="18">H10</f>
        <v>5.7000000000000002E-2</v>
      </c>
      <c r="I39" s="9">
        <f t="shared" si="18"/>
        <v>5.0999999999999997E-2</v>
      </c>
      <c r="J39" s="14">
        <f t="shared" ref="J39" si="19">AVERAGE(G39:I39)</f>
        <v>5.5999999999999994E-2</v>
      </c>
      <c r="K39" s="13">
        <f t="shared" si="15"/>
        <v>9.1346855570278246E-2</v>
      </c>
      <c r="L39" s="13">
        <f t="shared" ref="L39" si="20">J39+F39</f>
        <v>9.644521455509121E-2</v>
      </c>
      <c r="M39" s="13">
        <f t="shared" si="17"/>
        <v>0.1005239017429416</v>
      </c>
    </row>
    <row r="40" spans="1:13" x14ac:dyDescent="0.25">
      <c r="A40" s="10" t="s">
        <v>57</v>
      </c>
      <c r="B40" s="11" t="s">
        <v>58</v>
      </c>
      <c r="C40" s="12">
        <f t="shared" si="11"/>
        <v>2.48</v>
      </c>
      <c r="D40" s="12">
        <v>77.790555555555571</v>
      </c>
      <c r="E40" s="9">
        <f t="shared" si="12"/>
        <v>3.1880476778814899E-2</v>
      </c>
      <c r="F40" s="22">
        <f t="shared" si="13"/>
        <v>3.2619041157524106E-2</v>
      </c>
      <c r="G40" s="9">
        <f>G11</f>
        <v>0.06</v>
      </c>
      <c r="H40" s="9">
        <f>H11</f>
        <v>2.8999999999999998E-2</v>
      </c>
      <c r="I40" s="9">
        <f>I11</f>
        <v>0.05</v>
      </c>
      <c r="J40" s="14">
        <f t="shared" si="14"/>
        <v>4.6333333333333337E-2</v>
      </c>
      <c r="K40" s="13">
        <f t="shared" si="15"/>
        <v>6.134274369210771E-2</v>
      </c>
      <c r="L40" s="13">
        <f t="shared" si="16"/>
        <v>7.8952374490857444E-2</v>
      </c>
      <c r="M40" s="13">
        <f t="shared" si="17"/>
        <v>9.2836891082179351E-2</v>
      </c>
    </row>
    <row r="41" spans="1:13" x14ac:dyDescent="0.25">
      <c r="A41" s="15" t="s">
        <v>59</v>
      </c>
      <c r="B41" s="16" t="s">
        <v>60</v>
      </c>
      <c r="C41" s="17">
        <f t="shared" si="11"/>
        <v>2.74</v>
      </c>
      <c r="D41" s="17">
        <v>65.296555555555543</v>
      </c>
      <c r="E41" s="18">
        <f t="shared" si="12"/>
        <v>4.1962397199784243E-2</v>
      </c>
      <c r="F41" s="19">
        <f t="shared" si="13"/>
        <v>4.3473742872263132E-2</v>
      </c>
      <c r="G41" s="18">
        <f>G12</f>
        <v>0.09</v>
      </c>
      <c r="H41" s="18">
        <f>H12</f>
        <v>7.3099999999999998E-2</v>
      </c>
      <c r="I41" s="18">
        <f>I12</f>
        <v>5.2999999999999999E-2</v>
      </c>
      <c r="J41" s="20">
        <f t="shared" si="14"/>
        <v>7.2033333333333324E-2</v>
      </c>
      <c r="K41" s="19">
        <f t="shared" si="15"/>
        <v>9.6074400725578518E-2</v>
      </c>
      <c r="L41" s="19">
        <f t="shared" si="16"/>
        <v>0.11550707620559646</v>
      </c>
      <c r="M41" s="19">
        <f t="shared" si="17"/>
        <v>0.13385070507377453</v>
      </c>
    </row>
    <row r="42" spans="1:13" x14ac:dyDescent="0.25">
      <c r="A42" s="10" t="s">
        <v>6</v>
      </c>
      <c r="E42" s="14">
        <f>AVERAGE(E36:E41)</f>
        <v>3.4622590252372666E-2</v>
      </c>
      <c r="F42" s="14">
        <f t="shared" ref="F42" si="21">AVERAGE(F36:F41)</f>
        <v>3.5698418489727955E-2</v>
      </c>
      <c r="G42" s="14">
        <f t="shared" ref="G42" si="22">AVERAGE(G36:G41)</f>
        <v>7.2499999999999995E-2</v>
      </c>
      <c r="H42" s="14">
        <f t="shared" ref="H42" si="23">AVERAGE(H36:H41)</f>
        <v>5.4549999999999994E-2</v>
      </c>
      <c r="I42" s="14">
        <f t="shared" ref="I42" si="24">AVERAGE(I36:I41)</f>
        <v>5.9833333333333329E-2</v>
      </c>
      <c r="J42" s="14">
        <f t="shared" ref="J42" si="25">AVERAGE(J36:J41)</f>
        <v>6.2294444444444437E-2</v>
      </c>
      <c r="K42" s="14">
        <f t="shared" ref="K42" si="26">AVERAGE(K36:K41)</f>
        <v>8.3139579173470299E-2</v>
      </c>
      <c r="L42" s="14">
        <f t="shared" ref="L42" si="27">AVERAGE(L36:L41)</f>
        <v>9.7992862934172378E-2</v>
      </c>
      <c r="M42" s="14">
        <f t="shared" ref="M42" si="28">AVERAGE(M36:M41)</f>
        <v>0.11092367548201065</v>
      </c>
    </row>
    <row r="43" spans="1:13" x14ac:dyDescent="0.25">
      <c r="A43" s="10" t="s">
        <v>14</v>
      </c>
      <c r="E43" s="14">
        <f>MEDIAN(E36:E41)</f>
        <v>3.4390231341922033E-2</v>
      </c>
      <c r="F43" s="14">
        <f t="shared" ref="F43:M43" si="29">MEDIAN(F36:F41)</f>
        <v>3.5467378795542862E-2</v>
      </c>
      <c r="G43" s="14">
        <f t="shared" si="29"/>
        <v>6.7500000000000004E-2</v>
      </c>
      <c r="H43" s="14">
        <f t="shared" si="29"/>
        <v>5.8499999999999996E-2</v>
      </c>
      <c r="I43" s="14">
        <f t="shared" si="29"/>
        <v>5.6499999999999995E-2</v>
      </c>
      <c r="J43" s="14">
        <f t="shared" si="29"/>
        <v>6.3366666666666654E-2</v>
      </c>
      <c r="K43" s="14">
        <f t="shared" si="29"/>
        <v>8.6256131648149034E-2</v>
      </c>
      <c r="L43" s="14">
        <f t="shared" si="29"/>
        <v>9.8414817992080683E-2</v>
      </c>
      <c r="M43" s="14">
        <f t="shared" si="29"/>
        <v>0.1011294177896481</v>
      </c>
    </row>
    <row r="45" spans="1:13" x14ac:dyDescent="0.25">
      <c r="A45" s="76" t="s">
        <v>61</v>
      </c>
    </row>
    <row r="46" spans="1:13" x14ac:dyDescent="0.25">
      <c r="A46" s="2" t="str">
        <f>A17</f>
        <v>[1] Source: Bloomberg Professional as of March 31, 2022</v>
      </c>
    </row>
    <row r="47" spans="1:13" x14ac:dyDescent="0.25">
      <c r="A47" s="2" t="s">
        <v>73</v>
      </c>
    </row>
    <row r="48" spans="1:13" x14ac:dyDescent="0.25">
      <c r="A48" s="2" t="str">
        <f>A19</f>
        <v>[3] Equals [1]/[2]</v>
      </c>
    </row>
    <row r="49" spans="1:3" x14ac:dyDescent="0.25">
      <c r="A49" s="2" t="str">
        <f t="shared" ref="A49:A56" si="30">A20</f>
        <v>[4] Equals [3] x (1+0.5 x[8])</v>
      </c>
    </row>
    <row r="50" spans="1:3" x14ac:dyDescent="0.25">
      <c r="A50" s="2" t="str">
        <f t="shared" si="30"/>
        <v>[5] Source: Value Line</v>
      </c>
    </row>
    <row r="51" spans="1:3" x14ac:dyDescent="0.25">
      <c r="A51" s="2" t="str">
        <f t="shared" si="30"/>
        <v>[6] Source: Yahoo! Finance</v>
      </c>
    </row>
    <row r="52" spans="1:3" x14ac:dyDescent="0.25">
      <c r="A52" s="2" t="str">
        <f t="shared" si="30"/>
        <v>[7] Source: Zacks</v>
      </c>
    </row>
    <row r="53" spans="1:3" x14ac:dyDescent="0.25">
      <c r="A53" s="2" t="str">
        <f t="shared" si="30"/>
        <v>[8] Equals average of [5], [6], [7]</v>
      </c>
    </row>
    <row r="54" spans="1:3" x14ac:dyDescent="0.25">
      <c r="A54" s="2" t="str">
        <f t="shared" si="30"/>
        <v>[9] Equals [3] x (1+0.5x(min([5], [6]. [7]))+(min([5], [6]. [7])</v>
      </c>
    </row>
    <row r="55" spans="1:3" x14ac:dyDescent="0.25">
      <c r="A55" s="2" t="str">
        <f t="shared" si="30"/>
        <v>[10] Equals [4] + [8]</v>
      </c>
    </row>
    <row r="56" spans="1:3" x14ac:dyDescent="0.25">
      <c r="A56" s="2" t="str">
        <f t="shared" si="30"/>
        <v>[11] Equals [3] x (1+0.5x(max([5], [6]. [7]))+(max([5], [6]. [7])</v>
      </c>
    </row>
    <row r="62" spans="1:3" x14ac:dyDescent="0.25">
      <c r="A62" s="1" t="s">
        <v>33</v>
      </c>
    </row>
    <row r="63" spans="1:3" x14ac:dyDescent="0.25">
      <c r="A63" s="1" t="s">
        <v>34</v>
      </c>
      <c r="B63" s="1">
        <v>180</v>
      </c>
      <c r="C63" s="4" t="s">
        <v>35</v>
      </c>
    </row>
    <row r="64" spans="1:3" x14ac:dyDescent="0.25">
      <c r="A64" s="1" t="str">
        <f>A3</f>
        <v>MIDAMERICAN GAS PROXY GROUP</v>
      </c>
    </row>
    <row r="66" spans="1:13" x14ac:dyDescent="0.25">
      <c r="G66" s="289"/>
      <c r="H66" s="289"/>
      <c r="I66" s="289"/>
    </row>
    <row r="67" spans="1:13" ht="15.75" thickBot="1" x14ac:dyDescent="0.3">
      <c r="C67" s="3">
        <v>1</v>
      </c>
      <c r="D67" s="3">
        <v>2</v>
      </c>
      <c r="E67" s="3">
        <v>3</v>
      </c>
      <c r="F67" s="3">
        <v>4</v>
      </c>
      <c r="G67" s="3">
        <v>5</v>
      </c>
      <c r="H67" s="3">
        <v>6</v>
      </c>
      <c r="I67" s="3">
        <v>7</v>
      </c>
      <c r="J67" s="3">
        <f>I67+1</f>
        <v>8</v>
      </c>
      <c r="K67" s="3">
        <f t="shared" ref="K67:M67" si="31">J67+1</f>
        <v>9</v>
      </c>
      <c r="L67" s="3">
        <f t="shared" si="31"/>
        <v>10</v>
      </c>
      <c r="M67" s="3">
        <f t="shared" si="31"/>
        <v>11</v>
      </c>
    </row>
    <row r="68" spans="1:13" ht="39" x14ac:dyDescent="0.25">
      <c r="A68" s="5" t="s">
        <v>37</v>
      </c>
      <c r="B68" s="6"/>
      <c r="C68" s="7" t="s">
        <v>38</v>
      </c>
      <c r="D68" s="7" t="s">
        <v>39</v>
      </c>
      <c r="E68" s="7" t="s">
        <v>40</v>
      </c>
      <c r="F68" s="7" t="s">
        <v>41</v>
      </c>
      <c r="G68" s="7" t="s">
        <v>42</v>
      </c>
      <c r="H68" s="7" t="s">
        <v>43</v>
      </c>
      <c r="I68" s="7" t="s">
        <v>44</v>
      </c>
      <c r="J68" s="7" t="s">
        <v>45</v>
      </c>
      <c r="K68" s="7" t="s">
        <v>46</v>
      </c>
      <c r="L68" s="7" t="s">
        <v>47</v>
      </c>
      <c r="M68" s="7" t="s">
        <v>48</v>
      </c>
    </row>
    <row r="69" spans="1:13" x14ac:dyDescent="0.25">
      <c r="A69" s="8"/>
      <c r="B69" s="8"/>
      <c r="J69" s="3"/>
      <c r="K69" s="3"/>
      <c r="L69" s="3"/>
      <c r="M69" s="3"/>
    </row>
    <row r="70" spans="1:13" x14ac:dyDescent="0.25">
      <c r="A70" s="10" t="s">
        <v>49</v>
      </c>
      <c r="B70" s="11" t="s">
        <v>50</v>
      </c>
      <c r="C70" s="12">
        <f>C36</f>
        <v>2.72</v>
      </c>
      <c r="D70" s="12">
        <v>100.2378888888889</v>
      </c>
      <c r="E70" s="9">
        <f>C70/D70</f>
        <v>2.7135447784769784E-2</v>
      </c>
      <c r="F70" s="22">
        <f>IFERROR(E70*(1+0.5*J70),"")</f>
        <v>2.8134936778175468E-2</v>
      </c>
      <c r="G70" s="9">
        <f>G36</f>
        <v>7.4999999999999997E-2</v>
      </c>
      <c r="H70" s="9">
        <f>H36</f>
        <v>7.2999999999999995E-2</v>
      </c>
      <c r="I70" s="9">
        <f>I36</f>
        <v>7.2999999999999995E-2</v>
      </c>
      <c r="J70" s="14">
        <f>AVERAGE(G70:I70)</f>
        <v>7.3666666666666658E-2</v>
      </c>
      <c r="K70" s="13">
        <f>$E70*(1+0.5*MIN($G70:$I70))+MIN($G70:$I70)</f>
        <v>0.10112589162891387</v>
      </c>
      <c r="L70" s="13">
        <f>J70+F70</f>
        <v>0.10180160344484213</v>
      </c>
      <c r="M70" s="13">
        <f>$E70*(1+0.5*MAX($G70:$I70))+MAX($G70:$I70)</f>
        <v>0.10315302707669866</v>
      </c>
    </row>
    <row r="71" spans="1:13" x14ac:dyDescent="0.25">
      <c r="A71" s="10" t="s">
        <v>51</v>
      </c>
      <c r="B71" s="11" t="s">
        <v>52</v>
      </c>
      <c r="C71" s="12">
        <f t="shared" ref="C71:C75" si="32">C37</f>
        <v>1.45</v>
      </c>
      <c r="D71" s="12">
        <v>39.31838888888889</v>
      </c>
      <c r="E71" s="9">
        <f t="shared" ref="E71:E75" si="33">C71/D71</f>
        <v>3.6878418495162706E-2</v>
      </c>
      <c r="F71" s="22">
        <f t="shared" ref="F71:F75" si="34">IFERROR(E71*(1+0.5*J71),"")</f>
        <v>3.7892575003779683E-2</v>
      </c>
      <c r="G71" s="9">
        <f>G37</f>
        <v>4.4999999999999998E-2</v>
      </c>
      <c r="H71" s="9">
        <f t="shared" ref="H71:I75" si="35">H37</f>
        <v>0.06</v>
      </c>
      <c r="I71" s="9">
        <f t="shared" si="35"/>
        <v>0.06</v>
      </c>
      <c r="J71" s="14">
        <f t="shared" ref="J71:J75" si="36">AVERAGE(G71:I71)</f>
        <v>5.4999999999999993E-2</v>
      </c>
      <c r="K71" s="13">
        <f t="shared" ref="K71:K75" si="37">$E71*(1+0.5*MIN($G71:$I71))+MIN($G71:$I71)</f>
        <v>8.2708182911303857E-2</v>
      </c>
      <c r="L71" s="13">
        <f t="shared" ref="L71:L75" si="38">J71+F71</f>
        <v>9.2892575003779676E-2</v>
      </c>
      <c r="M71" s="13">
        <f t="shared" ref="M71:M75" si="39">$E71*(1+0.5*MAX($G71:$I71))+MAX($G71:$I71)</f>
        <v>9.7984771050017586E-2</v>
      </c>
    </row>
    <row r="72" spans="1:13" x14ac:dyDescent="0.25">
      <c r="A72" s="10" t="s">
        <v>53</v>
      </c>
      <c r="B72" s="11" t="s">
        <v>54</v>
      </c>
      <c r="C72" s="12">
        <f t="shared" si="32"/>
        <v>0.94</v>
      </c>
      <c r="D72" s="12">
        <v>26.515333333333334</v>
      </c>
      <c r="E72" s="9">
        <f t="shared" si="33"/>
        <v>3.5451185477585294E-2</v>
      </c>
      <c r="F72" s="22">
        <f t="shared" si="34"/>
        <v>3.6704975737309228E-2</v>
      </c>
      <c r="G72" s="9">
        <f>G38</f>
        <v>0.105</v>
      </c>
      <c r="H72" s="9">
        <f t="shared" si="35"/>
        <v>3.5200000000000002E-2</v>
      </c>
      <c r="I72" s="9">
        <f t="shared" si="35"/>
        <v>7.2000000000000008E-2</v>
      </c>
      <c r="J72" s="14">
        <f t="shared" si="36"/>
        <v>7.0733333333333329E-2</v>
      </c>
      <c r="K72" s="13">
        <f t="shared" si="37"/>
        <v>7.1275126341990791E-2</v>
      </c>
      <c r="L72" s="13">
        <f t="shared" si="38"/>
        <v>0.10743830907064256</v>
      </c>
      <c r="M72" s="13">
        <f t="shared" si="39"/>
        <v>0.14231237271515851</v>
      </c>
    </row>
    <row r="73" spans="1:13" x14ac:dyDescent="0.25">
      <c r="A73" s="10" t="str">
        <f>A10</f>
        <v>Northwest Natural Gas Company</v>
      </c>
      <c r="B73" s="11" t="str">
        <f>B10</f>
        <v>NWN</v>
      </c>
      <c r="C73" s="12">
        <f t="shared" si="32"/>
        <v>1.93</v>
      </c>
      <c r="D73" s="12">
        <v>49.089333333333322</v>
      </c>
      <c r="E73" s="9">
        <f t="shared" si="33"/>
        <v>3.9316076812342129E-2</v>
      </c>
      <c r="F73" s="22">
        <f t="shared" si="34"/>
        <v>4.0416926963087713E-2</v>
      </c>
      <c r="G73" s="9">
        <f>G39</f>
        <v>0.06</v>
      </c>
      <c r="H73" s="9">
        <f t="shared" si="35"/>
        <v>5.7000000000000002E-2</v>
      </c>
      <c r="I73" s="9">
        <f t="shared" si="35"/>
        <v>5.0999999999999997E-2</v>
      </c>
      <c r="J73" s="14">
        <f t="shared" ref="J73" si="40">AVERAGE(G73:I73)</f>
        <v>5.5999999999999994E-2</v>
      </c>
      <c r="K73" s="13">
        <f t="shared" si="37"/>
        <v>9.1318636771056852E-2</v>
      </c>
      <c r="L73" s="13">
        <f t="shared" ref="L73" si="41">J73+F73</f>
        <v>9.6416926963087707E-2</v>
      </c>
      <c r="M73" s="13">
        <f t="shared" si="39"/>
        <v>0.1004955591167124</v>
      </c>
    </row>
    <row r="74" spans="1:13" x14ac:dyDescent="0.25">
      <c r="A74" s="10" t="s">
        <v>57</v>
      </c>
      <c r="B74" s="11" t="s">
        <v>58</v>
      </c>
      <c r="C74" s="12">
        <f t="shared" si="32"/>
        <v>2.48</v>
      </c>
      <c r="D74" s="12">
        <v>73.744388888888892</v>
      </c>
      <c r="E74" s="9">
        <f t="shared" si="33"/>
        <v>3.3629677286181471E-2</v>
      </c>
      <c r="F74" s="22">
        <f t="shared" si="34"/>
        <v>3.4408764809978003E-2</v>
      </c>
      <c r="G74" s="9">
        <f>G40</f>
        <v>0.06</v>
      </c>
      <c r="H74" s="9">
        <f t="shared" si="35"/>
        <v>2.8999999999999998E-2</v>
      </c>
      <c r="I74" s="9">
        <f t="shared" si="35"/>
        <v>0.05</v>
      </c>
      <c r="J74" s="14">
        <f t="shared" si="36"/>
        <v>4.6333333333333337E-2</v>
      </c>
      <c r="K74" s="13">
        <f t="shared" si="37"/>
        <v>6.3117307606831097E-2</v>
      </c>
      <c r="L74" s="13">
        <f t="shared" si="38"/>
        <v>8.0742098143311347E-2</v>
      </c>
      <c r="M74" s="13">
        <f t="shared" si="39"/>
        <v>9.463856760476691E-2</v>
      </c>
    </row>
    <row r="75" spans="1:13" x14ac:dyDescent="0.25">
      <c r="A75" s="15" t="s">
        <v>59</v>
      </c>
      <c r="B75" s="16" t="s">
        <v>60</v>
      </c>
      <c r="C75" s="17">
        <f t="shared" si="32"/>
        <v>2.74</v>
      </c>
      <c r="D75" s="17">
        <v>65.63533333333335</v>
      </c>
      <c r="E75" s="18">
        <f t="shared" si="33"/>
        <v>4.1745807644256644E-2</v>
      </c>
      <c r="F75" s="19">
        <f t="shared" si="34"/>
        <v>4.3249352482910619E-2</v>
      </c>
      <c r="G75" s="18">
        <f>G41</f>
        <v>0.09</v>
      </c>
      <c r="H75" s="18">
        <f t="shared" si="35"/>
        <v>7.3099999999999998E-2</v>
      </c>
      <c r="I75" s="18">
        <f t="shared" si="35"/>
        <v>5.2999999999999999E-2</v>
      </c>
      <c r="J75" s="20">
        <f t="shared" si="36"/>
        <v>7.2033333333333324E-2</v>
      </c>
      <c r="K75" s="19">
        <f t="shared" si="37"/>
        <v>9.585207154682944E-2</v>
      </c>
      <c r="L75" s="19">
        <f t="shared" si="38"/>
        <v>0.11528268581624394</v>
      </c>
      <c r="M75" s="19">
        <f t="shared" si="39"/>
        <v>0.1336243689882482</v>
      </c>
    </row>
    <row r="76" spans="1:13" x14ac:dyDescent="0.25">
      <c r="A76" s="10" t="s">
        <v>6</v>
      </c>
      <c r="E76" s="14">
        <f>AVERAGE(E69:E75)</f>
        <v>3.5692768916716335E-2</v>
      </c>
      <c r="F76" s="14">
        <f t="shared" ref="F76" si="42">AVERAGE(F69:F75)</f>
        <v>3.6801255295873449E-2</v>
      </c>
      <c r="G76" s="14">
        <f t="shared" ref="G76" si="43">AVERAGE(G69:G75)</f>
        <v>7.2499999999999995E-2</v>
      </c>
      <c r="H76" s="14">
        <f t="shared" ref="H76" si="44">AVERAGE(H69:H75)</f>
        <v>5.4549999999999994E-2</v>
      </c>
      <c r="I76" s="14">
        <f t="shared" ref="I76" si="45">AVERAGE(I69:I75)</f>
        <v>5.9833333333333329E-2</v>
      </c>
      <c r="J76" s="14">
        <f t="shared" ref="J76" si="46">AVERAGE(J69:J75)</f>
        <v>6.2294444444444437E-2</v>
      </c>
      <c r="K76" s="14">
        <f t="shared" ref="K76" si="47">AVERAGE(K69:K75)</f>
        <v>8.4232869467820978E-2</v>
      </c>
      <c r="L76" s="14">
        <f t="shared" ref="L76" si="48">AVERAGE(L69:L75)</f>
        <v>9.9095699740317886E-2</v>
      </c>
      <c r="M76" s="14">
        <f t="shared" ref="M76" si="49">AVERAGE(M69:M75)</f>
        <v>0.11203477775860038</v>
      </c>
    </row>
    <row r="77" spans="1:13" x14ac:dyDescent="0.25">
      <c r="A77" s="10" t="s">
        <v>14</v>
      </c>
      <c r="E77" s="14">
        <f>MEDIAN(E69:E75)</f>
        <v>3.6164801986374E-2</v>
      </c>
      <c r="F77" s="14">
        <f t="shared" ref="F77:M77" si="50">MEDIAN(F69:F75)</f>
        <v>3.7298775370544456E-2</v>
      </c>
      <c r="G77" s="14">
        <f t="shared" si="50"/>
        <v>6.7500000000000004E-2</v>
      </c>
      <c r="H77" s="14">
        <f t="shared" si="50"/>
        <v>5.8499999999999996E-2</v>
      </c>
      <c r="I77" s="14">
        <f t="shared" si="50"/>
        <v>5.6499999999999995E-2</v>
      </c>
      <c r="J77" s="14">
        <f t="shared" si="50"/>
        <v>6.3366666666666654E-2</v>
      </c>
      <c r="K77" s="14">
        <f t="shared" si="50"/>
        <v>8.7013409841180361E-2</v>
      </c>
      <c r="L77" s="14">
        <f t="shared" si="50"/>
        <v>9.9109265203964916E-2</v>
      </c>
      <c r="M77" s="14">
        <f t="shared" si="50"/>
        <v>0.10182429309670553</v>
      </c>
    </row>
    <row r="79" spans="1:13" x14ac:dyDescent="0.25">
      <c r="A79" s="76" t="s">
        <v>61</v>
      </c>
    </row>
    <row r="80" spans="1:13" x14ac:dyDescent="0.25">
      <c r="A80" s="2" t="str">
        <f>A17</f>
        <v>[1] Source: Bloomberg Professional as of March 31, 2022</v>
      </c>
    </row>
    <row r="81" spans="1:1" x14ac:dyDescent="0.25">
      <c r="A81" s="2" t="s">
        <v>74</v>
      </c>
    </row>
    <row r="82" spans="1:1" x14ac:dyDescent="0.25">
      <c r="A82" s="2" t="str">
        <f>A19</f>
        <v>[3] Equals [1]/[2]</v>
      </c>
    </row>
    <row r="83" spans="1:1" x14ac:dyDescent="0.25">
      <c r="A83" s="2" t="str">
        <f t="shared" ref="A83:A90" si="51">A20</f>
        <v>[4] Equals [3] x (1+0.5 x[8])</v>
      </c>
    </row>
    <row r="84" spans="1:1" x14ac:dyDescent="0.25">
      <c r="A84" s="2" t="str">
        <f t="shared" si="51"/>
        <v>[5] Source: Value Line</v>
      </c>
    </row>
    <row r="85" spans="1:1" x14ac:dyDescent="0.25">
      <c r="A85" s="2" t="str">
        <f t="shared" si="51"/>
        <v>[6] Source: Yahoo! Finance</v>
      </c>
    </row>
    <row r="86" spans="1:1" x14ac:dyDescent="0.25">
      <c r="A86" s="2" t="str">
        <f t="shared" si="51"/>
        <v>[7] Source: Zacks</v>
      </c>
    </row>
    <row r="87" spans="1:1" x14ac:dyDescent="0.25">
      <c r="A87" s="2" t="str">
        <f t="shared" si="51"/>
        <v>[8] Equals average of [5], [6], [7]</v>
      </c>
    </row>
    <row r="88" spans="1:1" x14ac:dyDescent="0.25">
      <c r="A88" s="2" t="str">
        <f t="shared" si="51"/>
        <v>[9] Equals [3] x (1+0.5x(min([5], [6]. [7]))+(min([5], [6]. [7])</v>
      </c>
    </row>
    <row r="89" spans="1:1" x14ac:dyDescent="0.25">
      <c r="A89" s="2" t="str">
        <f t="shared" si="51"/>
        <v>[10] Equals [4] + [8]</v>
      </c>
    </row>
    <row r="90" spans="1:1" x14ac:dyDescent="0.25">
      <c r="A90" s="2" t="str">
        <f t="shared" si="51"/>
        <v>[11] Equals [3] x (1+0.5x(max([5], [6]. [7]))+(max([5], [6]. [7])</v>
      </c>
    </row>
  </sheetData>
  <mergeCells count="3">
    <mergeCell ref="G3:I3"/>
    <mergeCell ref="G32:I32"/>
    <mergeCell ref="G66:I66"/>
  </mergeCells>
  <pageMargins left="0.7" right="0.7" top="0.75" bottom="0.75" header="0.3" footer="0.3"/>
  <pageSetup scale="56" fitToHeight="3" orientation="landscape" useFirstPageNumber="1" r:id="rId1"/>
  <headerFooter>
    <oddHeader>&amp;CExhibit AEB 1.1, Schedule 3
Test Year Ending December 31, 2021
Utility: MidAmerican Energy Company
Docket No. NG22-___</oddHeader>
    <oddFooter>&amp;CExhibit AEB 1.1, Schedule 3
Page &amp;P of &amp;N</oddFooter>
  </headerFooter>
  <rowBreaks count="2" manualBreakCount="2">
    <brk id="28" max="12" man="1"/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CB25"/>
  <sheetViews>
    <sheetView view="pageLayout" zoomScaleNormal="100" workbookViewId="0">
      <selection sqref="A1:H1"/>
    </sheetView>
  </sheetViews>
  <sheetFormatPr defaultColWidth="8.7109375" defaultRowHeight="15" customHeight="1" x14ac:dyDescent="0.25"/>
  <cols>
    <col min="1" max="1" width="34" style="21" customWidth="1"/>
    <col min="2" max="2" width="8.7109375" style="21"/>
    <col min="3" max="3" width="12" style="21" customWidth="1"/>
    <col min="4" max="7" width="8.7109375" style="21"/>
    <col min="8" max="8" width="10.85546875" style="21" customWidth="1"/>
    <col min="9" max="9" width="6.42578125" style="21" customWidth="1"/>
    <col min="10" max="10" width="34" style="21" customWidth="1"/>
    <col min="11" max="17" width="8.7109375" style="21"/>
    <col min="18" max="18" width="5.140625" style="21" customWidth="1"/>
    <col min="19" max="19" width="36.28515625" style="21" customWidth="1"/>
    <col min="20" max="23" width="8.7109375" style="21"/>
    <col min="24" max="26" width="8.7109375" style="24"/>
    <col min="27" max="27" width="5.5703125" style="21" customWidth="1"/>
    <col min="28" max="28" width="37.140625" style="21" customWidth="1"/>
    <col min="29" max="32" width="8.7109375" style="21"/>
    <col min="33" max="35" width="8.7109375" style="24"/>
    <col min="36" max="36" width="8.7109375" style="21"/>
    <col min="37" max="37" width="32.85546875" style="21" customWidth="1"/>
    <col min="38" max="41" width="8.7109375" style="21"/>
    <col min="42" max="44" width="8.7109375" style="24"/>
    <col min="45" max="45" width="8.7109375" style="21"/>
    <col min="46" max="46" width="31.140625" style="21" customWidth="1"/>
    <col min="47" max="50" width="8.7109375" style="21"/>
    <col min="51" max="53" width="8.7109375" style="24"/>
    <col min="54" max="54" width="8.7109375" style="21"/>
    <col min="55" max="55" width="27.5703125" style="21" customWidth="1"/>
    <col min="56" max="63" width="8.7109375" style="21"/>
    <col min="64" max="64" width="34" style="21" customWidth="1"/>
    <col min="65" max="72" width="8.7109375" style="21"/>
    <col min="73" max="73" width="29.42578125" style="21" customWidth="1"/>
    <col min="74" max="16384" width="8.7109375" style="21"/>
  </cols>
  <sheetData>
    <row r="1" spans="1:80" ht="15" customHeight="1" x14ac:dyDescent="0.25">
      <c r="A1" s="291" t="s">
        <v>75</v>
      </c>
      <c r="B1" s="291"/>
      <c r="C1" s="291"/>
      <c r="D1" s="291"/>
      <c r="E1" s="291"/>
      <c r="F1" s="291"/>
      <c r="G1" s="291"/>
      <c r="H1" s="291"/>
      <c r="J1" s="291" t="str">
        <f>$A$1</f>
        <v xml:space="preserve">MidAmerican- South Dakota </v>
      </c>
      <c r="K1" s="291"/>
      <c r="L1" s="291"/>
      <c r="M1" s="291"/>
      <c r="N1" s="291"/>
      <c r="O1" s="291"/>
      <c r="P1" s="291"/>
      <c r="Q1" s="291"/>
      <c r="S1" s="291" t="str">
        <f>$A$1</f>
        <v xml:space="preserve">MidAmerican- South Dakota </v>
      </c>
      <c r="T1" s="291"/>
      <c r="U1" s="291"/>
      <c r="V1" s="291"/>
      <c r="W1" s="291"/>
      <c r="X1" s="291"/>
      <c r="Y1" s="291"/>
      <c r="Z1" s="291"/>
      <c r="AB1" s="291" t="str">
        <f>$A$1</f>
        <v xml:space="preserve">MidAmerican- South Dakota </v>
      </c>
      <c r="AC1" s="291"/>
      <c r="AD1" s="291"/>
      <c r="AE1" s="291"/>
      <c r="AF1" s="291"/>
      <c r="AG1" s="291"/>
      <c r="AH1" s="291"/>
      <c r="AI1" s="291"/>
      <c r="AK1" s="291" t="str">
        <f>$A$1</f>
        <v xml:space="preserve">MidAmerican- South Dakota </v>
      </c>
      <c r="AL1" s="291"/>
      <c r="AM1" s="291"/>
      <c r="AN1" s="291"/>
      <c r="AO1" s="291"/>
      <c r="AP1" s="291"/>
      <c r="AQ1" s="291"/>
      <c r="AR1" s="291"/>
      <c r="AT1" s="292" t="str">
        <f>$A$1</f>
        <v xml:space="preserve">MidAmerican- South Dakota </v>
      </c>
      <c r="AU1" s="292"/>
      <c r="AV1" s="292"/>
      <c r="AW1" s="292"/>
      <c r="AX1" s="292"/>
      <c r="AY1" s="292"/>
      <c r="AZ1" s="292"/>
      <c r="BA1" s="292"/>
      <c r="BC1" s="291" t="str">
        <f>$A$1</f>
        <v xml:space="preserve">MidAmerican- South Dakota </v>
      </c>
      <c r="BD1" s="291"/>
      <c r="BE1" s="291"/>
      <c r="BF1" s="291"/>
      <c r="BG1" s="291"/>
      <c r="BH1" s="291"/>
      <c r="BI1" s="291"/>
      <c r="BJ1" s="291"/>
      <c r="BL1" s="291" t="str">
        <f>$A$1</f>
        <v xml:space="preserve">MidAmerican- South Dakota </v>
      </c>
      <c r="BM1" s="291"/>
      <c r="BN1" s="291"/>
      <c r="BO1" s="291"/>
      <c r="BP1" s="291"/>
      <c r="BQ1" s="291"/>
      <c r="BR1" s="291"/>
      <c r="BS1" s="291"/>
      <c r="BU1" s="291" t="str">
        <f>$A$1</f>
        <v xml:space="preserve">MidAmerican- South Dakota </v>
      </c>
      <c r="BV1" s="291"/>
      <c r="BW1" s="291"/>
      <c r="BX1" s="291"/>
      <c r="BY1" s="291"/>
      <c r="BZ1" s="291"/>
      <c r="CA1" s="291"/>
      <c r="CB1" s="291"/>
    </row>
    <row r="2" spans="1:80" ht="15" customHeight="1" x14ac:dyDescent="0.25">
      <c r="A2" s="290" t="s">
        <v>76</v>
      </c>
      <c r="B2" s="290"/>
      <c r="C2" s="290"/>
      <c r="D2" s="290"/>
      <c r="E2" s="290"/>
      <c r="F2" s="290"/>
      <c r="G2" s="290"/>
      <c r="H2" s="290"/>
      <c r="I2" s="229"/>
      <c r="J2" s="290" t="s">
        <v>77</v>
      </c>
      <c r="K2" s="290"/>
      <c r="L2" s="290"/>
      <c r="M2" s="290"/>
      <c r="N2" s="290"/>
      <c r="O2" s="290"/>
      <c r="P2" s="290"/>
      <c r="Q2" s="290"/>
      <c r="R2" s="229"/>
      <c r="S2" s="290" t="s">
        <v>78</v>
      </c>
      <c r="T2" s="290"/>
      <c r="U2" s="290"/>
      <c r="V2" s="290"/>
      <c r="W2" s="290"/>
      <c r="X2" s="290"/>
      <c r="Y2" s="290"/>
      <c r="Z2" s="290"/>
      <c r="AA2" s="229"/>
      <c r="AB2" s="290" t="s">
        <v>79</v>
      </c>
      <c r="AC2" s="290"/>
      <c r="AD2" s="290"/>
      <c r="AE2" s="290"/>
      <c r="AF2" s="290"/>
      <c r="AG2" s="290"/>
      <c r="AH2" s="290"/>
      <c r="AI2" s="290"/>
      <c r="AJ2" s="229"/>
      <c r="AK2" s="290" t="s">
        <v>80</v>
      </c>
      <c r="AL2" s="290"/>
      <c r="AM2" s="290"/>
      <c r="AN2" s="290"/>
      <c r="AO2" s="290"/>
      <c r="AP2" s="290"/>
      <c r="AQ2" s="290"/>
      <c r="AR2" s="290"/>
      <c r="AS2" s="229"/>
      <c r="AT2" s="290" t="s">
        <v>81</v>
      </c>
      <c r="AU2" s="290"/>
      <c r="AV2" s="290"/>
      <c r="AW2" s="290"/>
      <c r="AX2" s="290"/>
      <c r="AY2" s="290"/>
      <c r="AZ2" s="290"/>
      <c r="BA2" s="290"/>
      <c r="BC2" s="290" t="s">
        <v>82</v>
      </c>
      <c r="BD2" s="290"/>
      <c r="BE2" s="290"/>
      <c r="BF2" s="290"/>
      <c r="BG2" s="290"/>
      <c r="BH2" s="290"/>
      <c r="BI2" s="290"/>
      <c r="BJ2" s="290"/>
      <c r="BK2" s="229"/>
      <c r="BL2" s="290" t="str">
        <f>BC2</f>
        <v xml:space="preserve">CAPITAL ASSET PRICING MODEL- CURRENT RISK FREE RATE AND LONG-TERM BETA </v>
      </c>
      <c r="BM2" s="290"/>
      <c r="BN2" s="290"/>
      <c r="BO2" s="290"/>
      <c r="BP2" s="290"/>
      <c r="BQ2" s="290"/>
      <c r="BR2" s="290"/>
      <c r="BS2" s="290"/>
      <c r="BT2" s="229"/>
      <c r="BU2" s="290" t="str">
        <f>BL2</f>
        <v xml:space="preserve">CAPITAL ASSET PRICING MODEL- CURRENT RISK FREE RATE AND LONG-TERM BETA </v>
      </c>
      <c r="BV2" s="290"/>
      <c r="BW2" s="290"/>
      <c r="BX2" s="290"/>
      <c r="BY2" s="290"/>
      <c r="BZ2" s="290"/>
      <c r="CA2" s="290"/>
      <c r="CB2" s="290"/>
    </row>
    <row r="3" spans="1:80" ht="15" customHeight="1" x14ac:dyDescent="0.25">
      <c r="A3" s="293" t="s">
        <v>83</v>
      </c>
      <c r="B3" s="293"/>
      <c r="C3" s="293"/>
      <c r="D3" s="293"/>
      <c r="E3" s="293"/>
      <c r="F3" s="293"/>
      <c r="G3" s="293"/>
      <c r="H3" s="293"/>
      <c r="I3" s="229"/>
      <c r="J3" s="293" t="s">
        <v>83</v>
      </c>
      <c r="K3" s="293"/>
      <c r="L3" s="293"/>
      <c r="M3" s="293"/>
      <c r="N3" s="293"/>
      <c r="O3" s="293"/>
      <c r="P3" s="293"/>
      <c r="Q3" s="293"/>
      <c r="R3" s="229"/>
      <c r="S3" s="293" t="s">
        <v>83</v>
      </c>
      <c r="T3" s="293"/>
      <c r="U3" s="293"/>
      <c r="V3" s="293"/>
      <c r="W3" s="293"/>
      <c r="X3" s="293"/>
      <c r="Y3" s="293"/>
      <c r="Z3" s="293"/>
      <c r="AA3" s="229"/>
      <c r="AB3" s="293" t="s">
        <v>83</v>
      </c>
      <c r="AC3" s="293"/>
      <c r="AD3" s="293"/>
      <c r="AE3" s="293"/>
      <c r="AF3" s="293"/>
      <c r="AG3" s="293"/>
      <c r="AH3" s="293"/>
      <c r="AI3" s="293"/>
      <c r="AJ3" s="229"/>
      <c r="AK3" s="293" t="s">
        <v>83</v>
      </c>
      <c r="AL3" s="293"/>
      <c r="AM3" s="293"/>
      <c r="AN3" s="293"/>
      <c r="AO3" s="293"/>
      <c r="AP3" s="293"/>
      <c r="AQ3" s="293"/>
      <c r="AR3" s="293"/>
      <c r="AS3" s="229"/>
      <c r="AT3" s="293" t="s">
        <v>83</v>
      </c>
      <c r="AU3" s="293"/>
      <c r="AV3" s="293"/>
      <c r="AW3" s="293"/>
      <c r="AX3" s="293"/>
      <c r="AY3" s="293"/>
      <c r="AZ3" s="293"/>
      <c r="BA3" s="293"/>
      <c r="BC3" s="293" t="s">
        <v>83</v>
      </c>
      <c r="BD3" s="293"/>
      <c r="BE3" s="293"/>
      <c r="BF3" s="293"/>
      <c r="BG3" s="293"/>
      <c r="BH3" s="293"/>
      <c r="BI3" s="293"/>
      <c r="BJ3" s="293"/>
      <c r="BK3" s="229"/>
      <c r="BL3" s="293" t="s">
        <v>83</v>
      </c>
      <c r="BM3" s="293"/>
      <c r="BN3" s="293"/>
      <c r="BO3" s="293"/>
      <c r="BP3" s="293"/>
      <c r="BQ3" s="293"/>
      <c r="BR3" s="293"/>
      <c r="BS3" s="293"/>
      <c r="BT3" s="229"/>
      <c r="BU3" s="293" t="s">
        <v>83</v>
      </c>
      <c r="BV3" s="293"/>
      <c r="BW3" s="293"/>
      <c r="BX3" s="293"/>
      <c r="BY3" s="293"/>
      <c r="BZ3" s="293"/>
      <c r="CA3" s="293"/>
      <c r="CB3" s="293"/>
    </row>
    <row r="4" spans="1:80" ht="15" customHeight="1" x14ac:dyDescent="0.25">
      <c r="A4" s="293" t="s">
        <v>84</v>
      </c>
      <c r="B4" s="293"/>
      <c r="C4" s="293"/>
      <c r="D4" s="293"/>
      <c r="E4" s="293"/>
      <c r="F4" s="293"/>
      <c r="G4" s="293"/>
      <c r="H4" s="293"/>
      <c r="I4" s="229"/>
      <c r="J4" s="293" t="s">
        <v>84</v>
      </c>
      <c r="K4" s="293"/>
      <c r="L4" s="293"/>
      <c r="M4" s="293"/>
      <c r="N4" s="293"/>
      <c r="O4" s="293"/>
      <c r="P4" s="293"/>
      <c r="Q4" s="293"/>
      <c r="R4" s="229"/>
      <c r="S4" s="293" t="s">
        <v>84</v>
      </c>
      <c r="T4" s="293"/>
      <c r="U4" s="293"/>
      <c r="V4" s="293"/>
      <c r="W4" s="293"/>
      <c r="X4" s="293"/>
      <c r="Y4" s="293"/>
      <c r="Z4" s="293"/>
      <c r="AA4" s="229"/>
      <c r="AB4" s="293" t="s">
        <v>84</v>
      </c>
      <c r="AC4" s="293"/>
      <c r="AD4" s="293"/>
      <c r="AE4" s="293"/>
      <c r="AF4" s="293"/>
      <c r="AG4" s="293"/>
      <c r="AH4" s="293"/>
      <c r="AI4" s="293"/>
      <c r="AJ4" s="229"/>
      <c r="AK4" s="293" t="s">
        <v>84</v>
      </c>
      <c r="AL4" s="293"/>
      <c r="AM4" s="293"/>
      <c r="AN4" s="293"/>
      <c r="AO4" s="293"/>
      <c r="AP4" s="293"/>
      <c r="AQ4" s="293"/>
      <c r="AR4" s="293"/>
      <c r="AS4" s="229"/>
      <c r="AT4" s="293" t="s">
        <v>84</v>
      </c>
      <c r="AU4" s="293"/>
      <c r="AV4" s="293"/>
      <c r="AW4" s="293"/>
      <c r="AX4" s="293"/>
      <c r="AY4" s="293"/>
      <c r="AZ4" s="293"/>
      <c r="BA4" s="293"/>
      <c r="BC4" s="293" t="s">
        <v>84</v>
      </c>
      <c r="BD4" s="293"/>
      <c r="BE4" s="293"/>
      <c r="BF4" s="293"/>
      <c r="BG4" s="293"/>
      <c r="BH4" s="293"/>
      <c r="BI4" s="293"/>
      <c r="BJ4" s="293"/>
      <c r="BK4" s="229"/>
      <c r="BL4" s="293" t="s">
        <v>84</v>
      </c>
      <c r="BM4" s="293"/>
      <c r="BN4" s="293"/>
      <c r="BO4" s="293"/>
      <c r="BP4" s="293"/>
      <c r="BQ4" s="293"/>
      <c r="BR4" s="293"/>
      <c r="BS4" s="293"/>
      <c r="BT4" s="229"/>
      <c r="BU4" s="293" t="s">
        <v>84</v>
      </c>
      <c r="BV4" s="293"/>
      <c r="BW4" s="293"/>
      <c r="BX4" s="293"/>
      <c r="BY4" s="293"/>
      <c r="BZ4" s="293"/>
      <c r="CA4" s="293"/>
      <c r="CB4" s="293"/>
    </row>
    <row r="5" spans="1:80" ht="15" customHeight="1" thickBot="1" x14ac:dyDescent="0.3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230"/>
      <c r="Y5" s="230"/>
      <c r="Z5" s="230"/>
      <c r="AA5" s="100"/>
      <c r="AB5" s="100"/>
      <c r="AC5" s="100"/>
      <c r="AD5" s="100"/>
      <c r="AE5" s="100"/>
      <c r="AF5" s="100"/>
      <c r="AG5" s="230"/>
      <c r="AH5" s="230"/>
      <c r="AI5" s="230"/>
      <c r="AJ5" s="100"/>
      <c r="AK5" s="100"/>
      <c r="AL5" s="100"/>
      <c r="AM5" s="100"/>
      <c r="AN5" s="100"/>
      <c r="AO5" s="100"/>
      <c r="AP5" s="230"/>
      <c r="AQ5" s="230"/>
      <c r="AR5" s="230"/>
      <c r="AS5" s="100"/>
      <c r="AT5" s="100"/>
      <c r="AU5" s="100"/>
      <c r="AV5" s="100"/>
      <c r="AW5" s="100"/>
      <c r="AX5" s="100"/>
      <c r="AY5" s="230"/>
      <c r="AZ5" s="230"/>
      <c r="BA5" s="230"/>
      <c r="BC5" s="100"/>
      <c r="BD5" s="100"/>
      <c r="BE5" s="230" t="s">
        <v>85</v>
      </c>
      <c r="BF5" s="230" t="s">
        <v>86</v>
      </c>
      <c r="BG5" s="230" t="s">
        <v>87</v>
      </c>
      <c r="BH5" s="230" t="s">
        <v>88</v>
      </c>
      <c r="BI5" s="230" t="s">
        <v>89</v>
      </c>
      <c r="BJ5" s="230" t="s">
        <v>90</v>
      </c>
      <c r="BK5" s="100"/>
      <c r="BL5" s="100"/>
      <c r="BM5" s="100"/>
      <c r="BN5" s="230" t="s">
        <v>85</v>
      </c>
      <c r="BO5" s="230" t="s">
        <v>86</v>
      </c>
      <c r="BP5" s="230" t="s">
        <v>87</v>
      </c>
      <c r="BQ5" s="230" t="s">
        <v>88</v>
      </c>
      <c r="BR5" s="230" t="s">
        <v>89</v>
      </c>
      <c r="BS5" s="230" t="s">
        <v>90</v>
      </c>
      <c r="BT5" s="100"/>
      <c r="BU5" s="100"/>
      <c r="BV5" s="100"/>
      <c r="BW5" s="230" t="s">
        <v>85</v>
      </c>
      <c r="BX5" s="230" t="s">
        <v>86</v>
      </c>
      <c r="BY5" s="230" t="s">
        <v>87</v>
      </c>
      <c r="BZ5" s="230" t="s">
        <v>88</v>
      </c>
      <c r="CA5" s="230" t="s">
        <v>89</v>
      </c>
      <c r="CB5" s="230" t="s">
        <v>90</v>
      </c>
    </row>
    <row r="6" spans="1:80" ht="41.45" customHeight="1" x14ac:dyDescent="0.25">
      <c r="A6" s="102" t="s">
        <v>37</v>
      </c>
      <c r="B6" s="103" t="s">
        <v>91</v>
      </c>
      <c r="C6" s="231" t="s">
        <v>92</v>
      </c>
      <c r="D6" s="231" t="s">
        <v>93</v>
      </c>
      <c r="E6" s="231" t="s">
        <v>94</v>
      </c>
      <c r="F6" s="231" t="s">
        <v>95</v>
      </c>
      <c r="G6" s="231" t="s">
        <v>19</v>
      </c>
      <c r="H6" s="231" t="s">
        <v>28</v>
      </c>
      <c r="I6" s="100"/>
      <c r="J6" s="102" t="s">
        <v>37</v>
      </c>
      <c r="K6" s="103" t="s">
        <v>91</v>
      </c>
      <c r="L6" s="231" t="s">
        <v>96</v>
      </c>
      <c r="M6" s="231" t="s">
        <v>93</v>
      </c>
      <c r="N6" s="231" t="s">
        <v>94</v>
      </c>
      <c r="O6" s="231" t="s">
        <v>95</v>
      </c>
      <c r="P6" s="231" t="s">
        <v>19</v>
      </c>
      <c r="Q6" s="231" t="s">
        <v>28</v>
      </c>
      <c r="R6" s="100"/>
      <c r="S6" s="102" t="s">
        <v>37</v>
      </c>
      <c r="T6" s="103" t="s">
        <v>91</v>
      </c>
      <c r="U6" s="231" t="s">
        <v>97</v>
      </c>
      <c r="V6" s="231" t="s">
        <v>93</v>
      </c>
      <c r="W6" s="231" t="s">
        <v>94</v>
      </c>
      <c r="X6" s="231" t="s">
        <v>95</v>
      </c>
      <c r="Y6" s="231" t="s">
        <v>19</v>
      </c>
      <c r="Z6" s="231" t="s">
        <v>28</v>
      </c>
      <c r="AA6" s="100"/>
      <c r="AB6" s="102" t="s">
        <v>37</v>
      </c>
      <c r="AC6" s="103" t="s">
        <v>91</v>
      </c>
      <c r="AD6" s="231" t="s">
        <v>92</v>
      </c>
      <c r="AE6" s="231" t="s">
        <v>98</v>
      </c>
      <c r="AF6" s="231" t="s">
        <v>94</v>
      </c>
      <c r="AG6" s="231" t="s">
        <v>95</v>
      </c>
      <c r="AH6" s="231" t="s">
        <v>19</v>
      </c>
      <c r="AI6" s="231" t="s">
        <v>28</v>
      </c>
      <c r="AJ6" s="100"/>
      <c r="AK6" s="102" t="s">
        <v>37</v>
      </c>
      <c r="AL6" s="103" t="s">
        <v>91</v>
      </c>
      <c r="AM6" s="231" t="str">
        <f>L6</f>
        <v>BCFF Near Term Projected</v>
      </c>
      <c r="AN6" s="231" t="s">
        <v>99</v>
      </c>
      <c r="AO6" s="231" t="s">
        <v>94</v>
      </c>
      <c r="AP6" s="231" t="s">
        <v>95</v>
      </c>
      <c r="AQ6" s="231" t="s">
        <v>19</v>
      </c>
      <c r="AR6" s="231" t="s">
        <v>28</v>
      </c>
      <c r="AS6" s="100"/>
      <c r="AT6" s="102" t="s">
        <v>37</v>
      </c>
      <c r="AU6" s="103" t="s">
        <v>91</v>
      </c>
      <c r="AV6" s="231" t="str">
        <f>U6</f>
        <v xml:space="preserve">BCFF Long-Term Projected </v>
      </c>
      <c r="AW6" s="231" t="s">
        <v>99</v>
      </c>
      <c r="AX6" s="231" t="s">
        <v>94</v>
      </c>
      <c r="AY6" s="231" t="s">
        <v>95</v>
      </c>
      <c r="AZ6" s="231" t="s">
        <v>19</v>
      </c>
      <c r="BA6" s="231" t="s">
        <v>28</v>
      </c>
      <c r="BC6" s="102" t="s">
        <v>37</v>
      </c>
      <c r="BD6" s="103" t="s">
        <v>91</v>
      </c>
      <c r="BE6" s="231" t="s">
        <v>92</v>
      </c>
      <c r="BF6" s="231" t="s">
        <v>100</v>
      </c>
      <c r="BG6" s="231" t="s">
        <v>94</v>
      </c>
      <c r="BH6" s="231" t="s">
        <v>95</v>
      </c>
      <c r="BI6" s="231" t="s">
        <v>19</v>
      </c>
      <c r="BJ6" s="231" t="s">
        <v>28</v>
      </c>
      <c r="BK6" s="100"/>
      <c r="BL6" s="102" t="s">
        <v>37</v>
      </c>
      <c r="BM6" s="103" t="s">
        <v>91</v>
      </c>
      <c r="BN6" s="231" t="str">
        <f>AM6</f>
        <v>BCFF Near Term Projected</v>
      </c>
      <c r="BO6" s="231" t="s">
        <v>100</v>
      </c>
      <c r="BP6" s="231" t="s">
        <v>94</v>
      </c>
      <c r="BQ6" s="231" t="s">
        <v>95</v>
      </c>
      <c r="BR6" s="231" t="s">
        <v>19</v>
      </c>
      <c r="BS6" s="231" t="s">
        <v>28</v>
      </c>
      <c r="BT6" s="100"/>
      <c r="BU6" s="102" t="s">
        <v>37</v>
      </c>
      <c r="BV6" s="103" t="s">
        <v>91</v>
      </c>
      <c r="BW6" s="231" t="str">
        <f>AV6</f>
        <v xml:space="preserve">BCFF Long-Term Projected </v>
      </c>
      <c r="BX6" s="231" t="s">
        <v>100</v>
      </c>
      <c r="BY6" s="231" t="s">
        <v>94</v>
      </c>
      <c r="BZ6" s="231" t="s">
        <v>95</v>
      </c>
      <c r="CA6" s="231" t="s">
        <v>19</v>
      </c>
      <c r="CB6" s="231" t="s">
        <v>28</v>
      </c>
    </row>
    <row r="7" spans="1:80" ht="15" customHeight="1" x14ac:dyDescent="0.25">
      <c r="A7" s="36"/>
      <c r="B7" s="36"/>
      <c r="C7" s="100"/>
      <c r="D7" s="100"/>
      <c r="E7" s="100"/>
      <c r="F7" s="100"/>
      <c r="G7" s="100"/>
      <c r="H7" s="100"/>
      <c r="I7" s="100"/>
      <c r="J7" s="36"/>
      <c r="K7" s="36"/>
      <c r="L7" s="100"/>
      <c r="M7" s="100"/>
      <c r="N7" s="100"/>
      <c r="O7" s="100"/>
      <c r="P7" s="100"/>
      <c r="Q7" s="100"/>
      <c r="R7" s="100"/>
      <c r="S7" s="36"/>
      <c r="T7" s="36"/>
      <c r="U7" s="100"/>
      <c r="V7" s="100"/>
      <c r="W7" s="100"/>
      <c r="X7" s="230"/>
      <c r="Y7" s="230"/>
      <c r="Z7" s="230"/>
      <c r="AA7" s="100"/>
      <c r="AB7" s="36"/>
      <c r="AC7" s="36"/>
      <c r="AD7" s="100"/>
      <c r="AE7" s="100"/>
      <c r="AF7" s="100"/>
      <c r="AG7" s="230"/>
      <c r="AH7" s="230"/>
      <c r="AI7" s="230"/>
      <c r="AJ7" s="100"/>
      <c r="AK7" s="36"/>
      <c r="AL7" s="36"/>
      <c r="AM7" s="100"/>
      <c r="AN7" s="100"/>
      <c r="AO7" s="100"/>
      <c r="AP7" s="230"/>
      <c r="AQ7" s="230"/>
      <c r="AR7" s="230"/>
      <c r="AS7" s="100"/>
      <c r="AT7" s="36"/>
      <c r="AU7" s="36"/>
      <c r="AV7" s="100"/>
      <c r="AW7" s="100"/>
      <c r="AX7" s="100"/>
      <c r="AY7" s="230"/>
      <c r="AZ7" s="230"/>
      <c r="BA7" s="230"/>
      <c r="BC7" s="36"/>
      <c r="BD7" s="36"/>
      <c r="BE7" s="100"/>
      <c r="BF7" s="100"/>
      <c r="BG7" s="100"/>
      <c r="BH7" s="230"/>
      <c r="BI7" s="230"/>
      <c r="BJ7" s="230"/>
      <c r="BK7" s="100"/>
      <c r="BL7" s="36"/>
      <c r="BM7" s="36"/>
      <c r="BN7" s="100"/>
      <c r="BO7" s="100"/>
      <c r="BP7" s="100"/>
      <c r="BQ7" s="230"/>
      <c r="BR7" s="230"/>
      <c r="BS7" s="230"/>
      <c r="BT7" s="100"/>
      <c r="BU7" s="36"/>
      <c r="BV7" s="36"/>
      <c r="BW7" s="100"/>
      <c r="BX7" s="100"/>
      <c r="BY7" s="100"/>
      <c r="BZ7" s="230"/>
      <c r="CA7" s="230"/>
      <c r="CB7" s="230"/>
    </row>
    <row r="8" spans="1:80" ht="15" customHeight="1" x14ac:dyDescent="0.25">
      <c r="A8" s="29" t="s">
        <v>49</v>
      </c>
      <c r="B8" s="26" t="s">
        <v>50</v>
      </c>
      <c r="C8" s="232">
        <v>2.3723333333333332E-2</v>
      </c>
      <c r="D8" s="106">
        <v>0.8</v>
      </c>
      <c r="E8" s="232">
        <f>'Schedule 5- MktRet'!A8</f>
        <v>0.12681184674525847</v>
      </c>
      <c r="F8" s="233">
        <f>IFERROR(E8-C8,"")</f>
        <v>0.10308851341192514</v>
      </c>
      <c r="G8" s="232">
        <f>IFERROR(D8*F8+C8,"")</f>
        <v>0.10619414406287345</v>
      </c>
      <c r="H8" s="234">
        <f>IFERROR(C8+(0.25*F8)+(0.75*D8*F8),"")</f>
        <v>0.11134856973346971</v>
      </c>
      <c r="I8" s="100"/>
      <c r="J8" s="29" t="s">
        <v>49</v>
      </c>
      <c r="K8" s="26" t="s">
        <v>50</v>
      </c>
      <c r="L8" s="268">
        <f>AVERAGE(2.8%,3%,3.2%,3.3%,3.3%)</f>
        <v>3.1199999999999999E-2</v>
      </c>
      <c r="M8" s="106">
        <f>D8</f>
        <v>0.8</v>
      </c>
      <c r="N8" s="232">
        <f>E8</f>
        <v>0.12681184674525847</v>
      </c>
      <c r="O8" s="233">
        <f>IFERROR(N8-L8,"")</f>
        <v>9.5611846745258466E-2</v>
      </c>
      <c r="P8" s="232">
        <f>IFERROR(M8*O8+L8,"")</f>
        <v>0.10768947739620677</v>
      </c>
      <c r="Q8" s="234">
        <f>IFERROR(L8+(0.25*O8)+(0.75*M8*O8),"")</f>
        <v>0.11247006973346971</v>
      </c>
      <c r="R8" s="100"/>
      <c r="S8" s="29" t="s">
        <v>49</v>
      </c>
      <c r="T8" s="26" t="s">
        <v>50</v>
      </c>
      <c r="U8" s="232">
        <v>3.4000000000000002E-2</v>
      </c>
      <c r="V8" s="106">
        <f>M8</f>
        <v>0.8</v>
      </c>
      <c r="W8" s="232">
        <f>N8</f>
        <v>0.12681184674525847</v>
      </c>
      <c r="X8" s="233">
        <f>IFERROR(W8-U8,"")</f>
        <v>9.2811846745258469E-2</v>
      </c>
      <c r="Y8" s="232">
        <f>IFERROR(V8*X8+U8,"")</f>
        <v>0.10824947739620679</v>
      </c>
      <c r="Z8" s="234">
        <f>IFERROR(U8+(0.25*X8)+(0.75*V8*X8),"")</f>
        <v>0.11289006973346971</v>
      </c>
      <c r="AA8" s="100"/>
      <c r="AB8" s="29" t="s">
        <v>49</v>
      </c>
      <c r="AC8" s="26" t="s">
        <v>50</v>
      </c>
      <c r="AD8" s="232">
        <f>C8</f>
        <v>2.3723333333333332E-2</v>
      </c>
      <c r="AE8" s="106">
        <v>0.74393233083594901</v>
      </c>
      <c r="AF8" s="232">
        <f>E8</f>
        <v>0.12681184674525847</v>
      </c>
      <c r="AG8" s="233">
        <f>IFERROR(AF8-AD8,"")</f>
        <v>0.10308851341192514</v>
      </c>
      <c r="AH8" s="232">
        <f>IFERROR(AE8*AG8+AD8,"")</f>
        <v>0.10041421139827979</v>
      </c>
      <c r="AI8" s="234">
        <f>IFERROR(AD8+(0.25*AG8)+(0.75*AE8*AG8),"")</f>
        <v>0.10701362023502448</v>
      </c>
      <c r="AJ8" s="100"/>
      <c r="AK8" s="29" t="s">
        <v>49</v>
      </c>
      <c r="AL8" s="26" t="s">
        <v>50</v>
      </c>
      <c r="AM8" s="232">
        <f>L8</f>
        <v>3.1199999999999999E-2</v>
      </c>
      <c r="AN8" s="106">
        <f>AE8</f>
        <v>0.74393233083594901</v>
      </c>
      <c r="AO8" s="232">
        <f>E8</f>
        <v>0.12681184674525847</v>
      </c>
      <c r="AP8" s="233">
        <f>IFERROR(AO8-AM8,"")</f>
        <v>9.5611846745258466E-2</v>
      </c>
      <c r="AQ8" s="232">
        <f>IFERROR(AN8*AP8+AM8,"")</f>
        <v>0.10232874400472969</v>
      </c>
      <c r="AR8" s="234">
        <f>IFERROR(AM8+(0.25*AP8)+(0.75*AN8*AP8),"")</f>
        <v>0.10844951968986188</v>
      </c>
      <c r="AS8" s="100"/>
      <c r="AT8" s="29" t="s">
        <v>49</v>
      </c>
      <c r="AU8" s="26" t="s">
        <v>50</v>
      </c>
      <c r="AV8" s="232">
        <f>U8</f>
        <v>3.4000000000000002E-2</v>
      </c>
      <c r="AW8" s="106">
        <f>AN8</f>
        <v>0.74393233083594901</v>
      </c>
      <c r="AX8" s="232">
        <f>E8</f>
        <v>0.12681184674525847</v>
      </c>
      <c r="AY8" s="233">
        <f>IFERROR(AX8-AV8,"")</f>
        <v>9.2811846745258469E-2</v>
      </c>
      <c r="AZ8" s="232">
        <f>IFERROR(AW8*AY8+AV8,"")</f>
        <v>0.10304573347838902</v>
      </c>
      <c r="BA8" s="234">
        <f>IFERROR(AV8+(0.25*AY8)+(0.75*AW8*AY8),"")</f>
        <v>0.10898726179510639</v>
      </c>
      <c r="BC8" s="29" t="s">
        <v>49</v>
      </c>
      <c r="BD8" s="26" t="s">
        <v>50</v>
      </c>
      <c r="BE8" s="232">
        <f>AD8</f>
        <v>2.3723333333333332E-2</v>
      </c>
      <c r="BF8" s="106">
        <f>VLOOKUP(BD8,'Schedule 6-LT Beta'!$B$7:$I$12,8,FALSE)</f>
        <v>0.70000000000000007</v>
      </c>
      <c r="BG8" s="232">
        <f>AF8</f>
        <v>0.12681184674525847</v>
      </c>
      <c r="BH8" s="233">
        <f>IFERROR(BG8-BE8,"")</f>
        <v>0.10308851341192514</v>
      </c>
      <c r="BI8" s="232">
        <f>IFERROR(BF8*BH8+BE8,"")</f>
        <v>9.5885292721680934E-2</v>
      </c>
      <c r="BJ8" s="234">
        <f>IFERROR(BE8+(0.25*BH8)+(0.75*BF8*BH8),"")</f>
        <v>0.10361693122757532</v>
      </c>
      <c r="BK8" s="100"/>
      <c r="BL8" s="29" t="s">
        <v>49</v>
      </c>
      <c r="BM8" s="26" t="s">
        <v>50</v>
      </c>
      <c r="BN8" s="232">
        <f>AM8</f>
        <v>3.1199999999999999E-2</v>
      </c>
      <c r="BO8" s="106">
        <f>BF8</f>
        <v>0.70000000000000007</v>
      </c>
      <c r="BP8" s="232">
        <f>AF8</f>
        <v>0.12681184674525847</v>
      </c>
      <c r="BQ8" s="233">
        <f>IFERROR(BP8-BN8,"")</f>
        <v>9.5611846745258466E-2</v>
      </c>
      <c r="BR8" s="232">
        <f>IFERROR(BO8*BQ8+BN8,"")</f>
        <v>9.8128292721680943E-2</v>
      </c>
      <c r="BS8" s="234">
        <f>IFERROR(BN8+(0.25*BQ8)+(0.75*BO8*BQ8),"")</f>
        <v>0.10529918122757531</v>
      </c>
      <c r="BT8" s="100"/>
      <c r="BU8" s="29" t="s">
        <v>49</v>
      </c>
      <c r="BV8" s="26" t="s">
        <v>50</v>
      </c>
      <c r="BW8" s="232">
        <f>AV8</f>
        <v>3.4000000000000002E-2</v>
      </c>
      <c r="BX8" s="106">
        <f>BO8</f>
        <v>0.70000000000000007</v>
      </c>
      <c r="BY8" s="232">
        <f>AF8</f>
        <v>0.12681184674525847</v>
      </c>
      <c r="BZ8" s="233">
        <f>IFERROR(BY8-BW8,"")</f>
        <v>9.2811846745258469E-2</v>
      </c>
      <c r="CA8" s="232">
        <f>IFERROR(BX8*BZ8+BW8,"")</f>
        <v>9.8968292721680937E-2</v>
      </c>
      <c r="CB8" s="234">
        <f>IFERROR(BW8+(0.25*BZ8)+(0.75*BX8*BZ8),"")</f>
        <v>0.10592918122757532</v>
      </c>
    </row>
    <row r="9" spans="1:80" ht="15" customHeight="1" x14ac:dyDescent="0.25">
      <c r="A9" s="29" t="s">
        <v>51</v>
      </c>
      <c r="B9" s="26" t="s">
        <v>52</v>
      </c>
      <c r="C9" s="232">
        <v>2.3723333333333332E-2</v>
      </c>
      <c r="D9" s="106">
        <v>1</v>
      </c>
      <c r="E9" s="232">
        <f>E8</f>
        <v>0.12681184674525847</v>
      </c>
      <c r="F9" s="233">
        <f t="shared" ref="F9:F13" si="0">IFERROR(E9-C9,"")</f>
        <v>0.10308851341192514</v>
      </c>
      <c r="G9" s="232">
        <f t="shared" ref="G9:G13" si="1">IFERROR(D9*F9+C9,"")</f>
        <v>0.12681184674525847</v>
      </c>
      <c r="H9" s="234">
        <f t="shared" ref="H9:H13" si="2">IFERROR(C9+(0.25*F9)+(0.75*D9*F9),"")</f>
        <v>0.12681184674525847</v>
      </c>
      <c r="I9" s="100"/>
      <c r="J9" s="29" t="s">
        <v>51</v>
      </c>
      <c r="K9" s="26" t="s">
        <v>52</v>
      </c>
      <c r="L9" s="232">
        <f>L8</f>
        <v>3.1199999999999999E-2</v>
      </c>
      <c r="M9" s="106">
        <f t="shared" ref="M9:M13" si="3">D9</f>
        <v>1</v>
      </c>
      <c r="N9" s="232">
        <f t="shared" ref="N9:N13" si="4">E9</f>
        <v>0.12681184674525847</v>
      </c>
      <c r="O9" s="233">
        <f t="shared" ref="O9:O13" si="5">IFERROR(N9-L9,"")</f>
        <v>9.5611846745258466E-2</v>
      </c>
      <c r="P9" s="232">
        <f t="shared" ref="P9:P13" si="6">IFERROR(M9*O9+L9,"")</f>
        <v>0.12681184674525847</v>
      </c>
      <c r="Q9" s="234">
        <f t="shared" ref="Q9:Q13" si="7">IFERROR(L9+(0.25*O9)+(0.75*M9*O9),"")</f>
        <v>0.12681184674525847</v>
      </c>
      <c r="R9" s="100"/>
      <c r="S9" s="29" t="s">
        <v>51</v>
      </c>
      <c r="T9" s="26" t="s">
        <v>52</v>
      </c>
      <c r="U9" s="232">
        <f>U8</f>
        <v>3.4000000000000002E-2</v>
      </c>
      <c r="V9" s="106">
        <f t="shared" ref="V9:W13" si="8">M9</f>
        <v>1</v>
      </c>
      <c r="W9" s="232">
        <f t="shared" si="8"/>
        <v>0.12681184674525847</v>
      </c>
      <c r="X9" s="233">
        <f t="shared" ref="X9:X13" si="9">IFERROR(W9-U9,"")</f>
        <v>9.2811846745258469E-2</v>
      </c>
      <c r="Y9" s="232">
        <f t="shared" ref="Y9:Y13" si="10">IFERROR(V9*X9+U9,"")</f>
        <v>0.12681184674525847</v>
      </c>
      <c r="Z9" s="234">
        <f t="shared" ref="Z9:Z13" si="11">IFERROR(U9+(0.25*X9)+(0.75*V9*X9),"")</f>
        <v>0.12681184674525847</v>
      </c>
      <c r="AA9" s="100"/>
      <c r="AB9" s="29" t="s">
        <v>51</v>
      </c>
      <c r="AC9" s="26" t="s">
        <v>52</v>
      </c>
      <c r="AD9" s="232">
        <f t="shared" ref="AD9:AD13" si="12">C9</f>
        <v>2.3723333333333332E-2</v>
      </c>
      <c r="AE9" s="106">
        <v>0.81984086313276172</v>
      </c>
      <c r="AF9" s="232">
        <f t="shared" ref="AF9:AF13" si="13">E9</f>
        <v>0.12681184674525847</v>
      </c>
      <c r="AG9" s="233">
        <f t="shared" ref="AG9:AG13" si="14">IFERROR(AF9-AD9,"")</f>
        <v>0.10308851341192514</v>
      </c>
      <c r="AH9" s="232">
        <f t="shared" ref="AH9:AH13" si="15">IFERROR(AE9*AG9+AD9,"")</f>
        <v>0.10823950914803933</v>
      </c>
      <c r="AI9" s="234">
        <f t="shared" ref="AI9:AI13" si="16">IFERROR(AD9+(0.25*AG9)+(0.75*AE9*AG9),"")</f>
        <v>0.1128825935473441</v>
      </c>
      <c r="AJ9" s="100"/>
      <c r="AK9" s="29" t="s">
        <v>51</v>
      </c>
      <c r="AL9" s="26" t="s">
        <v>52</v>
      </c>
      <c r="AM9" s="232">
        <f t="shared" ref="AM9:AM13" si="17">L9</f>
        <v>3.1199999999999999E-2</v>
      </c>
      <c r="AN9" s="106">
        <f t="shared" ref="AN9:AN13" si="18">AE9</f>
        <v>0.81984086313276172</v>
      </c>
      <c r="AO9" s="232">
        <f t="shared" ref="AO9:AO13" si="19">E9</f>
        <v>0.12681184674525847</v>
      </c>
      <c r="AP9" s="233">
        <f t="shared" ref="AP9:AP13" si="20">IFERROR(AO9-AM9,"")</f>
        <v>9.5611846745258466E-2</v>
      </c>
      <c r="AQ9" s="232">
        <f t="shared" ref="AQ9:AQ13" si="21">IFERROR(AN9*AP9+AM9,"")</f>
        <v>0.10958649896135003</v>
      </c>
      <c r="AR9" s="234">
        <f t="shared" ref="AR9:AR13" si="22">IFERROR(AM9+(0.25*AP9)+(0.75*AN9*AP9),"")</f>
        <v>0.11389283590732714</v>
      </c>
      <c r="AS9" s="100"/>
      <c r="AT9" s="29" t="s">
        <v>51</v>
      </c>
      <c r="AU9" s="26" t="s">
        <v>52</v>
      </c>
      <c r="AV9" s="232">
        <f t="shared" ref="AV9:AV13" si="23">U9</f>
        <v>3.4000000000000002E-2</v>
      </c>
      <c r="AW9" s="106">
        <f t="shared" ref="AW9:AW13" si="24">AN9</f>
        <v>0.81984086313276172</v>
      </c>
      <c r="AX9" s="232">
        <f t="shared" ref="AX9:AX13" si="25">E9</f>
        <v>0.12681184674525847</v>
      </c>
      <c r="AY9" s="233">
        <f t="shared" ref="AY9:AY13" si="26">IFERROR(AX9-AV9,"")</f>
        <v>9.2811846745258469E-2</v>
      </c>
      <c r="AZ9" s="232">
        <f t="shared" ref="AZ9:AZ13" si="27">IFERROR(AW9*AY9+AV9,"")</f>
        <v>0.11009094454457831</v>
      </c>
      <c r="BA9" s="234">
        <f t="shared" ref="BA9:BA13" si="28">IFERROR(AV9+(0.25*AY9)+(0.75*AW9*AY9),"")</f>
        <v>0.11427117009474835</v>
      </c>
      <c r="BC9" s="29" t="s">
        <v>51</v>
      </c>
      <c r="BD9" s="26" t="s">
        <v>52</v>
      </c>
      <c r="BE9" s="232">
        <f t="shared" ref="BE9:BE13" si="29">AD9</f>
        <v>2.3723333333333332E-2</v>
      </c>
      <c r="BF9" s="106">
        <f>VLOOKUP(BD9,'Schedule 6-LT Beta'!$B$7:$I$12,8,FALSE)</f>
        <v>0.82500000000000007</v>
      </c>
      <c r="BG9" s="232">
        <f t="shared" ref="BG9:BG13" si="30">AF9</f>
        <v>0.12681184674525847</v>
      </c>
      <c r="BH9" s="233">
        <f t="shared" ref="BH9:BH13" si="31">IFERROR(BG9-BE9,"")</f>
        <v>0.10308851341192514</v>
      </c>
      <c r="BI9" s="232">
        <f t="shared" ref="BI9:BI13" si="32">IFERROR(BF9*BH9+BE9,"")</f>
        <v>0.10877135689817158</v>
      </c>
      <c r="BJ9" s="234">
        <f t="shared" ref="BJ9:BJ13" si="33">IFERROR(BE9+(0.25*BH9)+(0.75*BF9*BH9),"")</f>
        <v>0.1132814793599433</v>
      </c>
      <c r="BK9" s="100"/>
      <c r="BL9" s="29" t="s">
        <v>51</v>
      </c>
      <c r="BM9" s="26" t="s">
        <v>52</v>
      </c>
      <c r="BN9" s="232">
        <f t="shared" ref="BN9:BN13" si="34">AM9</f>
        <v>3.1199999999999999E-2</v>
      </c>
      <c r="BO9" s="106">
        <f t="shared" ref="BO9:BO13" si="35">BF9</f>
        <v>0.82500000000000007</v>
      </c>
      <c r="BP9" s="232">
        <f t="shared" ref="BP9:BP13" si="36">AF9</f>
        <v>0.12681184674525847</v>
      </c>
      <c r="BQ9" s="233">
        <f t="shared" ref="BQ9:BQ13" si="37">IFERROR(BP9-BN9,"")</f>
        <v>9.5611846745258466E-2</v>
      </c>
      <c r="BR9" s="232">
        <f t="shared" ref="BR9:BR13" si="38">IFERROR(BO9*BQ9+BN9,"")</f>
        <v>0.11007977356483825</v>
      </c>
      <c r="BS9" s="234">
        <f t="shared" ref="BS9:BS13" si="39">IFERROR(BN9+(0.25*BQ9)+(0.75*BO9*BQ9),"")</f>
        <v>0.11426279185994329</v>
      </c>
      <c r="BT9" s="100"/>
      <c r="BU9" s="29" t="s">
        <v>51</v>
      </c>
      <c r="BV9" s="26" t="s">
        <v>52</v>
      </c>
      <c r="BW9" s="232">
        <f t="shared" ref="BW9:BW13" si="40">AV9</f>
        <v>3.4000000000000002E-2</v>
      </c>
      <c r="BX9" s="106">
        <f t="shared" ref="BX9:BX13" si="41">BO9</f>
        <v>0.82500000000000007</v>
      </c>
      <c r="BY9" s="232">
        <f t="shared" ref="BY9:BY13" si="42">AF9</f>
        <v>0.12681184674525847</v>
      </c>
      <c r="BZ9" s="233">
        <f t="shared" ref="BZ9:BZ13" si="43">IFERROR(BY9-BW9,"")</f>
        <v>9.2811846745258469E-2</v>
      </c>
      <c r="CA9" s="232">
        <f t="shared" ref="CA9:CA13" si="44">IFERROR(BX9*BZ9+BW9,"")</f>
        <v>0.11056977356483824</v>
      </c>
      <c r="CB9" s="234">
        <f t="shared" ref="CB9:CB13" si="45">IFERROR(BW9+(0.25*BZ9)+(0.75*BX9*BZ9),"")</f>
        <v>0.11463029185994331</v>
      </c>
    </row>
    <row r="10" spans="1:80" ht="15" customHeight="1" x14ac:dyDescent="0.25">
      <c r="A10" s="29" t="s">
        <v>53</v>
      </c>
      <c r="B10" s="26" t="s">
        <v>54</v>
      </c>
      <c r="C10" s="232">
        <v>2.3723333333333332E-2</v>
      </c>
      <c r="D10" s="106">
        <v>0.85</v>
      </c>
      <c r="E10" s="232">
        <f t="shared" ref="E10:E12" si="46">E9</f>
        <v>0.12681184674525847</v>
      </c>
      <c r="F10" s="233">
        <f t="shared" si="0"/>
        <v>0.10308851341192514</v>
      </c>
      <c r="G10" s="232">
        <f t="shared" si="1"/>
        <v>0.1113485697334697</v>
      </c>
      <c r="H10" s="234">
        <f t="shared" si="2"/>
        <v>0.11521438898641689</v>
      </c>
      <c r="I10" s="100"/>
      <c r="J10" s="29" t="s">
        <v>53</v>
      </c>
      <c r="K10" s="26" t="s">
        <v>54</v>
      </c>
      <c r="L10" s="232">
        <f t="shared" ref="L10:L12" si="47">L9</f>
        <v>3.1199999999999999E-2</v>
      </c>
      <c r="M10" s="106">
        <f t="shared" si="3"/>
        <v>0.85</v>
      </c>
      <c r="N10" s="232">
        <f t="shared" si="4"/>
        <v>0.12681184674525847</v>
      </c>
      <c r="O10" s="233">
        <f t="shared" si="5"/>
        <v>9.5611846745258466E-2</v>
      </c>
      <c r="P10" s="232">
        <f t="shared" si="6"/>
        <v>0.11247006973346968</v>
      </c>
      <c r="Q10" s="234">
        <f t="shared" si="7"/>
        <v>0.11605551398641689</v>
      </c>
      <c r="R10" s="100"/>
      <c r="S10" s="29" t="s">
        <v>53</v>
      </c>
      <c r="T10" s="26" t="s">
        <v>54</v>
      </c>
      <c r="U10" s="232">
        <f t="shared" ref="U10:U13" si="48">U9</f>
        <v>3.4000000000000002E-2</v>
      </c>
      <c r="V10" s="106">
        <f t="shared" si="8"/>
        <v>0.85</v>
      </c>
      <c r="W10" s="232">
        <f t="shared" si="8"/>
        <v>0.12681184674525847</v>
      </c>
      <c r="X10" s="233">
        <f t="shared" si="9"/>
        <v>9.2811846745258469E-2</v>
      </c>
      <c r="Y10" s="232">
        <f t="shared" si="10"/>
        <v>0.1128900697334697</v>
      </c>
      <c r="Z10" s="234">
        <f t="shared" si="11"/>
        <v>0.11637051398641689</v>
      </c>
      <c r="AA10" s="100"/>
      <c r="AB10" s="29" t="s">
        <v>53</v>
      </c>
      <c r="AC10" s="26" t="s">
        <v>54</v>
      </c>
      <c r="AD10" s="232">
        <f t="shared" si="12"/>
        <v>2.3723333333333332E-2</v>
      </c>
      <c r="AE10" s="106">
        <v>0.80943810366538327</v>
      </c>
      <c r="AF10" s="232">
        <f t="shared" si="13"/>
        <v>0.12681184674525847</v>
      </c>
      <c r="AG10" s="233">
        <f t="shared" si="14"/>
        <v>0.10308851341192514</v>
      </c>
      <c r="AH10" s="232">
        <f t="shared" si="15"/>
        <v>0.10716710413916544</v>
      </c>
      <c r="AI10" s="234">
        <f t="shared" si="16"/>
        <v>0.11207828979068871</v>
      </c>
      <c r="AJ10" s="100"/>
      <c r="AK10" s="29" t="s">
        <v>53</v>
      </c>
      <c r="AL10" s="26" t="s">
        <v>54</v>
      </c>
      <c r="AM10" s="232">
        <f t="shared" si="17"/>
        <v>3.1199999999999999E-2</v>
      </c>
      <c r="AN10" s="106">
        <f t="shared" si="18"/>
        <v>0.80943810366538327</v>
      </c>
      <c r="AO10" s="232">
        <f t="shared" si="19"/>
        <v>0.12681184674525847</v>
      </c>
      <c r="AP10" s="233">
        <f t="shared" si="20"/>
        <v>9.5611846745258466E-2</v>
      </c>
      <c r="AQ10" s="232">
        <f t="shared" si="21"/>
        <v>0.10859187191742725</v>
      </c>
      <c r="AR10" s="234">
        <f t="shared" si="22"/>
        <v>0.11314686562438506</v>
      </c>
      <c r="AS10" s="100"/>
      <c r="AT10" s="29" t="s">
        <v>53</v>
      </c>
      <c r="AU10" s="26" t="s">
        <v>54</v>
      </c>
      <c r="AV10" s="232">
        <f t="shared" si="23"/>
        <v>3.4000000000000002E-2</v>
      </c>
      <c r="AW10" s="106">
        <f t="shared" si="24"/>
        <v>0.80943810366538327</v>
      </c>
      <c r="AX10" s="232">
        <f t="shared" si="25"/>
        <v>0.12681184674525847</v>
      </c>
      <c r="AY10" s="233">
        <f t="shared" si="26"/>
        <v>9.2811846745258469E-2</v>
      </c>
      <c r="AZ10" s="232">
        <f t="shared" si="27"/>
        <v>0.10912544522716419</v>
      </c>
      <c r="BA10" s="234">
        <f t="shared" si="28"/>
        <v>0.11354704560668777</v>
      </c>
      <c r="BC10" s="29" t="s">
        <v>53</v>
      </c>
      <c r="BD10" s="26" t="s">
        <v>54</v>
      </c>
      <c r="BE10" s="232">
        <f t="shared" si="29"/>
        <v>2.3723333333333332E-2</v>
      </c>
      <c r="BF10" s="106">
        <f>VLOOKUP(BD10,'Schedule 6-LT Beta'!$B$7:$I$12,8,FALSE)</f>
        <v>0.67</v>
      </c>
      <c r="BG10" s="232">
        <f t="shared" si="30"/>
        <v>0.12681184674525847</v>
      </c>
      <c r="BH10" s="233">
        <f t="shared" si="31"/>
        <v>0.10308851341192514</v>
      </c>
      <c r="BI10" s="232">
        <f t="shared" si="32"/>
        <v>9.2792637319323176E-2</v>
      </c>
      <c r="BJ10" s="234">
        <f t="shared" si="33"/>
        <v>0.10129743967580701</v>
      </c>
      <c r="BK10" s="100"/>
      <c r="BL10" s="29" t="s">
        <v>53</v>
      </c>
      <c r="BM10" s="26" t="s">
        <v>54</v>
      </c>
      <c r="BN10" s="232">
        <f t="shared" si="34"/>
        <v>3.1199999999999999E-2</v>
      </c>
      <c r="BO10" s="106">
        <f t="shared" si="35"/>
        <v>0.67</v>
      </c>
      <c r="BP10" s="232">
        <f t="shared" si="36"/>
        <v>0.12681184674525847</v>
      </c>
      <c r="BQ10" s="233">
        <f t="shared" si="37"/>
        <v>9.5611846745258466E-2</v>
      </c>
      <c r="BR10" s="232">
        <f t="shared" si="38"/>
        <v>9.5259937319323168E-2</v>
      </c>
      <c r="BS10" s="234">
        <f t="shared" si="39"/>
        <v>0.103147914675807</v>
      </c>
      <c r="BT10" s="100"/>
      <c r="BU10" s="29" t="s">
        <v>53</v>
      </c>
      <c r="BV10" s="26" t="s">
        <v>54</v>
      </c>
      <c r="BW10" s="232">
        <f t="shared" si="40"/>
        <v>3.4000000000000002E-2</v>
      </c>
      <c r="BX10" s="106">
        <f t="shared" si="41"/>
        <v>0.67</v>
      </c>
      <c r="BY10" s="232">
        <f t="shared" si="42"/>
        <v>0.12681184674525847</v>
      </c>
      <c r="BZ10" s="233">
        <f t="shared" si="43"/>
        <v>9.2811846745258469E-2</v>
      </c>
      <c r="CA10" s="232">
        <f t="shared" si="44"/>
        <v>9.6183937319323176E-2</v>
      </c>
      <c r="CB10" s="234">
        <f t="shared" si="45"/>
        <v>0.103840914675807</v>
      </c>
    </row>
    <row r="11" spans="1:80" ht="15" customHeight="1" x14ac:dyDescent="0.25">
      <c r="A11" s="29" t="s">
        <v>55</v>
      </c>
      <c r="B11" s="26" t="s">
        <v>56</v>
      </c>
      <c r="C11" s="232">
        <v>2.3723333333333332E-2</v>
      </c>
      <c r="D11" s="106">
        <v>0.8</v>
      </c>
      <c r="E11" s="232">
        <f t="shared" si="46"/>
        <v>0.12681184674525847</v>
      </c>
      <c r="F11" s="233">
        <f t="shared" ref="F11" si="49">IFERROR(E11-C11,"")</f>
        <v>0.10308851341192514</v>
      </c>
      <c r="G11" s="232">
        <f t="shared" ref="G11" si="50">IFERROR(D11*F11+C11,"")</f>
        <v>0.10619414406287345</v>
      </c>
      <c r="H11" s="234">
        <f t="shared" ref="H11" si="51">IFERROR(C11+(0.25*F11)+(0.75*D11*F11),"")</f>
        <v>0.11134856973346971</v>
      </c>
      <c r="I11" s="100"/>
      <c r="J11" s="29" t="s">
        <v>55</v>
      </c>
      <c r="K11" s="26" t="s">
        <v>56</v>
      </c>
      <c r="L11" s="232">
        <f t="shared" si="47"/>
        <v>3.1199999999999999E-2</v>
      </c>
      <c r="M11" s="106">
        <f t="shared" si="3"/>
        <v>0.8</v>
      </c>
      <c r="N11" s="232">
        <f t="shared" ref="N11" si="52">E11</f>
        <v>0.12681184674525847</v>
      </c>
      <c r="O11" s="233">
        <f t="shared" ref="O11" si="53">IFERROR(N11-L11,"")</f>
        <v>9.5611846745258466E-2</v>
      </c>
      <c r="P11" s="232">
        <f t="shared" ref="P11" si="54">IFERROR(M11*O11+L11,"")</f>
        <v>0.10768947739620677</v>
      </c>
      <c r="Q11" s="234">
        <f t="shared" ref="Q11" si="55">IFERROR(L11+(0.25*O11)+(0.75*M11*O11),"")</f>
        <v>0.11247006973346971</v>
      </c>
      <c r="R11" s="100"/>
      <c r="S11" s="29" t="s">
        <v>55</v>
      </c>
      <c r="T11" s="26" t="s">
        <v>56</v>
      </c>
      <c r="U11" s="232">
        <f t="shared" si="48"/>
        <v>3.4000000000000002E-2</v>
      </c>
      <c r="V11" s="106">
        <v>0.8</v>
      </c>
      <c r="W11" s="232">
        <f t="shared" ref="W11" si="56">N11</f>
        <v>0.12681184674525847</v>
      </c>
      <c r="X11" s="233">
        <f t="shared" ref="X11" si="57">IFERROR(W11-U11,"")</f>
        <v>9.2811846745258469E-2</v>
      </c>
      <c r="Y11" s="232">
        <f t="shared" ref="Y11" si="58">IFERROR(V11*X11+U11,"")</f>
        <v>0.10824947739620679</v>
      </c>
      <c r="Z11" s="234">
        <f t="shared" ref="Z11" si="59">IFERROR(U11+(0.25*X11)+(0.75*V11*X11),"")</f>
        <v>0.11289006973346971</v>
      </c>
      <c r="AA11" s="100"/>
      <c r="AB11" s="29" t="s">
        <v>55</v>
      </c>
      <c r="AC11" s="26" t="s">
        <v>56</v>
      </c>
      <c r="AD11" s="232">
        <f t="shared" si="12"/>
        <v>2.3723333333333332E-2</v>
      </c>
      <c r="AE11" s="106">
        <v>0.71370466575053304</v>
      </c>
      <c r="AF11" s="232">
        <f t="shared" ref="AF11" si="60">E11</f>
        <v>0.12681184674525847</v>
      </c>
      <c r="AG11" s="233">
        <f t="shared" ref="AG11" si="61">IFERROR(AF11-AD11,"")</f>
        <v>0.10308851341192514</v>
      </c>
      <c r="AH11" s="232">
        <f t="shared" ref="AH11" si="62">IFERROR(AE11*AG11+AD11,"")</f>
        <v>9.7298086340710702E-2</v>
      </c>
      <c r="AI11" s="234">
        <f t="shared" ref="AI11" si="63">IFERROR(AD11+(0.25*AG11)+(0.75*AE11*AG11),"")</f>
        <v>0.10467652644184766</v>
      </c>
      <c r="AJ11" s="100"/>
      <c r="AK11" s="29" t="s">
        <v>55</v>
      </c>
      <c r="AL11" s="26" t="s">
        <v>56</v>
      </c>
      <c r="AM11" s="232">
        <f t="shared" ref="AM11" si="64">L11</f>
        <v>3.1199999999999999E-2</v>
      </c>
      <c r="AN11" s="106">
        <f t="shared" ref="AN11" si="65">AE11</f>
        <v>0.71370466575053304</v>
      </c>
      <c r="AO11" s="232">
        <f t="shared" ref="AO11" si="66">E11</f>
        <v>0.12681184674525847</v>
      </c>
      <c r="AP11" s="233">
        <f t="shared" ref="AP11" si="67">IFERROR(AO11-AM11,"")</f>
        <v>9.5611846745258466E-2</v>
      </c>
      <c r="AQ11" s="232">
        <f t="shared" ref="AQ11" si="68">IFERROR(AN11*AP11+AM11,"")</f>
        <v>9.9438621123115883E-2</v>
      </c>
      <c r="AR11" s="234">
        <f t="shared" ref="AR11" si="69">IFERROR(AM11+(0.25*AP11)+(0.75*AN11*AP11),"")</f>
        <v>0.10628192752865154</v>
      </c>
      <c r="AS11" s="100"/>
      <c r="AT11" s="29" t="s">
        <v>55</v>
      </c>
      <c r="AU11" s="26" t="s">
        <v>56</v>
      </c>
      <c r="AV11" s="232">
        <f t="shared" ref="AV11" si="70">U11</f>
        <v>3.4000000000000002E-2</v>
      </c>
      <c r="AW11" s="106">
        <f t="shared" ref="AW11" si="71">AN11</f>
        <v>0.71370466575053304</v>
      </c>
      <c r="AX11" s="232">
        <f t="shared" ref="AX11" si="72">E11</f>
        <v>0.12681184674525847</v>
      </c>
      <c r="AY11" s="233">
        <f t="shared" ref="AY11" si="73">IFERROR(AX11-AV11,"")</f>
        <v>9.2811846745258469E-2</v>
      </c>
      <c r="AZ11" s="232">
        <f t="shared" ref="AZ11" si="74">IFERROR(AW11*AY11+AV11,"")</f>
        <v>0.10024024805901439</v>
      </c>
      <c r="BA11" s="234">
        <f t="shared" ref="BA11" si="75">IFERROR(AV11+(0.25*AY11)+(0.75*AW11*AY11),"")</f>
        <v>0.10688314773057542</v>
      </c>
      <c r="BC11" s="29" t="s">
        <v>55</v>
      </c>
      <c r="BD11" s="26" t="s">
        <v>56</v>
      </c>
      <c r="BE11" s="232">
        <f t="shared" si="29"/>
        <v>2.3723333333333332E-2</v>
      </c>
      <c r="BF11" s="106">
        <f>VLOOKUP(BD11,'Schedule 6-LT Beta'!$B$7:$I$12,8,FALSE)</f>
        <v>0.69166666666666654</v>
      </c>
      <c r="BG11" s="232">
        <f t="shared" ref="BG11" si="76">AF11</f>
        <v>0.12681184674525847</v>
      </c>
      <c r="BH11" s="233">
        <f t="shared" ref="BH11" si="77">IFERROR(BG11-BE11,"")</f>
        <v>0.10308851341192514</v>
      </c>
      <c r="BI11" s="232">
        <f t="shared" ref="BI11" si="78">IFERROR(BF11*BH11+BE11,"")</f>
        <v>9.5026221776581543E-2</v>
      </c>
      <c r="BJ11" s="234">
        <f t="shared" ref="BJ11" si="79">IFERROR(BE11+(0.25*BH11)+(0.75*BF11*BH11),"")</f>
        <v>0.10297262801875079</v>
      </c>
      <c r="BK11" s="100"/>
      <c r="BL11" s="29" t="s">
        <v>55</v>
      </c>
      <c r="BM11" s="26" t="s">
        <v>56</v>
      </c>
      <c r="BN11" s="232">
        <f t="shared" ref="BN11" si="80">AM11</f>
        <v>3.1199999999999999E-2</v>
      </c>
      <c r="BO11" s="106">
        <f t="shared" ref="BO11" si="81">BF11</f>
        <v>0.69166666666666654</v>
      </c>
      <c r="BP11" s="232">
        <f t="shared" ref="BP11" si="82">AF11</f>
        <v>0.12681184674525847</v>
      </c>
      <c r="BQ11" s="233">
        <f t="shared" ref="BQ11" si="83">IFERROR(BP11-BN11,"")</f>
        <v>9.5611846745258466E-2</v>
      </c>
      <c r="BR11" s="232">
        <f>IFERROR(BO11*BQ11+BN11,"")</f>
        <v>9.7331527332137097E-2</v>
      </c>
      <c r="BS11" s="234">
        <f>IFERROR(BN11+(0.25*BQ11)+(0.75*BO11*BQ11),"")</f>
        <v>0.10470160718541743</v>
      </c>
      <c r="BT11" s="100"/>
      <c r="BU11" s="29" t="s">
        <v>55</v>
      </c>
      <c r="BV11" s="26" t="s">
        <v>56</v>
      </c>
      <c r="BW11" s="232">
        <f t="shared" ref="BW11" si="84">AV11</f>
        <v>3.4000000000000002E-2</v>
      </c>
      <c r="BX11" s="106">
        <f t="shared" ref="BX11" si="85">BO11</f>
        <v>0.69166666666666654</v>
      </c>
      <c r="BY11" s="232">
        <f t="shared" ref="BY11" si="86">AF11</f>
        <v>0.12681184674525847</v>
      </c>
      <c r="BZ11" s="233">
        <f t="shared" ref="BZ11" si="87">IFERROR(BY11-BW11,"")</f>
        <v>9.2811846745258469E-2</v>
      </c>
      <c r="CA11" s="232">
        <f t="shared" ref="CA11" si="88">IFERROR(BX11*BZ11+BW11,"")</f>
        <v>9.8194860665470438E-2</v>
      </c>
      <c r="CB11" s="234">
        <f t="shared" ref="CB11" si="89">IFERROR(BW11+(0.25*BZ11)+(0.75*BX11*BZ11),"")</f>
        <v>0.10534910718541744</v>
      </c>
    </row>
    <row r="12" spans="1:80" ht="15" customHeight="1" x14ac:dyDescent="0.25">
      <c r="A12" s="29" t="s">
        <v>57</v>
      </c>
      <c r="B12" s="26" t="s">
        <v>58</v>
      </c>
      <c r="C12" s="232">
        <v>2.3723333333333332E-2</v>
      </c>
      <c r="D12" s="106">
        <v>0.8</v>
      </c>
      <c r="E12" s="232">
        <f t="shared" si="46"/>
        <v>0.12681184674525847</v>
      </c>
      <c r="F12" s="233">
        <f t="shared" ref="F12" si="90">IFERROR(E12-C12,"")</f>
        <v>0.10308851341192514</v>
      </c>
      <c r="G12" s="232">
        <f t="shared" ref="G12" si="91">IFERROR(D12*F12+C12,"")</f>
        <v>0.10619414406287345</v>
      </c>
      <c r="H12" s="234">
        <f t="shared" ref="H12" si="92">IFERROR(C12+(0.25*F12)+(0.75*D12*F12),"")</f>
        <v>0.11134856973346971</v>
      </c>
      <c r="I12" s="100"/>
      <c r="J12" s="29" t="s">
        <v>57</v>
      </c>
      <c r="K12" s="26" t="s">
        <v>58</v>
      </c>
      <c r="L12" s="232">
        <f t="shared" si="47"/>
        <v>3.1199999999999999E-2</v>
      </c>
      <c r="M12" s="106">
        <f t="shared" si="3"/>
        <v>0.8</v>
      </c>
      <c r="N12" s="232">
        <f t="shared" si="4"/>
        <v>0.12681184674525847</v>
      </c>
      <c r="O12" s="233">
        <f t="shared" si="5"/>
        <v>9.5611846745258466E-2</v>
      </c>
      <c r="P12" s="232">
        <f t="shared" si="6"/>
        <v>0.10768947739620677</v>
      </c>
      <c r="Q12" s="234">
        <f t="shared" si="7"/>
        <v>0.11247006973346971</v>
      </c>
      <c r="R12" s="100"/>
      <c r="S12" s="29" t="s">
        <v>57</v>
      </c>
      <c r="T12" s="26" t="s">
        <v>58</v>
      </c>
      <c r="U12" s="232">
        <f t="shared" si="48"/>
        <v>3.4000000000000002E-2</v>
      </c>
      <c r="V12" s="106">
        <f t="shared" si="8"/>
        <v>0.8</v>
      </c>
      <c r="W12" s="232">
        <f t="shared" si="8"/>
        <v>0.12681184674525847</v>
      </c>
      <c r="X12" s="233">
        <f t="shared" si="9"/>
        <v>9.2811846745258469E-2</v>
      </c>
      <c r="Y12" s="232">
        <f t="shared" si="10"/>
        <v>0.10824947739620679</v>
      </c>
      <c r="Z12" s="234">
        <f t="shared" si="11"/>
        <v>0.11289006973346971</v>
      </c>
      <c r="AA12" s="100"/>
      <c r="AB12" s="29" t="s">
        <v>57</v>
      </c>
      <c r="AC12" s="26" t="s">
        <v>58</v>
      </c>
      <c r="AD12" s="232">
        <f t="shared" si="12"/>
        <v>2.3723333333333332E-2</v>
      </c>
      <c r="AE12" s="106">
        <v>0.81260229552825181</v>
      </c>
      <c r="AF12" s="232">
        <f t="shared" si="13"/>
        <v>0.12681184674525847</v>
      </c>
      <c r="AG12" s="233">
        <f t="shared" si="14"/>
        <v>0.10308851341192514</v>
      </c>
      <c r="AH12" s="232">
        <f t="shared" si="15"/>
        <v>0.10749329597445867</v>
      </c>
      <c r="AI12" s="234">
        <f t="shared" si="16"/>
        <v>0.11232293366715863</v>
      </c>
      <c r="AJ12" s="100"/>
      <c r="AK12" s="29" t="s">
        <v>57</v>
      </c>
      <c r="AL12" s="26" t="s">
        <v>58</v>
      </c>
      <c r="AM12" s="232">
        <f t="shared" si="17"/>
        <v>3.1199999999999999E-2</v>
      </c>
      <c r="AN12" s="106">
        <f t="shared" si="18"/>
        <v>0.81260229552825181</v>
      </c>
      <c r="AO12" s="232">
        <f t="shared" si="19"/>
        <v>0.12681184674525847</v>
      </c>
      <c r="AP12" s="233">
        <f t="shared" si="20"/>
        <v>9.5611846745258466E-2</v>
      </c>
      <c r="AQ12" s="232">
        <f t="shared" si="21"/>
        <v>0.10889440614489243</v>
      </c>
      <c r="AR12" s="234">
        <f t="shared" si="22"/>
        <v>0.11337376629498394</v>
      </c>
      <c r="AS12" s="100"/>
      <c r="AT12" s="29" t="s">
        <v>57</v>
      </c>
      <c r="AU12" s="26" t="s">
        <v>58</v>
      </c>
      <c r="AV12" s="232">
        <f t="shared" si="23"/>
        <v>3.4000000000000002E-2</v>
      </c>
      <c r="AW12" s="106">
        <f t="shared" si="24"/>
        <v>0.81260229552825181</v>
      </c>
      <c r="AX12" s="232">
        <f t="shared" si="25"/>
        <v>0.12681184674525847</v>
      </c>
      <c r="AY12" s="233">
        <f t="shared" si="26"/>
        <v>9.2811846745258469E-2</v>
      </c>
      <c r="AZ12" s="232">
        <f t="shared" si="27"/>
        <v>0.10941911971741335</v>
      </c>
      <c r="BA12" s="234">
        <f t="shared" si="28"/>
        <v>0.11376730147437462</v>
      </c>
      <c r="BC12" s="29" t="s">
        <v>57</v>
      </c>
      <c r="BD12" s="26" t="s">
        <v>58</v>
      </c>
      <c r="BE12" s="232">
        <f t="shared" si="29"/>
        <v>2.3723333333333332E-2</v>
      </c>
      <c r="BF12" s="106">
        <f>VLOOKUP(BD12,'Schedule 6-LT Beta'!$B$7:$I$12,8,FALSE)</f>
        <v>0.72</v>
      </c>
      <c r="BG12" s="232">
        <f t="shared" si="30"/>
        <v>0.12681184674525847</v>
      </c>
      <c r="BH12" s="233">
        <f t="shared" si="31"/>
        <v>0.10308851341192514</v>
      </c>
      <c r="BI12" s="232">
        <f t="shared" si="32"/>
        <v>9.7947062989919426E-2</v>
      </c>
      <c r="BJ12" s="234">
        <f t="shared" si="33"/>
        <v>0.10516325892875419</v>
      </c>
      <c r="BK12" s="100"/>
      <c r="BL12" s="29" t="s">
        <v>57</v>
      </c>
      <c r="BM12" s="26" t="s">
        <v>58</v>
      </c>
      <c r="BN12" s="232">
        <f t="shared" si="34"/>
        <v>3.1199999999999999E-2</v>
      </c>
      <c r="BO12" s="106">
        <f t="shared" si="35"/>
        <v>0.72</v>
      </c>
      <c r="BP12" s="232">
        <f t="shared" si="36"/>
        <v>0.12681184674525847</v>
      </c>
      <c r="BQ12" s="233">
        <f t="shared" si="37"/>
        <v>9.5611846745258466E-2</v>
      </c>
      <c r="BR12" s="232">
        <f t="shared" si="38"/>
        <v>0.10004052965658608</v>
      </c>
      <c r="BS12" s="234">
        <f t="shared" si="39"/>
        <v>0.10673335892875419</v>
      </c>
      <c r="BT12" s="100"/>
      <c r="BU12" s="29" t="s">
        <v>57</v>
      </c>
      <c r="BV12" s="26" t="s">
        <v>58</v>
      </c>
      <c r="BW12" s="232">
        <f t="shared" si="40"/>
        <v>3.4000000000000002E-2</v>
      </c>
      <c r="BX12" s="106">
        <f t="shared" si="41"/>
        <v>0.72</v>
      </c>
      <c r="BY12" s="232">
        <f t="shared" si="42"/>
        <v>0.12681184674525847</v>
      </c>
      <c r="BZ12" s="233">
        <f t="shared" si="43"/>
        <v>9.2811846745258469E-2</v>
      </c>
      <c r="CA12" s="232">
        <f t="shared" si="44"/>
        <v>0.1008245296565861</v>
      </c>
      <c r="CB12" s="234">
        <f t="shared" si="45"/>
        <v>0.10732135892875419</v>
      </c>
    </row>
    <row r="13" spans="1:80" ht="15" customHeight="1" x14ac:dyDescent="0.25">
      <c r="A13" s="51" t="s">
        <v>59</v>
      </c>
      <c r="B13" s="27" t="s">
        <v>60</v>
      </c>
      <c r="C13" s="235">
        <v>2.3723333333333332E-2</v>
      </c>
      <c r="D13" s="236">
        <v>0.85</v>
      </c>
      <c r="E13" s="235">
        <f>E12</f>
        <v>0.12681184674525847</v>
      </c>
      <c r="F13" s="237">
        <f t="shared" si="0"/>
        <v>0.10308851341192514</v>
      </c>
      <c r="G13" s="235">
        <f t="shared" si="1"/>
        <v>0.1113485697334697</v>
      </c>
      <c r="H13" s="235">
        <f t="shared" si="2"/>
        <v>0.11521438898641689</v>
      </c>
      <c r="I13" s="100"/>
      <c r="J13" s="51" t="s">
        <v>59</v>
      </c>
      <c r="K13" s="27" t="s">
        <v>60</v>
      </c>
      <c r="L13" s="235">
        <f>L12</f>
        <v>3.1199999999999999E-2</v>
      </c>
      <c r="M13" s="236">
        <f t="shared" si="3"/>
        <v>0.85</v>
      </c>
      <c r="N13" s="235">
        <f t="shared" si="4"/>
        <v>0.12681184674525847</v>
      </c>
      <c r="O13" s="237">
        <f t="shared" si="5"/>
        <v>9.5611846745258466E-2</v>
      </c>
      <c r="P13" s="235">
        <f t="shared" si="6"/>
        <v>0.11247006973346968</v>
      </c>
      <c r="Q13" s="235">
        <f t="shared" si="7"/>
        <v>0.11605551398641689</v>
      </c>
      <c r="R13" s="100"/>
      <c r="S13" s="51" t="s">
        <v>59</v>
      </c>
      <c r="T13" s="27" t="s">
        <v>60</v>
      </c>
      <c r="U13" s="235">
        <f t="shared" si="48"/>
        <v>3.4000000000000002E-2</v>
      </c>
      <c r="V13" s="236">
        <f t="shared" si="8"/>
        <v>0.85</v>
      </c>
      <c r="W13" s="235">
        <f t="shared" si="8"/>
        <v>0.12681184674525847</v>
      </c>
      <c r="X13" s="237">
        <f t="shared" si="9"/>
        <v>9.2811846745258469E-2</v>
      </c>
      <c r="Y13" s="235">
        <f t="shared" si="10"/>
        <v>0.1128900697334697</v>
      </c>
      <c r="Z13" s="235">
        <f t="shared" si="11"/>
        <v>0.11637051398641689</v>
      </c>
      <c r="AA13" s="100"/>
      <c r="AB13" s="51" t="s">
        <v>59</v>
      </c>
      <c r="AC13" s="27" t="s">
        <v>60</v>
      </c>
      <c r="AD13" s="235">
        <f t="shared" si="12"/>
        <v>2.3723333333333332E-2</v>
      </c>
      <c r="AE13" s="236">
        <v>0.75947284830051331</v>
      </c>
      <c r="AF13" s="235">
        <f t="shared" si="13"/>
        <v>0.12681184674525847</v>
      </c>
      <c r="AG13" s="237">
        <f t="shared" si="14"/>
        <v>0.10308851341192514</v>
      </c>
      <c r="AH13" s="235">
        <f t="shared" si="15"/>
        <v>0.10201626024135378</v>
      </c>
      <c r="AI13" s="235">
        <f t="shared" si="16"/>
        <v>0.10821515686732996</v>
      </c>
      <c r="AJ13" s="100"/>
      <c r="AK13" s="51" t="s">
        <v>59</v>
      </c>
      <c r="AL13" s="27" t="s">
        <v>60</v>
      </c>
      <c r="AM13" s="235">
        <f t="shared" si="17"/>
        <v>3.1199999999999999E-2</v>
      </c>
      <c r="AN13" s="236">
        <f t="shared" si="18"/>
        <v>0.75947284830051331</v>
      </c>
      <c r="AO13" s="235">
        <f t="shared" si="19"/>
        <v>0.12681184674525847</v>
      </c>
      <c r="AP13" s="237">
        <f t="shared" si="20"/>
        <v>9.5611846745258466E-2</v>
      </c>
      <c r="AQ13" s="235">
        <f t="shared" si="21"/>
        <v>0.10381460157889361</v>
      </c>
      <c r="AR13" s="235">
        <f t="shared" si="22"/>
        <v>0.10956391287048484</v>
      </c>
      <c r="AS13" s="100"/>
      <c r="AT13" s="51" t="s">
        <v>59</v>
      </c>
      <c r="AU13" s="27" t="s">
        <v>60</v>
      </c>
      <c r="AV13" s="235">
        <f t="shared" si="23"/>
        <v>3.4000000000000002E-2</v>
      </c>
      <c r="AW13" s="236">
        <f t="shared" si="24"/>
        <v>0.75947284830051331</v>
      </c>
      <c r="AX13" s="235">
        <f t="shared" si="25"/>
        <v>0.12681184674525847</v>
      </c>
      <c r="AY13" s="237">
        <f t="shared" si="26"/>
        <v>9.2811846745258469E-2</v>
      </c>
      <c r="AZ13" s="235">
        <f t="shared" si="27"/>
        <v>0.10448807760365218</v>
      </c>
      <c r="BA13" s="235">
        <f t="shared" si="28"/>
        <v>0.11006901988905377</v>
      </c>
      <c r="BC13" s="51" t="s">
        <v>59</v>
      </c>
      <c r="BD13" s="27" t="s">
        <v>60</v>
      </c>
      <c r="BE13" s="235">
        <f t="shared" si="29"/>
        <v>2.3723333333333332E-2</v>
      </c>
      <c r="BF13" s="236">
        <f>VLOOKUP(BD13,'Schedule 6-LT Beta'!$B$7:$I$12,8,FALSE)</f>
        <v>0.73333333333333328</v>
      </c>
      <c r="BG13" s="235">
        <f t="shared" si="30"/>
        <v>0.12681184674525847</v>
      </c>
      <c r="BH13" s="237">
        <f t="shared" si="31"/>
        <v>0.10308851341192514</v>
      </c>
      <c r="BI13" s="235">
        <f t="shared" si="32"/>
        <v>9.9321576502078429E-2</v>
      </c>
      <c r="BJ13" s="235">
        <f t="shared" si="33"/>
        <v>0.10619414406287345</v>
      </c>
      <c r="BK13" s="100"/>
      <c r="BL13" s="51" t="s">
        <v>59</v>
      </c>
      <c r="BM13" s="27" t="s">
        <v>60</v>
      </c>
      <c r="BN13" s="235">
        <f t="shared" si="34"/>
        <v>3.1199999999999999E-2</v>
      </c>
      <c r="BO13" s="236">
        <f t="shared" si="35"/>
        <v>0.73333333333333328</v>
      </c>
      <c r="BP13" s="235">
        <f t="shared" si="36"/>
        <v>0.12681184674525847</v>
      </c>
      <c r="BQ13" s="237">
        <f t="shared" si="37"/>
        <v>9.5611846745258466E-2</v>
      </c>
      <c r="BR13" s="235">
        <f t="shared" si="38"/>
        <v>0.10131535427985619</v>
      </c>
      <c r="BS13" s="235">
        <f t="shared" si="39"/>
        <v>0.10768947739620677</v>
      </c>
      <c r="BT13" s="100"/>
      <c r="BU13" s="51" t="s">
        <v>59</v>
      </c>
      <c r="BV13" s="27" t="s">
        <v>60</v>
      </c>
      <c r="BW13" s="235">
        <f t="shared" si="40"/>
        <v>3.4000000000000002E-2</v>
      </c>
      <c r="BX13" s="236">
        <f t="shared" si="41"/>
        <v>0.73333333333333328</v>
      </c>
      <c r="BY13" s="235">
        <f t="shared" si="42"/>
        <v>0.12681184674525847</v>
      </c>
      <c r="BZ13" s="237">
        <f t="shared" si="43"/>
        <v>9.2811846745258469E-2</v>
      </c>
      <c r="CA13" s="235">
        <f t="shared" si="44"/>
        <v>0.10206202094652288</v>
      </c>
      <c r="CB13" s="235">
        <f t="shared" si="45"/>
        <v>0.10824947739620677</v>
      </c>
    </row>
    <row r="14" spans="1:80" ht="15" customHeight="1" x14ac:dyDescent="0.25">
      <c r="A14" s="29" t="s">
        <v>6</v>
      </c>
      <c r="B14" s="100"/>
      <c r="C14" s="100"/>
      <c r="D14" s="238"/>
      <c r="E14" s="239"/>
      <c r="F14" s="239"/>
      <c r="G14" s="239">
        <f>AVERAGE(G8:G13)</f>
        <v>0.1113485697334697</v>
      </c>
      <c r="H14" s="239">
        <f>AVERAGE(H8:H13)</f>
        <v>0.11521438898641691</v>
      </c>
      <c r="I14" s="100"/>
      <c r="J14" s="29" t="s">
        <v>6</v>
      </c>
      <c r="K14" s="100"/>
      <c r="L14" s="100"/>
      <c r="M14" s="238"/>
      <c r="N14" s="232"/>
      <c r="O14" s="239"/>
      <c r="P14" s="239">
        <f>AVERAGE(P8:P13)</f>
        <v>0.11247006973346969</v>
      </c>
      <c r="Q14" s="239">
        <f>AVERAGE(Q8:Q13)</f>
        <v>0.11605551398641691</v>
      </c>
      <c r="R14" s="100"/>
      <c r="S14" s="29" t="s">
        <v>6</v>
      </c>
      <c r="T14" s="100"/>
      <c r="U14" s="100"/>
      <c r="V14" s="238"/>
      <c r="W14" s="232"/>
      <c r="X14" s="239"/>
      <c r="Y14" s="239">
        <f>AVERAGE(Y8:Y13)</f>
        <v>0.11289006973346971</v>
      </c>
      <c r="Z14" s="239">
        <f>AVERAGE(Z8:Z13)</f>
        <v>0.11637051398641689</v>
      </c>
      <c r="AA14" s="100"/>
      <c r="AB14" s="29" t="s">
        <v>6</v>
      </c>
      <c r="AC14" s="100"/>
      <c r="AD14" s="100"/>
      <c r="AE14" s="238"/>
      <c r="AF14" s="232"/>
      <c r="AG14" s="239"/>
      <c r="AH14" s="239">
        <f>AVERAGE(AH8:AH13)</f>
        <v>0.10377141120700129</v>
      </c>
      <c r="AI14" s="239">
        <f>AVERAGE(AI8:AI13)</f>
        <v>0.10953152009156558</v>
      </c>
      <c r="AJ14" s="100"/>
      <c r="AK14" s="29" t="s">
        <v>6</v>
      </c>
      <c r="AL14" s="100"/>
      <c r="AM14" s="100"/>
      <c r="AN14" s="238"/>
      <c r="AO14" s="232"/>
      <c r="AP14" s="239"/>
      <c r="AQ14" s="239">
        <f>AVERAGE(AQ8:AQ13)</f>
        <v>0.10544245728840147</v>
      </c>
      <c r="AR14" s="239">
        <f>AVERAGE(AR8:AR13)</f>
        <v>0.11078480465261574</v>
      </c>
      <c r="AS14" s="100"/>
      <c r="AT14" s="29" t="s">
        <v>6</v>
      </c>
      <c r="AU14" s="100"/>
      <c r="AV14" s="100"/>
      <c r="AW14" s="238"/>
      <c r="AX14" s="232"/>
      <c r="AY14" s="239"/>
      <c r="AZ14" s="239">
        <f>AVERAGE(AZ8:AZ13)</f>
        <v>0.10606826143836856</v>
      </c>
      <c r="BA14" s="239">
        <f>AVERAGE(BA8:BA13)</f>
        <v>0.11125415776509107</v>
      </c>
      <c r="BC14" s="29" t="s">
        <v>6</v>
      </c>
      <c r="BD14" s="100"/>
      <c r="BE14" s="100"/>
      <c r="BF14" s="238"/>
      <c r="BG14" s="239"/>
      <c r="BH14" s="238"/>
      <c r="BI14" s="239">
        <f t="shared" ref="BI14" si="93">AVERAGE(BI8:BI13)</f>
        <v>9.829069136795919E-2</v>
      </c>
      <c r="BJ14" s="239">
        <f>AVERAGE(BJ8:BJ13)</f>
        <v>0.10542098021228401</v>
      </c>
      <c r="BK14" s="100"/>
      <c r="BL14" s="29" t="s">
        <v>6</v>
      </c>
      <c r="BM14" s="100"/>
      <c r="BN14" s="100"/>
      <c r="BO14" s="238"/>
      <c r="BP14" s="239"/>
      <c r="BQ14" s="239"/>
      <c r="BR14" s="239">
        <f>AVERAGE(BR8:BR13)</f>
        <v>0.10035923581240362</v>
      </c>
      <c r="BS14" s="239">
        <f>AVERAGE(BS8:BS13)</f>
        <v>0.10697238854561734</v>
      </c>
      <c r="BT14" s="100"/>
      <c r="BU14" s="29" t="s">
        <v>6</v>
      </c>
      <c r="BV14" s="100"/>
      <c r="BW14" s="100"/>
      <c r="BX14" s="238"/>
      <c r="BY14" s="239"/>
      <c r="BZ14" s="239"/>
      <c r="CA14" s="239">
        <f>AVERAGE(CA8:CA13)</f>
        <v>0.10113390247907028</v>
      </c>
      <c r="CB14" s="239">
        <f>AVERAGE(CB8:CB13)</f>
        <v>0.10755338854561731</v>
      </c>
    </row>
    <row r="15" spans="1:80" ht="15" customHeight="1" x14ac:dyDescent="0.25">
      <c r="A15" s="29" t="s">
        <v>14</v>
      </c>
      <c r="B15" s="100"/>
      <c r="C15" s="100"/>
      <c r="D15" s="238"/>
      <c r="E15" s="232"/>
      <c r="F15" s="239"/>
      <c r="G15" s="239">
        <f>MEDIAN(G8:G13)</f>
        <v>0.10877135689817158</v>
      </c>
      <c r="H15" s="239">
        <f>MEDIAN(H8:H13)</f>
        <v>0.1132814793599433</v>
      </c>
      <c r="I15" s="100"/>
      <c r="J15" s="29" t="s">
        <v>14</v>
      </c>
      <c r="K15" s="100"/>
      <c r="L15" s="100"/>
      <c r="M15" s="238"/>
      <c r="N15" s="232"/>
      <c r="O15" s="239"/>
      <c r="P15" s="239">
        <f>MEDIAN(P8:P13)</f>
        <v>0.11007977356483822</v>
      </c>
      <c r="Q15" s="239">
        <f>MEDIAN(Q8:Q13)</f>
        <v>0.1142627918599433</v>
      </c>
      <c r="R15" s="100"/>
      <c r="S15" s="29" t="s">
        <v>14</v>
      </c>
      <c r="T15" s="100"/>
      <c r="U15" s="100"/>
      <c r="V15" s="238"/>
      <c r="W15" s="232"/>
      <c r="X15" s="239"/>
      <c r="Y15" s="239">
        <f>MEDIAN(Y8:Y13)</f>
        <v>0.11056977356483824</v>
      </c>
      <c r="Z15" s="239">
        <f>MEDIAN(Z8:Z13)</f>
        <v>0.11463029185994331</v>
      </c>
      <c r="AA15" s="100"/>
      <c r="AB15" s="29" t="s">
        <v>14</v>
      </c>
      <c r="AC15" s="100"/>
      <c r="AD15" s="100"/>
      <c r="AE15" s="238"/>
      <c r="AF15" s="232"/>
      <c r="AG15" s="239"/>
      <c r="AH15" s="239">
        <f>MEDIAN(AH8:AH13)</f>
        <v>0.10459168219025961</v>
      </c>
      <c r="AI15" s="239">
        <f>MEDIAN(AI8:AI13)</f>
        <v>0.11014672332900934</v>
      </c>
      <c r="AJ15" s="100"/>
      <c r="AK15" s="29" t="s">
        <v>14</v>
      </c>
      <c r="AL15" s="100"/>
      <c r="AM15" s="100"/>
      <c r="AN15" s="238"/>
      <c r="AO15" s="232"/>
      <c r="AP15" s="239"/>
      <c r="AQ15" s="239">
        <f>MEDIAN(AQ8:AQ13)</f>
        <v>0.10620323674816043</v>
      </c>
      <c r="AR15" s="239">
        <f>MEDIAN(AR8:AR13)</f>
        <v>0.11135538924743495</v>
      </c>
      <c r="AS15" s="100"/>
      <c r="AT15" s="29" t="s">
        <v>14</v>
      </c>
      <c r="AU15" s="100"/>
      <c r="AV15" s="100"/>
      <c r="AW15" s="238"/>
      <c r="AX15" s="232"/>
      <c r="AY15" s="239"/>
      <c r="AZ15" s="239">
        <f>MEDIAN(AZ8:AZ13)</f>
        <v>0.10680676141540818</v>
      </c>
      <c r="BA15" s="239">
        <f>MEDIAN(BA8:BA13)</f>
        <v>0.11180803274787077</v>
      </c>
      <c r="BC15" s="29" t="s">
        <v>14</v>
      </c>
      <c r="BD15" s="100"/>
      <c r="BE15" s="100"/>
      <c r="BF15" s="238"/>
      <c r="BG15" s="239"/>
      <c r="BH15" s="238"/>
      <c r="BI15" s="239">
        <f t="shared" ref="BI15" si="94">MEDIAN(BI8:BI13)</f>
        <v>9.6916177855800173E-2</v>
      </c>
      <c r="BJ15" s="239">
        <f>MEDIAN(BJ8:BJ13)</f>
        <v>0.10439009507816475</v>
      </c>
      <c r="BK15" s="100"/>
      <c r="BL15" s="29" t="s">
        <v>14</v>
      </c>
      <c r="BM15" s="100"/>
      <c r="BN15" s="100"/>
      <c r="BO15" s="238"/>
      <c r="BP15" s="239"/>
      <c r="BQ15" s="239"/>
      <c r="BR15" s="239">
        <f>MEDIAN(BR8:BR13)</f>
        <v>9.9084411189133512E-2</v>
      </c>
      <c r="BS15" s="239">
        <f>MEDIAN(BS8:BS13)</f>
        <v>0.10601627007816475</v>
      </c>
      <c r="BT15" s="100"/>
      <c r="BU15" s="29" t="s">
        <v>14</v>
      </c>
      <c r="BV15" s="100"/>
      <c r="BW15" s="100"/>
      <c r="BX15" s="238"/>
      <c r="BY15" s="239"/>
      <c r="BZ15" s="239"/>
      <c r="CA15" s="239">
        <f>MEDIAN(CA8:CA13)</f>
        <v>9.9896411189133519E-2</v>
      </c>
      <c r="CB15" s="239">
        <f>MEDIAN(CB8:CB13)</f>
        <v>0.10662527007816475</v>
      </c>
    </row>
    <row r="16" spans="1:80" ht="15" customHeight="1" x14ac:dyDescent="0.25">
      <c r="BH16" s="24"/>
      <c r="BI16" s="24"/>
      <c r="BJ16" s="24"/>
      <c r="BQ16" s="24"/>
      <c r="BR16" s="24"/>
      <c r="BS16" s="24"/>
      <c r="BZ16" s="24"/>
      <c r="CA16" s="24"/>
      <c r="CB16" s="24"/>
    </row>
    <row r="17" spans="1:80" ht="15" customHeight="1" x14ac:dyDescent="0.25">
      <c r="BH17" s="24"/>
      <c r="BI17" s="24"/>
      <c r="BJ17" s="24"/>
      <c r="BQ17" s="24"/>
      <c r="BR17" s="24"/>
      <c r="BS17" s="24"/>
      <c r="BZ17" s="24"/>
      <c r="CA17" s="24"/>
      <c r="CB17" s="24"/>
    </row>
    <row r="18" spans="1:80" ht="15" customHeight="1" x14ac:dyDescent="0.25">
      <c r="BH18" s="24"/>
      <c r="BI18" s="24"/>
      <c r="BJ18" s="24"/>
      <c r="BQ18" s="24"/>
      <c r="BR18" s="24"/>
      <c r="BS18" s="24"/>
      <c r="BZ18" s="24"/>
      <c r="CA18" s="24"/>
      <c r="CB18" s="24"/>
    </row>
    <row r="19" spans="1:80" ht="15" customHeight="1" x14ac:dyDescent="0.25">
      <c r="A19" s="51" t="s">
        <v>61</v>
      </c>
      <c r="J19" s="51" t="s">
        <v>61</v>
      </c>
      <c r="S19" s="51" t="s">
        <v>61</v>
      </c>
      <c r="AB19" s="51" t="s">
        <v>61</v>
      </c>
      <c r="AG19" s="21"/>
      <c r="AH19" s="21"/>
      <c r="AI19" s="21"/>
      <c r="AK19" s="51" t="s">
        <v>61</v>
      </c>
      <c r="AP19" s="21"/>
      <c r="AQ19" s="21"/>
      <c r="AR19" s="21"/>
      <c r="AT19" s="51" t="s">
        <v>61</v>
      </c>
      <c r="BC19" s="51" t="s">
        <v>61</v>
      </c>
      <c r="BL19" s="51" t="s">
        <v>61</v>
      </c>
      <c r="BU19" s="51" t="s">
        <v>61</v>
      </c>
      <c r="BZ19" s="24"/>
      <c r="CA19" s="24"/>
      <c r="CB19" s="24"/>
    </row>
    <row r="20" spans="1:80" ht="15" customHeight="1" x14ac:dyDescent="0.25">
      <c r="A20" s="21" t="s">
        <v>101</v>
      </c>
      <c r="J20" s="23" t="s">
        <v>102</v>
      </c>
      <c r="S20" s="240" t="s">
        <v>103</v>
      </c>
      <c r="AB20" s="23" t="s">
        <v>101</v>
      </c>
      <c r="AG20" s="21"/>
      <c r="AH20" s="21"/>
      <c r="AI20" s="21"/>
      <c r="AK20" s="23" t="s">
        <v>102</v>
      </c>
      <c r="AP20" s="21"/>
      <c r="AQ20" s="21"/>
      <c r="AR20" s="21"/>
      <c r="AT20" s="240" t="s">
        <v>103</v>
      </c>
      <c r="BC20" s="23" t="s">
        <v>101</v>
      </c>
      <c r="BL20" s="23" t="s">
        <v>102</v>
      </c>
      <c r="BU20" s="240" t="s">
        <v>103</v>
      </c>
      <c r="BZ20" s="24"/>
      <c r="CA20" s="24"/>
      <c r="CB20" s="24"/>
    </row>
    <row r="21" spans="1:80" ht="15" customHeight="1" x14ac:dyDescent="0.25">
      <c r="A21" s="21" t="s">
        <v>104</v>
      </c>
      <c r="J21" s="21" t="s">
        <v>105</v>
      </c>
      <c r="S21" s="21" t="s">
        <v>105</v>
      </c>
      <c r="AB21" s="21" t="s">
        <v>106</v>
      </c>
      <c r="AG21" s="21"/>
      <c r="AH21" s="21"/>
      <c r="AI21" s="21"/>
      <c r="AK21" s="21" t="str">
        <f>AB21</f>
        <v>[2] Source: Bloomberg Professional</v>
      </c>
      <c r="AP21" s="21"/>
      <c r="AQ21" s="21"/>
      <c r="AR21" s="21"/>
      <c r="AT21" s="21" t="str">
        <f>AK21</f>
        <v>[2] Source: Bloomberg Professional</v>
      </c>
      <c r="BC21" s="23" t="s">
        <v>107</v>
      </c>
      <c r="BL21" s="21" t="str">
        <f>BC21</f>
        <v>[2] Source: Exhibit AEB 1.1, Schedule 6</v>
      </c>
      <c r="BU21" s="21" t="str">
        <f>BL21</f>
        <v>[2] Source: Exhibit AEB 1.1, Schedule 6</v>
      </c>
      <c r="BZ21" s="24"/>
      <c r="CA21" s="24"/>
      <c r="CB21" s="24"/>
    </row>
    <row r="22" spans="1:80" ht="15" customHeight="1" x14ac:dyDescent="0.25">
      <c r="A22" s="21" t="s">
        <v>108</v>
      </c>
      <c r="J22" s="21" t="str">
        <f>$A$22</f>
        <v>[3] Source: Exhibit AEB 1.1, Schedule 5</v>
      </c>
      <c r="S22" s="21" t="str">
        <f>$A$22</f>
        <v>[3] Source: Exhibit AEB 1.1, Schedule 5</v>
      </c>
      <c r="AB22" s="21" t="str">
        <f>$A$22</f>
        <v>[3] Source: Exhibit AEB 1.1, Schedule 5</v>
      </c>
      <c r="AG22" s="21"/>
      <c r="AH22" s="21"/>
      <c r="AI22" s="21"/>
      <c r="AK22" s="21" t="str">
        <f>$A$22</f>
        <v>[3] Source: Exhibit AEB 1.1, Schedule 5</v>
      </c>
      <c r="AP22" s="21"/>
      <c r="AQ22" s="21"/>
      <c r="AR22" s="21"/>
      <c r="AT22" s="21" t="str">
        <f>$A$22</f>
        <v>[3] Source: Exhibit AEB 1.1, Schedule 5</v>
      </c>
      <c r="BC22" s="21" t="str">
        <f>$A$22</f>
        <v>[3] Source: Exhibit AEB 1.1, Schedule 5</v>
      </c>
      <c r="BL22" s="21" t="str">
        <f>$A$22</f>
        <v>[3] Source: Exhibit AEB 1.1, Schedule 5</v>
      </c>
      <c r="BU22" s="21" t="str">
        <f>$A$22</f>
        <v>[3] Source: Exhibit AEB 1.1, Schedule 5</v>
      </c>
      <c r="BZ22" s="24"/>
      <c r="CA22" s="24"/>
      <c r="CB22" s="24"/>
    </row>
    <row r="23" spans="1:80" ht="15" customHeight="1" x14ac:dyDescent="0.25">
      <c r="A23" s="21" t="s">
        <v>109</v>
      </c>
      <c r="J23" s="21" t="s">
        <v>109</v>
      </c>
      <c r="S23" s="21" t="s">
        <v>109</v>
      </c>
      <c r="AB23" s="21" t="s">
        <v>109</v>
      </c>
      <c r="AG23" s="21"/>
      <c r="AH23" s="21"/>
      <c r="AI23" s="21"/>
      <c r="AK23" s="21" t="s">
        <v>109</v>
      </c>
      <c r="AP23" s="21"/>
      <c r="AQ23" s="21"/>
      <c r="AR23" s="21"/>
      <c r="AT23" s="21" t="s">
        <v>109</v>
      </c>
      <c r="BC23" s="21" t="s">
        <v>109</v>
      </c>
      <c r="BL23" s="21" t="s">
        <v>109</v>
      </c>
      <c r="BU23" s="21" t="s">
        <v>109</v>
      </c>
      <c r="BZ23" s="24"/>
      <c r="CA23" s="24"/>
      <c r="CB23" s="24"/>
    </row>
    <row r="24" spans="1:80" ht="15" customHeight="1" x14ac:dyDescent="0.25">
      <c r="A24" s="240" t="s">
        <v>110</v>
      </c>
      <c r="J24" s="240" t="s">
        <v>110</v>
      </c>
      <c r="S24" s="240" t="s">
        <v>110</v>
      </c>
      <c r="AB24" s="240" t="s">
        <v>110</v>
      </c>
      <c r="AG24" s="21"/>
      <c r="AH24" s="21"/>
      <c r="AI24" s="21"/>
      <c r="AK24" s="240" t="s">
        <v>110</v>
      </c>
      <c r="AP24" s="21"/>
      <c r="AQ24" s="21"/>
      <c r="AR24" s="21"/>
      <c r="AT24" s="240" t="s">
        <v>110</v>
      </c>
      <c r="BC24" s="240" t="s">
        <v>110</v>
      </c>
      <c r="BL24" s="240" t="s">
        <v>110</v>
      </c>
      <c r="BU24" s="240" t="s">
        <v>110</v>
      </c>
      <c r="BZ24" s="24"/>
      <c r="CA24" s="24"/>
      <c r="CB24" s="24"/>
    </row>
    <row r="25" spans="1:80" ht="15" customHeight="1" x14ac:dyDescent="0.25">
      <c r="A25" s="240" t="s">
        <v>111</v>
      </c>
      <c r="J25" s="240" t="s">
        <v>111</v>
      </c>
      <c r="S25" s="240" t="s">
        <v>111</v>
      </c>
      <c r="AB25" s="240" t="s">
        <v>111</v>
      </c>
      <c r="AG25" s="21"/>
      <c r="AH25" s="21"/>
      <c r="AI25" s="21"/>
      <c r="AK25" s="240" t="s">
        <v>111</v>
      </c>
      <c r="AP25" s="21"/>
      <c r="AQ25" s="21"/>
      <c r="AR25" s="21"/>
      <c r="AT25" s="240" t="s">
        <v>111</v>
      </c>
      <c r="BC25" s="240" t="s">
        <v>111</v>
      </c>
      <c r="BL25" s="240" t="s">
        <v>111</v>
      </c>
      <c r="BU25" s="240" t="s">
        <v>111</v>
      </c>
      <c r="BZ25" s="24"/>
      <c r="CA25" s="24"/>
      <c r="CB25" s="24"/>
    </row>
  </sheetData>
  <mergeCells count="36">
    <mergeCell ref="BC3:BJ3"/>
    <mergeCell ref="BL3:BS3"/>
    <mergeCell ref="BU3:CB3"/>
    <mergeCell ref="BC4:BJ4"/>
    <mergeCell ref="BL4:BS4"/>
    <mergeCell ref="BU4:CB4"/>
    <mergeCell ref="BC1:BJ1"/>
    <mergeCell ref="BL1:BS1"/>
    <mergeCell ref="BU1:CB1"/>
    <mergeCell ref="BC2:BJ2"/>
    <mergeCell ref="BL2:BS2"/>
    <mergeCell ref="BU2:CB2"/>
    <mergeCell ref="AT4:BA4"/>
    <mergeCell ref="A3:H3"/>
    <mergeCell ref="J3:Q3"/>
    <mergeCell ref="S3:Z3"/>
    <mergeCell ref="AB3:AI3"/>
    <mergeCell ref="AK3:AR3"/>
    <mergeCell ref="AT3:BA3"/>
    <mergeCell ref="A4:H4"/>
    <mergeCell ref="J4:Q4"/>
    <mergeCell ref="S4:Z4"/>
    <mergeCell ref="AB4:AI4"/>
    <mergeCell ref="AK4:AR4"/>
    <mergeCell ref="AT2:BA2"/>
    <mergeCell ref="A1:H1"/>
    <mergeCell ref="J1:Q1"/>
    <mergeCell ref="S1:Z1"/>
    <mergeCell ref="AB1:AI1"/>
    <mergeCell ref="AK1:AR1"/>
    <mergeCell ref="AT1:BA1"/>
    <mergeCell ref="A2:H2"/>
    <mergeCell ref="J2:Q2"/>
    <mergeCell ref="S2:Z2"/>
    <mergeCell ref="AB2:AI2"/>
    <mergeCell ref="AK2:AR2"/>
  </mergeCells>
  <conditionalFormatting sqref="U8:W8 N14:N15 E15 AF14:AF15 AO14:AO15 AX14:AX15 L8:N8 M9:M13 N9:N12 W9:W15 U9:V13 AD8:AF12 AM8:AO12 AV8:AX12 BG9:BG13 BP9:BP13 BY9:BY13 C8:E13 L9:L12">
    <cfRule type="expression" dxfId="17" priority="16">
      <formula>$D8="Yes"</formula>
    </cfRule>
  </conditionalFormatting>
  <conditionalFormatting sqref="D14:D15 F14:H15 E14">
    <cfRule type="expression" dxfId="16" priority="15">
      <formula>$D14="Yes"</formula>
    </cfRule>
  </conditionalFormatting>
  <conditionalFormatting sqref="M14:M15 O14:Q15">
    <cfRule type="expression" dxfId="15" priority="14">
      <formula>$D14="Yes"</formula>
    </cfRule>
  </conditionalFormatting>
  <conditionalFormatting sqref="V14:V15 X14:Z15">
    <cfRule type="expression" dxfId="14" priority="13">
      <formula>$D14="Yes"</formula>
    </cfRule>
  </conditionalFormatting>
  <conditionalFormatting sqref="AE14:AE15 AG14:AI15">
    <cfRule type="expression" dxfId="13" priority="12">
      <formula>$D14="Yes"</formula>
    </cfRule>
  </conditionalFormatting>
  <conditionalFormatting sqref="AN14:AN15 AP14:AR15">
    <cfRule type="expression" dxfId="12" priority="11">
      <formula>$D14="Yes"</formula>
    </cfRule>
  </conditionalFormatting>
  <conditionalFormatting sqref="AW14:AW15 AY14:BA15">
    <cfRule type="expression" dxfId="11" priority="10">
      <formula>$D14="Yes"</formula>
    </cfRule>
  </conditionalFormatting>
  <conditionalFormatting sqref="L13 N13">
    <cfRule type="expression" dxfId="10" priority="9">
      <formula>$D13="Yes"</formula>
    </cfRule>
  </conditionalFormatting>
  <conditionalFormatting sqref="AD13:AF13">
    <cfRule type="expression" dxfId="9" priority="8">
      <formula>$D13="Yes"</formula>
    </cfRule>
  </conditionalFormatting>
  <conditionalFormatting sqref="AM13:AO13">
    <cfRule type="expression" dxfId="8" priority="7">
      <formula>$D13="Yes"</formula>
    </cfRule>
  </conditionalFormatting>
  <conditionalFormatting sqref="AV13:AX13">
    <cfRule type="expression" dxfId="7" priority="6">
      <formula>$D13="Yes"</formula>
    </cfRule>
  </conditionalFormatting>
  <conditionalFormatting sqref="BE9:BE13 BN9:BO13 BW9:BX13">
    <cfRule type="expression" dxfId="6" priority="5">
      <formula>$D9="Yes"</formula>
    </cfRule>
  </conditionalFormatting>
  <conditionalFormatting sqref="BE8:BG8 BN8:BP8 BW8:BY8 BF9:BF13">
    <cfRule type="expression" dxfId="5" priority="4">
      <formula>$D8="Yes"</formula>
    </cfRule>
  </conditionalFormatting>
  <conditionalFormatting sqref="BP14:BS15 BY14:CB15 BF14:BJ15">
    <cfRule type="expression" dxfId="4" priority="3">
      <formula>$D33="Yes"</formula>
    </cfRule>
  </conditionalFormatting>
  <conditionalFormatting sqref="BO14:BO15">
    <cfRule type="expression" dxfId="3" priority="2">
      <formula>$D33="Yes"</formula>
    </cfRule>
  </conditionalFormatting>
  <conditionalFormatting sqref="BX14:BX15">
    <cfRule type="expression" dxfId="2" priority="1">
      <formula>$D33="Yes"</formula>
    </cfRule>
  </conditionalFormatting>
  <printOptions horizontalCentered="1"/>
  <pageMargins left="0.7" right="0.7" top="1.15625" bottom="0.75" header="0.3" footer="0.3"/>
  <pageSetup orientation="landscape" useFirstPageNumber="1" horizontalDpi="1200" verticalDpi="1200" r:id="rId1"/>
  <headerFooter scaleWithDoc="0">
    <oddHeader>&amp;CExhibit AEB 1.1, Schedule 4
Test Year Ending December 31, 2021
Utility: MidAmerican Energy Company
Docket No. NG22-___</oddHeader>
    <oddFooter>&amp;CExhibit AEB 1.1, Schedule 4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2:J534"/>
  <sheetViews>
    <sheetView view="pageLayout" zoomScaleNormal="80" workbookViewId="0"/>
  </sheetViews>
  <sheetFormatPr defaultColWidth="8.7109375" defaultRowHeight="15" customHeight="1" x14ac:dyDescent="0.25"/>
  <cols>
    <col min="1" max="1" width="41.85546875" style="28" customWidth="1"/>
    <col min="2" max="2" width="8.7109375" style="28"/>
    <col min="3" max="3" width="19.7109375" style="28" customWidth="1"/>
    <col min="4" max="4" width="15.28515625" style="28" customWidth="1"/>
    <col min="5" max="5" width="20.28515625" style="28" customWidth="1"/>
    <col min="6" max="10" width="13.5703125" style="28" customWidth="1"/>
    <col min="11" max="16384" width="8.7109375" style="28"/>
  </cols>
  <sheetData>
    <row r="2" spans="1:10" ht="15" customHeight="1" x14ac:dyDescent="0.25">
      <c r="A2" s="294" t="s">
        <v>112</v>
      </c>
      <c r="B2" s="295"/>
    </row>
    <row r="3" spans="1:10" ht="15" customHeight="1" x14ac:dyDescent="0.25">
      <c r="A3" s="29"/>
      <c r="B3" s="29"/>
    </row>
    <row r="4" spans="1:10" ht="15" customHeight="1" x14ac:dyDescent="0.25">
      <c r="A4" s="296">
        <f>SUM(H16:H520)</f>
        <v>1.6073803734671783E-2</v>
      </c>
      <c r="B4" s="297"/>
    </row>
    <row r="5" spans="1:10" ht="15" customHeight="1" x14ac:dyDescent="0.25">
      <c r="A5" s="29"/>
      <c r="B5" s="29"/>
    </row>
    <row r="6" spans="1:10" ht="15" customHeight="1" x14ac:dyDescent="0.25">
      <c r="A6" s="296">
        <f>SUM(J16:J520)</f>
        <v>0.10985514796675622</v>
      </c>
      <c r="B6" s="297"/>
    </row>
    <row r="7" spans="1:10" ht="15" customHeight="1" x14ac:dyDescent="0.25">
      <c r="A7" s="29"/>
      <c r="B7" s="29"/>
    </row>
    <row r="8" spans="1:10" ht="15" customHeight="1" x14ac:dyDescent="0.25">
      <c r="A8" s="298">
        <f>A4*(1+0.5*A6)+A6</f>
        <v>0.12681184674525847</v>
      </c>
      <c r="B8" s="299"/>
    </row>
    <row r="10" spans="1:10" ht="15" customHeight="1" x14ac:dyDescent="0.25">
      <c r="F10" s="26"/>
      <c r="G10" s="26"/>
      <c r="H10" s="26"/>
      <c r="I10" s="26"/>
      <c r="J10" s="26"/>
    </row>
    <row r="11" spans="1:10" ht="15" customHeight="1" thickBot="1" x14ac:dyDescent="0.3">
      <c r="A11" s="29"/>
      <c r="B11" s="29"/>
      <c r="C11" s="30" t="s">
        <v>88</v>
      </c>
      <c r="D11" s="30" t="s">
        <v>89</v>
      </c>
      <c r="E11" s="30" t="s">
        <v>90</v>
      </c>
      <c r="F11" s="30" t="s">
        <v>113</v>
      </c>
      <c r="G11" s="30" t="s">
        <v>114</v>
      </c>
      <c r="H11" s="30" t="s">
        <v>115</v>
      </c>
      <c r="I11" s="30" t="s">
        <v>116</v>
      </c>
      <c r="J11" s="30" t="s">
        <v>117</v>
      </c>
    </row>
    <row r="12" spans="1:10" ht="15" customHeight="1" x14ac:dyDescent="0.25">
      <c r="A12" s="25"/>
      <c r="B12" s="25"/>
      <c r="C12" s="31"/>
      <c r="D12" s="31"/>
      <c r="E12" s="31"/>
      <c r="F12" s="25"/>
      <c r="G12" s="25"/>
      <c r="H12" s="25"/>
      <c r="I12" s="32" t="s">
        <v>112</v>
      </c>
      <c r="J12" s="32" t="s">
        <v>118</v>
      </c>
    </row>
    <row r="13" spans="1:10" ht="15" customHeight="1" x14ac:dyDescent="0.25">
      <c r="A13" s="29"/>
      <c r="B13" s="29"/>
      <c r="C13" s="30" t="s">
        <v>119</v>
      </c>
      <c r="D13" s="33"/>
      <c r="E13" s="30" t="s">
        <v>120</v>
      </c>
      <c r="F13" s="26" t="s">
        <v>121</v>
      </c>
      <c r="G13" s="26" t="s">
        <v>122</v>
      </c>
      <c r="H13" s="26" t="s">
        <v>123</v>
      </c>
      <c r="I13" s="26" t="s">
        <v>124</v>
      </c>
      <c r="J13" s="26" t="s">
        <v>124</v>
      </c>
    </row>
    <row r="14" spans="1:10" ht="15" customHeight="1" x14ac:dyDescent="0.25">
      <c r="A14" s="27" t="s">
        <v>125</v>
      </c>
      <c r="B14" s="27" t="s">
        <v>91</v>
      </c>
      <c r="C14" s="34" t="s">
        <v>126</v>
      </c>
      <c r="D14" s="34" t="s">
        <v>127</v>
      </c>
      <c r="E14" s="34" t="s">
        <v>128</v>
      </c>
      <c r="F14" s="27" t="s">
        <v>129</v>
      </c>
      <c r="G14" s="27" t="s">
        <v>40</v>
      </c>
      <c r="H14" s="27" t="s">
        <v>40</v>
      </c>
      <c r="I14" s="27" t="s">
        <v>130</v>
      </c>
      <c r="J14" s="27" t="s">
        <v>130</v>
      </c>
    </row>
    <row r="15" spans="1:10" ht="15" customHeight="1" x14ac:dyDescent="0.25">
      <c r="A15" s="35"/>
      <c r="B15" s="36"/>
      <c r="C15" s="36"/>
      <c r="D15" s="36"/>
      <c r="E15" s="37"/>
      <c r="F15" s="35"/>
      <c r="G15" s="36"/>
      <c r="H15" s="36"/>
      <c r="I15" s="36"/>
      <c r="J15" s="37"/>
    </row>
    <row r="16" spans="1:10" ht="15" customHeight="1" x14ac:dyDescent="0.25">
      <c r="A16" s="38" t="s">
        <v>131</v>
      </c>
      <c r="B16" s="26" t="s">
        <v>132</v>
      </c>
      <c r="C16" s="39">
        <v>300.113</v>
      </c>
      <c r="D16" s="39">
        <v>132.33000000000001</v>
      </c>
      <c r="E16" s="40">
        <f>IFERROR(C16*D16, "")</f>
        <v>39713.953290000005</v>
      </c>
      <c r="F16" s="41">
        <f>IF(AND(ISNUMBER($I16)), IF(AND($I16&lt;=20%,$I16&gt;0%), $E16/SUMIFS($E$16:$E$520,$I$16:$I$520, "&gt;"&amp;0%,$I$16:$I$520, "&lt;="&amp;20%),""),"")</f>
        <v>1.3520576520766273E-3</v>
      </c>
      <c r="G16" s="42">
        <v>6.3477669462706863E-3</v>
      </c>
      <c r="H16" s="42">
        <f>IFERROR(F16*G16,"")</f>
        <v>8.5825468733043674E-6</v>
      </c>
      <c r="I16" s="42">
        <v>0.115</v>
      </c>
      <c r="J16" s="43">
        <f>IFERROR(F16*I16,"")</f>
        <v>1.5548662998881216E-4</v>
      </c>
    </row>
    <row r="17" spans="1:10" ht="15" customHeight="1" x14ac:dyDescent="0.25">
      <c r="A17" s="38" t="s">
        <v>133</v>
      </c>
      <c r="B17" s="26" t="s">
        <v>134</v>
      </c>
      <c r="C17" s="39">
        <v>649.16</v>
      </c>
      <c r="D17" s="39">
        <v>18.25</v>
      </c>
      <c r="E17" s="40">
        <f t="shared" ref="E17:E80" si="0">IFERROR(C17*D17, "")</f>
        <v>11847.17</v>
      </c>
      <c r="F17" s="41" t="str">
        <f t="shared" ref="F17:F80" si="1">IF(AND(ISNUMBER($I17)), IF(AND($I17&lt;=20%,$I17&gt;0%), $E17/SUMIFS($E$16:$E$520,$I$16:$I$520, "&gt;"&amp;0%,$I$16:$I$520, "&lt;="&amp;20%),""),"")</f>
        <v/>
      </c>
      <c r="G17" s="42" t="s">
        <v>135</v>
      </c>
      <c r="H17" s="42" t="str">
        <f t="shared" ref="H17:H80" si="2">IFERROR(F17*G17,"")</f>
        <v/>
      </c>
      <c r="I17" s="42" t="s">
        <v>135</v>
      </c>
      <c r="J17" s="43" t="str">
        <f t="shared" ref="J17:J80" si="3">IFERROR(F17*I17,"")</f>
        <v/>
      </c>
    </row>
    <row r="18" spans="1:10" ht="15" customHeight="1" x14ac:dyDescent="0.25">
      <c r="A18" s="38" t="s">
        <v>136</v>
      </c>
      <c r="B18" s="26" t="s">
        <v>137</v>
      </c>
      <c r="C18" s="39">
        <v>61.097999999999999</v>
      </c>
      <c r="D18" s="39">
        <v>206.96</v>
      </c>
      <c r="E18" s="40">
        <f t="shared" si="0"/>
        <v>12644.84208</v>
      </c>
      <c r="F18" s="41">
        <f t="shared" si="1"/>
        <v>4.3049241078372972E-4</v>
      </c>
      <c r="G18" s="42">
        <v>2.8991109393119441E-2</v>
      </c>
      <c r="H18" s="42">
        <f t="shared" si="2"/>
        <v>1.2480452573938819E-5</v>
      </c>
      <c r="I18" s="42">
        <v>0.11</v>
      </c>
      <c r="J18" s="43">
        <f t="shared" si="3"/>
        <v>4.7354165186210272E-5</v>
      </c>
    </row>
    <row r="19" spans="1:10" ht="15" customHeight="1" x14ac:dyDescent="0.25">
      <c r="A19" s="38" t="s">
        <v>138</v>
      </c>
      <c r="B19" s="26" t="s">
        <v>139</v>
      </c>
      <c r="C19" s="39">
        <v>16319.441000000001</v>
      </c>
      <c r="D19" s="39">
        <v>174.61</v>
      </c>
      <c r="E19" s="40">
        <f t="shared" si="0"/>
        <v>2849537.5930100004</v>
      </c>
      <c r="F19" s="41">
        <f t="shared" si="1"/>
        <v>9.7012228406868448E-2</v>
      </c>
      <c r="G19" s="42">
        <v>5.0398029895195005E-3</v>
      </c>
      <c r="H19" s="42">
        <f t="shared" si="2"/>
        <v>4.8892251874488421E-4</v>
      </c>
      <c r="I19" s="42">
        <v>0.14000000000000001</v>
      </c>
      <c r="J19" s="43">
        <f t="shared" si="3"/>
        <v>1.3581711976961584E-2</v>
      </c>
    </row>
    <row r="20" spans="1:10" ht="15" customHeight="1" x14ac:dyDescent="0.25">
      <c r="A20" s="38" t="s">
        <v>140</v>
      </c>
      <c r="B20" s="26" t="s">
        <v>141</v>
      </c>
      <c r="C20" s="39">
        <v>1766.2850000000001</v>
      </c>
      <c r="D20" s="39">
        <v>162.11000000000001</v>
      </c>
      <c r="E20" s="40">
        <f t="shared" si="0"/>
        <v>286332.46135000006</v>
      </c>
      <c r="F20" s="41">
        <f t="shared" si="1"/>
        <v>9.7481606169810414E-3</v>
      </c>
      <c r="G20" s="42">
        <v>3.4791191166491882E-2</v>
      </c>
      <c r="H20" s="42">
        <f t="shared" si="2"/>
        <v>3.3915011954705485E-4</v>
      </c>
      <c r="I20" s="42">
        <v>4.4999999999999998E-2</v>
      </c>
      <c r="J20" s="43">
        <f t="shared" si="3"/>
        <v>4.3866722776414685E-4</v>
      </c>
    </row>
    <row r="21" spans="1:10" ht="15" customHeight="1" x14ac:dyDescent="0.25">
      <c r="A21" s="38" t="s">
        <v>142</v>
      </c>
      <c r="B21" s="26" t="s">
        <v>143</v>
      </c>
      <c r="C21" s="39">
        <v>209.137</v>
      </c>
      <c r="D21" s="39">
        <v>154.71</v>
      </c>
      <c r="E21" s="40">
        <f t="shared" si="0"/>
        <v>32355.585270000003</v>
      </c>
      <c r="F21" s="41">
        <f t="shared" si="1"/>
        <v>1.1015427331616651E-3</v>
      </c>
      <c r="G21" s="42">
        <v>1.1893219572102641E-2</v>
      </c>
      <c r="H21" s="42">
        <f t="shared" si="2"/>
        <v>1.3100889593545753E-5</v>
      </c>
      <c r="I21" s="42">
        <v>6.5000000000000002E-2</v>
      </c>
      <c r="J21" s="43">
        <f t="shared" si="3"/>
        <v>7.1600277655508237E-5</v>
      </c>
    </row>
    <row r="22" spans="1:10" ht="15" customHeight="1" x14ac:dyDescent="0.25">
      <c r="A22" s="38" t="s">
        <v>144</v>
      </c>
      <c r="B22" s="26" t="s">
        <v>145</v>
      </c>
      <c r="C22" s="39">
        <v>45.515999999999998</v>
      </c>
      <c r="D22" s="39">
        <v>331.24</v>
      </c>
      <c r="E22" s="40">
        <f t="shared" si="0"/>
        <v>15076.71984</v>
      </c>
      <c r="F22" s="41">
        <f t="shared" si="1"/>
        <v>5.132854510613617E-4</v>
      </c>
      <c r="G22" s="42" t="s">
        <v>135</v>
      </c>
      <c r="H22" s="42" t="str">
        <f t="shared" si="2"/>
        <v/>
      </c>
      <c r="I22" s="42">
        <v>7.4999999999999997E-2</v>
      </c>
      <c r="J22" s="43">
        <f t="shared" si="3"/>
        <v>3.8496408829602129E-5</v>
      </c>
    </row>
    <row r="23" spans="1:10" ht="15" customHeight="1" x14ac:dyDescent="0.25">
      <c r="A23" s="38" t="s">
        <v>146</v>
      </c>
      <c r="B23" s="26" t="s">
        <v>147</v>
      </c>
      <c r="C23" s="39">
        <v>1763.482</v>
      </c>
      <c r="D23" s="39">
        <v>118.36</v>
      </c>
      <c r="E23" s="40">
        <f t="shared" si="0"/>
        <v>208725.72951999999</v>
      </c>
      <c r="F23" s="41">
        <f t="shared" si="1"/>
        <v>7.1060470289129535E-3</v>
      </c>
      <c r="G23" s="42">
        <v>1.5883744508279823E-2</v>
      </c>
      <c r="H23" s="42">
        <f t="shared" si="2"/>
        <v>1.1287063547107428E-4</v>
      </c>
      <c r="I23" s="42">
        <v>0.1</v>
      </c>
      <c r="J23" s="43">
        <f t="shared" si="3"/>
        <v>7.1060470289129539E-4</v>
      </c>
    </row>
    <row r="24" spans="1:10" ht="15" customHeight="1" x14ac:dyDescent="0.25">
      <c r="A24" s="38" t="s">
        <v>148</v>
      </c>
      <c r="B24" s="26" t="s">
        <v>149</v>
      </c>
      <c r="C24" s="39">
        <v>662.43399999999997</v>
      </c>
      <c r="D24" s="39">
        <v>337.23</v>
      </c>
      <c r="E24" s="40">
        <f t="shared" si="0"/>
        <v>223392.61782000001</v>
      </c>
      <c r="F24" s="41">
        <f t="shared" si="1"/>
        <v>7.6053798053142769E-3</v>
      </c>
      <c r="G24" s="42">
        <v>1.1505500696853778E-2</v>
      </c>
      <c r="H24" s="42">
        <f t="shared" si="2"/>
        <v>8.7503702649881061E-5</v>
      </c>
      <c r="I24" s="42">
        <v>0.12</v>
      </c>
      <c r="J24" s="43">
        <f t="shared" si="3"/>
        <v>9.1264557663771318E-4</v>
      </c>
    </row>
    <row r="25" spans="1:10" ht="15" customHeight="1" x14ac:dyDescent="0.25">
      <c r="A25" s="38" t="s">
        <v>150</v>
      </c>
      <c r="B25" s="26" t="s">
        <v>151</v>
      </c>
      <c r="C25" s="39">
        <v>472.5</v>
      </c>
      <c r="D25" s="39">
        <v>455.62</v>
      </c>
      <c r="E25" s="40">
        <f t="shared" si="0"/>
        <v>215280.45</v>
      </c>
      <c r="F25" s="41">
        <f t="shared" si="1"/>
        <v>7.329201845999344E-3</v>
      </c>
      <c r="G25" s="42" t="s">
        <v>135</v>
      </c>
      <c r="H25" s="42" t="str">
        <f t="shared" si="2"/>
        <v/>
      </c>
      <c r="I25" s="42">
        <v>0.155</v>
      </c>
      <c r="J25" s="43">
        <f t="shared" si="3"/>
        <v>1.1360262861298983E-3</v>
      </c>
    </row>
    <row r="26" spans="1:10" ht="15" customHeight="1" x14ac:dyDescent="0.25">
      <c r="A26" s="38" t="s">
        <v>152</v>
      </c>
      <c r="B26" s="26" t="s">
        <v>153</v>
      </c>
      <c r="C26" s="39">
        <v>523.31500000000005</v>
      </c>
      <c r="D26" s="39">
        <v>165.18</v>
      </c>
      <c r="E26" s="40">
        <f t="shared" si="0"/>
        <v>86441.171700000006</v>
      </c>
      <c r="F26" s="41">
        <f t="shared" si="1"/>
        <v>2.9428812286205566E-3</v>
      </c>
      <c r="G26" s="42">
        <v>1.8404165153166244E-2</v>
      </c>
      <c r="H26" s="42">
        <f t="shared" si="2"/>
        <v>5.4161272157685506E-5</v>
      </c>
      <c r="I26" s="42">
        <v>0.11</v>
      </c>
      <c r="J26" s="43">
        <f t="shared" si="3"/>
        <v>3.2371693514826122E-4</v>
      </c>
    </row>
    <row r="27" spans="1:10" ht="15" customHeight="1" x14ac:dyDescent="0.25">
      <c r="A27" s="38" t="s">
        <v>154</v>
      </c>
      <c r="B27" s="26" t="s">
        <v>155</v>
      </c>
      <c r="C27" s="39">
        <v>562.47699999999998</v>
      </c>
      <c r="D27" s="39">
        <v>90.26</v>
      </c>
      <c r="E27" s="40">
        <f t="shared" si="0"/>
        <v>50769.174019999999</v>
      </c>
      <c r="F27" s="41">
        <f t="shared" si="1"/>
        <v>1.7284315596109443E-3</v>
      </c>
      <c r="G27" s="42">
        <v>1.7726567693330378E-2</v>
      </c>
      <c r="H27" s="42">
        <f t="shared" si="2"/>
        <v>3.0639159044732004E-5</v>
      </c>
      <c r="I27" s="42">
        <v>0.125</v>
      </c>
      <c r="J27" s="43">
        <f t="shared" si="3"/>
        <v>2.1605394495136804E-4</v>
      </c>
    </row>
    <row r="28" spans="1:10" ht="15" customHeight="1" x14ac:dyDescent="0.25">
      <c r="A28" s="38" t="s">
        <v>156</v>
      </c>
      <c r="B28" s="26" t="s">
        <v>157</v>
      </c>
      <c r="C28" s="39">
        <v>420.04500000000002</v>
      </c>
      <c r="D28" s="39">
        <v>227.54</v>
      </c>
      <c r="E28" s="40">
        <f t="shared" si="0"/>
        <v>95577.039300000004</v>
      </c>
      <c r="F28" s="41">
        <f t="shared" si="1"/>
        <v>3.2539109467334903E-3</v>
      </c>
      <c r="G28" s="42">
        <v>1.8282499780258418E-2</v>
      </c>
      <c r="H28" s="42">
        <f t="shared" si="2"/>
        <v>5.9489626168635496E-5</v>
      </c>
      <c r="I28" s="42">
        <v>0.09</v>
      </c>
      <c r="J28" s="43">
        <f t="shared" si="3"/>
        <v>2.9285198520601411E-4</v>
      </c>
    </row>
    <row r="29" spans="1:10" ht="15" customHeight="1" x14ac:dyDescent="0.25">
      <c r="A29" s="38" t="s">
        <v>158</v>
      </c>
      <c r="B29" s="26" t="s">
        <v>159</v>
      </c>
      <c r="C29" s="39">
        <v>217.30799999999999</v>
      </c>
      <c r="D29" s="39">
        <v>214.35</v>
      </c>
      <c r="E29" s="40">
        <f t="shared" si="0"/>
        <v>46579.969799999999</v>
      </c>
      <c r="F29" s="41">
        <f t="shared" si="1"/>
        <v>1.5858105120309515E-3</v>
      </c>
      <c r="G29" s="42" t="s">
        <v>135</v>
      </c>
      <c r="H29" s="42" t="str">
        <f t="shared" si="2"/>
        <v/>
      </c>
      <c r="I29" s="42">
        <v>0.18</v>
      </c>
      <c r="J29" s="43">
        <f t="shared" si="3"/>
        <v>2.8544589216557124E-4</v>
      </c>
    </row>
    <row r="30" spans="1:10" ht="15" customHeight="1" x14ac:dyDescent="0.25">
      <c r="A30" s="38" t="s">
        <v>160</v>
      </c>
      <c r="B30" s="26" t="s">
        <v>161</v>
      </c>
      <c r="C30" s="39">
        <v>258.09199999999998</v>
      </c>
      <c r="D30" s="39">
        <v>93.76</v>
      </c>
      <c r="E30" s="40">
        <f t="shared" si="0"/>
        <v>24198.70592</v>
      </c>
      <c r="F30" s="41">
        <f t="shared" si="1"/>
        <v>8.2384257418478661E-4</v>
      </c>
      <c r="G30" s="42">
        <v>2.5170648464163819E-2</v>
      </c>
      <c r="H30" s="42">
        <f t="shared" si="2"/>
        <v>2.0736651824617067E-5</v>
      </c>
      <c r="I30" s="42">
        <v>6.5000000000000002E-2</v>
      </c>
      <c r="J30" s="43">
        <f t="shared" si="3"/>
        <v>5.3549767322011132E-5</v>
      </c>
    </row>
    <row r="31" spans="1:10" ht="15" customHeight="1" x14ac:dyDescent="0.25">
      <c r="A31" s="38" t="s">
        <v>162</v>
      </c>
      <c r="B31" s="26" t="s">
        <v>163</v>
      </c>
      <c r="C31" s="39">
        <v>504.54700000000003</v>
      </c>
      <c r="D31" s="39">
        <v>99.77</v>
      </c>
      <c r="E31" s="40">
        <f t="shared" si="0"/>
        <v>50338.654190000001</v>
      </c>
      <c r="F31" s="41">
        <f t="shared" si="1"/>
        <v>1.7137745541430753E-3</v>
      </c>
      <c r="G31" s="42">
        <v>3.1271925428485517E-2</v>
      </c>
      <c r="H31" s="42">
        <f t="shared" si="2"/>
        <v>5.3593030058398269E-5</v>
      </c>
      <c r="I31" s="42">
        <v>6.5000000000000002E-2</v>
      </c>
      <c r="J31" s="43">
        <f t="shared" si="3"/>
        <v>1.113953460192999E-4</v>
      </c>
    </row>
    <row r="32" spans="1:10" ht="15" customHeight="1" x14ac:dyDescent="0.25">
      <c r="A32" s="38" t="s">
        <v>164</v>
      </c>
      <c r="B32" s="26" t="s">
        <v>165</v>
      </c>
      <c r="C32" s="39">
        <v>667.39499999999998</v>
      </c>
      <c r="D32" s="39">
        <v>25.73</v>
      </c>
      <c r="E32" s="40">
        <f t="shared" si="0"/>
        <v>17172.073349999999</v>
      </c>
      <c r="F32" s="41">
        <f t="shared" si="1"/>
        <v>5.8462155619080198E-4</v>
      </c>
      <c r="G32" s="42">
        <v>2.4562767197823552E-2</v>
      </c>
      <c r="H32" s="42">
        <f t="shared" si="2"/>
        <v>1.4359923183543989E-5</v>
      </c>
      <c r="I32" s="42">
        <v>0.14000000000000001</v>
      </c>
      <c r="J32" s="43">
        <f t="shared" si="3"/>
        <v>8.1847017866712278E-5</v>
      </c>
    </row>
    <row r="33" spans="1:10" ht="15" customHeight="1" x14ac:dyDescent="0.25">
      <c r="A33" s="38" t="s">
        <v>166</v>
      </c>
      <c r="B33" s="26" t="s">
        <v>167</v>
      </c>
      <c r="C33" s="39">
        <v>649.36800000000005</v>
      </c>
      <c r="D33" s="39">
        <v>64.39</v>
      </c>
      <c r="E33" s="40">
        <f t="shared" si="0"/>
        <v>41812.805520000002</v>
      </c>
      <c r="F33" s="41">
        <f t="shared" si="1"/>
        <v>1.4235128707859703E-3</v>
      </c>
      <c r="G33" s="42">
        <v>2.4848578971890047E-2</v>
      </c>
      <c r="H33" s="42">
        <f t="shared" si="2"/>
        <v>3.5372271987227092E-5</v>
      </c>
      <c r="I33" s="42">
        <v>0.09</v>
      </c>
      <c r="J33" s="43">
        <f t="shared" si="3"/>
        <v>1.2811615837073732E-4</v>
      </c>
    </row>
    <row r="34" spans="1:10" ht="15" customHeight="1" x14ac:dyDescent="0.25">
      <c r="A34" s="38" t="s">
        <v>168</v>
      </c>
      <c r="B34" s="26" t="s">
        <v>169</v>
      </c>
      <c r="C34" s="39">
        <v>806.24800000000005</v>
      </c>
      <c r="D34" s="39">
        <v>62.77</v>
      </c>
      <c r="E34" s="40">
        <f t="shared" si="0"/>
        <v>50608.186960000006</v>
      </c>
      <c r="F34" s="41" t="str">
        <f t="shared" si="1"/>
        <v/>
      </c>
      <c r="G34" s="42">
        <v>2.0391906961924486E-2</v>
      </c>
      <c r="H34" s="42" t="str">
        <f t="shared" si="2"/>
        <v/>
      </c>
      <c r="I34" s="42">
        <v>0.315</v>
      </c>
      <c r="J34" s="43" t="str">
        <f t="shared" si="3"/>
        <v/>
      </c>
    </row>
    <row r="35" spans="1:10" ht="15" customHeight="1" x14ac:dyDescent="0.25">
      <c r="A35" s="38" t="s">
        <v>170</v>
      </c>
      <c r="B35" s="26" t="s">
        <v>171</v>
      </c>
      <c r="C35" s="39">
        <v>57.707999999999998</v>
      </c>
      <c r="D35" s="39">
        <v>181.83</v>
      </c>
      <c r="E35" s="40">
        <f t="shared" si="0"/>
        <v>10493.04564</v>
      </c>
      <c r="F35" s="41">
        <f t="shared" si="1"/>
        <v>3.5723471162775515E-4</v>
      </c>
      <c r="G35" s="42">
        <v>1.4959027663201889E-2</v>
      </c>
      <c r="H35" s="42">
        <f t="shared" si="2"/>
        <v>5.3438839334955387E-6</v>
      </c>
      <c r="I35" s="42">
        <v>0.155</v>
      </c>
      <c r="J35" s="43">
        <f t="shared" si="3"/>
        <v>5.5371380302302049E-5</v>
      </c>
    </row>
    <row r="36" spans="1:10" ht="15" customHeight="1" x14ac:dyDescent="0.25">
      <c r="A36" s="38" t="s">
        <v>172</v>
      </c>
      <c r="B36" s="26" t="s">
        <v>173</v>
      </c>
      <c r="C36" s="39">
        <v>209.614</v>
      </c>
      <c r="D36" s="39">
        <v>174.6</v>
      </c>
      <c r="E36" s="40">
        <f t="shared" si="0"/>
        <v>36598.604399999997</v>
      </c>
      <c r="F36" s="41">
        <f t="shared" si="1"/>
        <v>1.2459959040845541E-3</v>
      </c>
      <c r="G36" s="42">
        <v>1.1683848797250859E-2</v>
      </c>
      <c r="H36" s="42">
        <f t="shared" si="2"/>
        <v>1.4558027745317815E-5</v>
      </c>
      <c r="I36" s="42">
        <v>0.14499999999999999</v>
      </c>
      <c r="J36" s="43">
        <f t="shared" si="3"/>
        <v>1.8066940609226035E-4</v>
      </c>
    </row>
    <row r="37" spans="1:10" ht="15" customHeight="1" x14ac:dyDescent="0.25">
      <c r="A37" s="38" t="s">
        <v>174</v>
      </c>
      <c r="B37" s="26" t="s">
        <v>175</v>
      </c>
      <c r="C37" s="39">
        <v>160.899</v>
      </c>
      <c r="D37" s="39">
        <v>119.39</v>
      </c>
      <c r="E37" s="40">
        <f t="shared" si="0"/>
        <v>19209.731609999999</v>
      </c>
      <c r="F37" s="41">
        <f t="shared" si="1"/>
        <v>6.5399343218190014E-4</v>
      </c>
      <c r="G37" s="42" t="s">
        <v>135</v>
      </c>
      <c r="H37" s="42" t="str">
        <f t="shared" si="2"/>
        <v/>
      </c>
      <c r="I37" s="42">
        <v>9.5000000000000001E-2</v>
      </c>
      <c r="J37" s="43">
        <f t="shared" si="3"/>
        <v>6.2129376057280518E-5</v>
      </c>
    </row>
    <row r="38" spans="1:10" ht="15" customHeight="1" x14ac:dyDescent="0.25">
      <c r="A38" s="38" t="s">
        <v>176</v>
      </c>
      <c r="B38" s="26" t="s">
        <v>177</v>
      </c>
      <c r="C38" s="39">
        <v>117.11199999999999</v>
      </c>
      <c r="D38" s="39">
        <v>221.15</v>
      </c>
      <c r="E38" s="40">
        <f t="shared" si="0"/>
        <v>25899.318800000001</v>
      </c>
      <c r="F38" s="41">
        <f t="shared" si="1"/>
        <v>8.8173977320785753E-4</v>
      </c>
      <c r="G38" s="42">
        <v>7.1444720777752661E-3</v>
      </c>
      <c r="H38" s="42">
        <f t="shared" si="2"/>
        <v>6.2995651895474336E-6</v>
      </c>
      <c r="I38" s="42">
        <v>6.5000000000000002E-2</v>
      </c>
      <c r="J38" s="43">
        <f t="shared" si="3"/>
        <v>5.731308525851074E-5</v>
      </c>
    </row>
    <row r="39" spans="1:10" ht="15" customHeight="1" x14ac:dyDescent="0.25">
      <c r="A39" s="38" t="s">
        <v>178</v>
      </c>
      <c r="B39" s="26" t="s">
        <v>179</v>
      </c>
      <c r="C39" s="39">
        <v>78.795000000000002</v>
      </c>
      <c r="D39" s="39">
        <v>436</v>
      </c>
      <c r="E39" s="40">
        <f t="shared" si="0"/>
        <v>34354.620000000003</v>
      </c>
      <c r="F39" s="41">
        <f t="shared" si="1"/>
        <v>1.1695996748548509E-3</v>
      </c>
      <c r="G39" s="42" t="s">
        <v>135</v>
      </c>
      <c r="H39" s="42" t="str">
        <f t="shared" si="2"/>
        <v/>
      </c>
      <c r="I39" s="42">
        <v>0.17</v>
      </c>
      <c r="J39" s="43">
        <f t="shared" si="3"/>
        <v>1.9883194472532467E-4</v>
      </c>
    </row>
    <row r="40" spans="1:10" ht="15" customHeight="1" x14ac:dyDescent="0.25">
      <c r="A40" s="38" t="s">
        <v>180</v>
      </c>
      <c r="B40" s="26" t="s">
        <v>181</v>
      </c>
      <c r="C40" s="39">
        <v>126.087</v>
      </c>
      <c r="D40" s="39">
        <v>58.01</v>
      </c>
      <c r="E40" s="40">
        <f t="shared" si="0"/>
        <v>7314.3068700000003</v>
      </c>
      <c r="F40" s="41" t="str">
        <f t="shared" si="1"/>
        <v/>
      </c>
      <c r="G40" s="42" t="s">
        <v>135</v>
      </c>
      <c r="H40" s="42" t="str">
        <f t="shared" si="2"/>
        <v/>
      </c>
      <c r="I40" s="42" t="s">
        <v>135</v>
      </c>
      <c r="J40" s="43" t="str">
        <f t="shared" si="3"/>
        <v/>
      </c>
    </row>
    <row r="41" spans="1:10" ht="15" customHeight="1" x14ac:dyDescent="0.25">
      <c r="A41" s="38" t="s">
        <v>182</v>
      </c>
      <c r="B41" s="26" t="s">
        <v>183</v>
      </c>
      <c r="C41" s="39">
        <v>278.346</v>
      </c>
      <c r="D41" s="39">
        <v>138.51</v>
      </c>
      <c r="E41" s="40">
        <f t="shared" si="0"/>
        <v>38553.704460000001</v>
      </c>
      <c r="F41" s="41">
        <f t="shared" si="1"/>
        <v>1.3125570942384463E-3</v>
      </c>
      <c r="G41" s="42">
        <v>2.4546964118114217E-2</v>
      </c>
      <c r="H41" s="42">
        <f t="shared" si="2"/>
        <v>3.2219291895247405E-5</v>
      </c>
      <c r="I41" s="42">
        <v>0.05</v>
      </c>
      <c r="J41" s="43">
        <f t="shared" si="3"/>
        <v>6.5627854711922318E-5</v>
      </c>
    </row>
    <row r="42" spans="1:10" ht="15" customHeight="1" x14ac:dyDescent="0.25">
      <c r="A42" s="38" t="s">
        <v>184</v>
      </c>
      <c r="B42" s="26" t="s">
        <v>185</v>
      </c>
      <c r="C42" s="39">
        <v>88.23</v>
      </c>
      <c r="D42" s="39">
        <v>109.78</v>
      </c>
      <c r="E42" s="40">
        <f t="shared" si="0"/>
        <v>9685.8894</v>
      </c>
      <c r="F42" s="41">
        <f t="shared" si="1"/>
        <v>3.2975515645115698E-4</v>
      </c>
      <c r="G42" s="42">
        <v>1.493896884678448E-2</v>
      </c>
      <c r="H42" s="42">
        <f t="shared" si="2"/>
        <v>4.926202009290376E-6</v>
      </c>
      <c r="I42" s="42">
        <v>0.105</v>
      </c>
      <c r="J42" s="43">
        <f t="shared" si="3"/>
        <v>3.4624291427371478E-5</v>
      </c>
    </row>
    <row r="43" spans="1:10" ht="15" customHeight="1" x14ac:dyDescent="0.25">
      <c r="A43" s="38" t="s">
        <v>186</v>
      </c>
      <c r="B43" s="26" t="s">
        <v>187</v>
      </c>
      <c r="C43" s="39">
        <v>883.39499999999998</v>
      </c>
      <c r="D43" s="39">
        <v>131.80000000000001</v>
      </c>
      <c r="E43" s="40">
        <f t="shared" si="0"/>
        <v>116431.46100000001</v>
      </c>
      <c r="F43" s="41">
        <f t="shared" si="1"/>
        <v>3.9638976920273097E-3</v>
      </c>
      <c r="G43" s="42">
        <v>7.8907435508345971E-3</v>
      </c>
      <c r="H43" s="42">
        <f t="shared" si="2"/>
        <v>3.1278100149532636E-5</v>
      </c>
      <c r="I43" s="42">
        <v>0.14499999999999999</v>
      </c>
      <c r="J43" s="43">
        <f t="shared" si="3"/>
        <v>5.7476516534395985E-4</v>
      </c>
    </row>
    <row r="44" spans="1:10" ht="15" customHeight="1" x14ac:dyDescent="0.25">
      <c r="A44" s="38" t="s">
        <v>188</v>
      </c>
      <c r="B44" s="26" t="s">
        <v>189</v>
      </c>
      <c r="C44" s="39">
        <v>1513.7270000000001</v>
      </c>
      <c r="D44" s="39">
        <v>11.33</v>
      </c>
      <c r="E44" s="40">
        <f t="shared" si="0"/>
        <v>17150.52691</v>
      </c>
      <c r="F44" s="41">
        <f t="shared" si="1"/>
        <v>5.8388800975022782E-4</v>
      </c>
      <c r="G44" s="42">
        <v>4.2365401588702556E-2</v>
      </c>
      <c r="H44" s="42">
        <f t="shared" si="2"/>
        <v>2.4736650015896674E-5</v>
      </c>
      <c r="I44" s="42">
        <v>0.15</v>
      </c>
      <c r="J44" s="43">
        <f t="shared" si="3"/>
        <v>8.7583201462534174E-5</v>
      </c>
    </row>
    <row r="45" spans="1:10" ht="15" customHeight="1" x14ac:dyDescent="0.25">
      <c r="A45" s="38" t="s">
        <v>190</v>
      </c>
      <c r="B45" s="26" t="s">
        <v>191</v>
      </c>
      <c r="C45" s="39">
        <v>1627.365</v>
      </c>
      <c r="D45" s="39">
        <v>109.34</v>
      </c>
      <c r="E45" s="40">
        <f t="shared" si="0"/>
        <v>177936.08910000001</v>
      </c>
      <c r="F45" s="41">
        <f t="shared" si="1"/>
        <v>6.0578167348759437E-3</v>
      </c>
      <c r="G45" s="42" t="s">
        <v>135</v>
      </c>
      <c r="H45" s="42" t="str">
        <f t="shared" si="2"/>
        <v/>
      </c>
      <c r="I45" s="42">
        <v>0.17499999999999999</v>
      </c>
      <c r="J45" s="43">
        <f t="shared" si="3"/>
        <v>1.0601179286032901E-3</v>
      </c>
    </row>
    <row r="46" spans="1:10" ht="15" customHeight="1" x14ac:dyDescent="0.25">
      <c r="A46" s="38" t="s">
        <v>192</v>
      </c>
      <c r="B46" s="26" t="s">
        <v>193</v>
      </c>
      <c r="C46" s="39">
        <v>231.17099999999999</v>
      </c>
      <c r="D46" s="39">
        <v>133.18</v>
      </c>
      <c r="E46" s="40">
        <f t="shared" si="0"/>
        <v>30787.353780000001</v>
      </c>
      <c r="F46" s="41">
        <f t="shared" si="1"/>
        <v>1.0481524456020547E-3</v>
      </c>
      <c r="G46" s="42">
        <v>6.6075987385493312E-3</v>
      </c>
      <c r="H46" s="42">
        <f t="shared" si="2"/>
        <v>6.9257707773675335E-6</v>
      </c>
      <c r="I46" s="42">
        <v>0.09</v>
      </c>
      <c r="J46" s="43">
        <f t="shared" si="3"/>
        <v>9.433372010418492E-5</v>
      </c>
    </row>
    <row r="47" spans="1:10" ht="15" customHeight="1" x14ac:dyDescent="0.25">
      <c r="A47" s="38" t="s">
        <v>194</v>
      </c>
      <c r="B47" s="26" t="s">
        <v>195</v>
      </c>
      <c r="C47" s="39">
        <v>557.029</v>
      </c>
      <c r="D47" s="39">
        <v>241.82</v>
      </c>
      <c r="E47" s="40">
        <f t="shared" si="0"/>
        <v>134700.75278000001</v>
      </c>
      <c r="F47" s="41">
        <f t="shared" si="1"/>
        <v>4.585873942258469E-3</v>
      </c>
      <c r="G47" s="42">
        <v>3.2089984285832436E-2</v>
      </c>
      <c r="H47" s="42">
        <f t="shared" si="2"/>
        <v>1.4716062274388271E-4</v>
      </c>
      <c r="I47" s="42">
        <v>5.5E-2</v>
      </c>
      <c r="J47" s="43">
        <f t="shared" si="3"/>
        <v>2.522230668242158E-4</v>
      </c>
    </row>
    <row r="48" spans="1:10" ht="15" customHeight="1" x14ac:dyDescent="0.25">
      <c r="A48" s="38" t="s">
        <v>196</v>
      </c>
      <c r="B48" s="26" t="s">
        <v>197</v>
      </c>
      <c r="C48" s="39">
        <v>110.577</v>
      </c>
      <c r="D48" s="39">
        <v>300.36</v>
      </c>
      <c r="E48" s="40">
        <f t="shared" si="0"/>
        <v>33212.907720000003</v>
      </c>
      <c r="F48" s="41">
        <f t="shared" si="1"/>
        <v>1.1307301920468389E-3</v>
      </c>
      <c r="G48" s="42">
        <v>1.504860833666267E-2</v>
      </c>
      <c r="H48" s="42">
        <f t="shared" si="2"/>
        <v>1.7015915794552241E-5</v>
      </c>
      <c r="I48" s="42">
        <v>0.13500000000000001</v>
      </c>
      <c r="J48" s="43">
        <f t="shared" si="3"/>
        <v>1.5264857592632325E-4</v>
      </c>
    </row>
    <row r="49" spans="1:10" ht="15" customHeight="1" x14ac:dyDescent="0.25">
      <c r="A49" s="38" t="s">
        <v>198</v>
      </c>
      <c r="B49" s="26" t="s">
        <v>199</v>
      </c>
      <c r="C49" s="39">
        <v>455.88499999999999</v>
      </c>
      <c r="D49" s="39">
        <v>251.22</v>
      </c>
      <c r="E49" s="40">
        <f t="shared" si="0"/>
        <v>114527.42969999999</v>
      </c>
      <c r="F49" s="41">
        <f t="shared" si="1"/>
        <v>3.8990751328083903E-3</v>
      </c>
      <c r="G49" s="42">
        <v>2.2291218852002227E-2</v>
      </c>
      <c r="H49" s="42">
        <f t="shared" si="2"/>
        <v>8.691513710583148E-5</v>
      </c>
      <c r="I49" s="42">
        <v>0.09</v>
      </c>
      <c r="J49" s="43">
        <f t="shared" si="3"/>
        <v>3.5091676195275512E-4</v>
      </c>
    </row>
    <row r="50" spans="1:10" ht="15" customHeight="1" x14ac:dyDescent="0.25">
      <c r="A50" s="38" t="s">
        <v>200</v>
      </c>
      <c r="B50" s="26" t="s">
        <v>201</v>
      </c>
      <c r="C50" s="39">
        <v>508.84399999999999</v>
      </c>
      <c r="D50" s="39">
        <v>3259.95</v>
      </c>
      <c r="E50" s="40">
        <f t="shared" si="0"/>
        <v>1658805.9977999998</v>
      </c>
      <c r="F50" s="41" t="str">
        <f t="shared" si="1"/>
        <v/>
      </c>
      <c r="G50" s="42" t="s">
        <v>135</v>
      </c>
      <c r="H50" s="42" t="str">
        <f t="shared" si="2"/>
        <v/>
      </c>
      <c r="I50" s="42">
        <v>0.26500000000000001</v>
      </c>
      <c r="J50" s="43" t="str">
        <f t="shared" si="3"/>
        <v/>
      </c>
    </row>
    <row r="51" spans="1:10" ht="15" customHeight="1" x14ac:dyDescent="0.25">
      <c r="A51" s="38" t="s">
        <v>202</v>
      </c>
      <c r="B51" s="26" t="s">
        <v>203</v>
      </c>
      <c r="C51" s="39">
        <v>307.767</v>
      </c>
      <c r="D51" s="39">
        <v>138.97999999999999</v>
      </c>
      <c r="E51" s="40">
        <f t="shared" si="0"/>
        <v>42773.457659999993</v>
      </c>
      <c r="F51" s="41">
        <f t="shared" si="1"/>
        <v>1.4562181788520356E-3</v>
      </c>
      <c r="G51" s="42" t="s">
        <v>135</v>
      </c>
      <c r="H51" s="42" t="str">
        <f t="shared" si="2"/>
        <v/>
      </c>
      <c r="I51" s="42">
        <v>4.4999999999999998E-2</v>
      </c>
      <c r="J51" s="43">
        <f t="shared" si="3"/>
        <v>6.5529818048341607E-5</v>
      </c>
    </row>
    <row r="52" spans="1:10" ht="15" customHeight="1" x14ac:dyDescent="0.25">
      <c r="A52" s="38" t="s">
        <v>204</v>
      </c>
      <c r="B52" s="26" t="s">
        <v>205</v>
      </c>
      <c r="C52" s="39">
        <v>87.025999999999996</v>
      </c>
      <c r="D52" s="39">
        <v>317.64999999999998</v>
      </c>
      <c r="E52" s="40">
        <f t="shared" si="0"/>
        <v>27643.808899999996</v>
      </c>
      <c r="F52" s="41">
        <f t="shared" si="1"/>
        <v>9.4113076789059604E-4</v>
      </c>
      <c r="G52" s="42" t="s">
        <v>135</v>
      </c>
      <c r="H52" s="42" t="str">
        <f t="shared" si="2"/>
        <v/>
      </c>
      <c r="I52" s="42">
        <v>8.5000000000000006E-2</v>
      </c>
      <c r="J52" s="43">
        <f t="shared" si="3"/>
        <v>7.999611527070067E-5</v>
      </c>
    </row>
    <row r="53" spans="1:10" ht="15" customHeight="1" x14ac:dyDescent="0.25">
      <c r="A53" s="38" t="s">
        <v>206</v>
      </c>
      <c r="B53" s="26" t="s">
        <v>207</v>
      </c>
      <c r="C53" s="39">
        <v>241.304</v>
      </c>
      <c r="D53" s="39">
        <v>491.22</v>
      </c>
      <c r="E53" s="40">
        <f t="shared" si="0"/>
        <v>118533.35088000001</v>
      </c>
      <c r="F53" s="41">
        <f t="shared" si="1"/>
        <v>4.0354563272335412E-3</v>
      </c>
      <c r="G53" s="42">
        <v>1.0423028378323358E-2</v>
      </c>
      <c r="H53" s="42">
        <f t="shared" si="2"/>
        <v>4.2061675818239752E-5</v>
      </c>
      <c r="I53" s="42">
        <v>0.125</v>
      </c>
      <c r="J53" s="43">
        <f t="shared" si="3"/>
        <v>5.0443204090419266E-4</v>
      </c>
    </row>
    <row r="54" spans="1:10" ht="15" customHeight="1" x14ac:dyDescent="0.25">
      <c r="A54" s="38" t="s">
        <v>208</v>
      </c>
      <c r="B54" s="26" t="s">
        <v>209</v>
      </c>
      <c r="C54" s="39">
        <v>213.94399999999999</v>
      </c>
      <c r="D54" s="39">
        <v>325.63</v>
      </c>
      <c r="E54" s="40">
        <f t="shared" si="0"/>
        <v>69666.584719999999</v>
      </c>
      <c r="F54" s="41">
        <f t="shared" si="1"/>
        <v>2.3717920569856373E-3</v>
      </c>
      <c r="G54" s="42">
        <v>6.2647790436999046E-3</v>
      </c>
      <c r="H54" s="42">
        <f t="shared" si="2"/>
        <v>1.4858753174617511E-5</v>
      </c>
      <c r="I54" s="42">
        <v>7.0000000000000007E-2</v>
      </c>
      <c r="J54" s="43">
        <f t="shared" si="3"/>
        <v>1.6602544398899461E-4</v>
      </c>
    </row>
    <row r="55" spans="1:10" ht="15" customHeight="1" x14ac:dyDescent="0.25">
      <c r="A55" s="38" t="s">
        <v>210</v>
      </c>
      <c r="B55" s="26" t="s">
        <v>211</v>
      </c>
      <c r="C55" s="39">
        <v>131.04900000000001</v>
      </c>
      <c r="D55" s="39">
        <v>63.89</v>
      </c>
      <c r="E55" s="40">
        <f t="shared" si="0"/>
        <v>8372.7206100000003</v>
      </c>
      <c r="F55" s="41">
        <f t="shared" si="1"/>
        <v>2.8504845354442894E-4</v>
      </c>
      <c r="G55" s="42">
        <v>1.7530129910784162E-2</v>
      </c>
      <c r="H55" s="42">
        <f t="shared" si="2"/>
        <v>4.996936421501963E-6</v>
      </c>
      <c r="I55" s="42">
        <v>0.1</v>
      </c>
      <c r="J55" s="43">
        <f t="shared" si="3"/>
        <v>2.8504845354442897E-5</v>
      </c>
    </row>
    <row r="56" spans="1:10" ht="15" customHeight="1" x14ac:dyDescent="0.25">
      <c r="A56" s="38" t="s">
        <v>212</v>
      </c>
      <c r="B56" s="26" t="s">
        <v>213</v>
      </c>
      <c r="C56" s="39">
        <v>346.77600000000001</v>
      </c>
      <c r="D56" s="39">
        <v>41.33</v>
      </c>
      <c r="E56" s="40">
        <f t="shared" si="0"/>
        <v>14332.25208</v>
      </c>
      <c r="F56" s="41" t="str">
        <f t="shared" si="1"/>
        <v/>
      </c>
      <c r="G56" s="42">
        <v>1.2097749818533753E-2</v>
      </c>
      <c r="H56" s="42" t="str">
        <f t="shared" si="2"/>
        <v/>
      </c>
      <c r="I56" s="42" t="s">
        <v>135</v>
      </c>
      <c r="J56" s="43" t="str">
        <f t="shared" si="3"/>
        <v/>
      </c>
    </row>
    <row r="57" spans="1:10" ht="15" customHeight="1" x14ac:dyDescent="0.25">
      <c r="A57" s="38" t="s">
        <v>214</v>
      </c>
      <c r="B57" s="26" t="s">
        <v>215</v>
      </c>
      <c r="C57" s="39">
        <v>221.71700000000001</v>
      </c>
      <c r="D57" s="39">
        <v>249.91</v>
      </c>
      <c r="E57" s="40">
        <f t="shared" si="0"/>
        <v>55409.295470000005</v>
      </c>
      <c r="F57" s="41">
        <f t="shared" si="1"/>
        <v>1.8864040401450623E-3</v>
      </c>
      <c r="G57" s="42">
        <v>2.5929334560441761E-2</v>
      </c>
      <c r="H57" s="42">
        <f t="shared" si="2"/>
        <v>4.8913201473090331E-5</v>
      </c>
      <c r="I57" s="42">
        <v>0.12</v>
      </c>
      <c r="J57" s="43">
        <f t="shared" si="3"/>
        <v>2.2636848481740748E-4</v>
      </c>
    </row>
    <row r="58" spans="1:10" ht="15" customHeight="1" x14ac:dyDescent="0.25">
      <c r="A58" s="38" t="s">
        <v>216</v>
      </c>
      <c r="B58" s="26" t="s">
        <v>217</v>
      </c>
      <c r="C58" s="39">
        <v>598.94000000000005</v>
      </c>
      <c r="D58" s="39">
        <v>75.349999999999994</v>
      </c>
      <c r="E58" s="40">
        <f t="shared" si="0"/>
        <v>45130.129000000001</v>
      </c>
      <c r="F58" s="41">
        <f t="shared" si="1"/>
        <v>1.5364508239228806E-3</v>
      </c>
      <c r="G58" s="42">
        <v>1.0617120106171203E-2</v>
      </c>
      <c r="H58" s="42">
        <f t="shared" si="2"/>
        <v>1.6312682934814927E-5</v>
      </c>
      <c r="I58" s="42">
        <v>0.12</v>
      </c>
      <c r="J58" s="43">
        <f t="shared" si="3"/>
        <v>1.8437409887074566E-4</v>
      </c>
    </row>
    <row r="59" spans="1:10" ht="15" customHeight="1" x14ac:dyDescent="0.25">
      <c r="A59" s="38" t="s">
        <v>218</v>
      </c>
      <c r="B59" s="26" t="s">
        <v>219</v>
      </c>
      <c r="C59" s="39">
        <v>270.91500000000002</v>
      </c>
      <c r="D59" s="39">
        <v>119.71</v>
      </c>
      <c r="E59" s="40">
        <f t="shared" si="0"/>
        <v>32431.234650000002</v>
      </c>
      <c r="F59" s="41" t="str">
        <f t="shared" si="1"/>
        <v/>
      </c>
      <c r="G59" s="42" t="s">
        <v>135</v>
      </c>
      <c r="H59" s="42" t="str">
        <f t="shared" si="2"/>
        <v/>
      </c>
      <c r="I59" s="42">
        <v>0.215</v>
      </c>
      <c r="J59" s="43" t="str">
        <f t="shared" si="3"/>
        <v/>
      </c>
    </row>
    <row r="60" spans="1:10" ht="15" customHeight="1" x14ac:dyDescent="0.25">
      <c r="A60" s="38" t="s">
        <v>220</v>
      </c>
      <c r="B60" s="26" t="s">
        <v>221</v>
      </c>
      <c r="C60" s="39">
        <v>159.94300000000001</v>
      </c>
      <c r="D60" s="39">
        <v>201.25</v>
      </c>
      <c r="E60" s="40">
        <f t="shared" si="0"/>
        <v>32188.528750000001</v>
      </c>
      <c r="F60" s="41">
        <f t="shared" si="1"/>
        <v>1.0958553102917751E-3</v>
      </c>
      <c r="G60" s="42">
        <v>2.2857142857142854E-2</v>
      </c>
      <c r="H60" s="42">
        <f t="shared" si="2"/>
        <v>2.5048121378097712E-5</v>
      </c>
      <c r="I60" s="42">
        <v>0.09</v>
      </c>
      <c r="J60" s="43">
        <f t="shared" si="3"/>
        <v>9.8626977926259761E-5</v>
      </c>
    </row>
    <row r="61" spans="1:10" ht="15" customHeight="1" x14ac:dyDescent="0.25">
      <c r="A61" s="38" t="s">
        <v>222</v>
      </c>
      <c r="B61" s="26" t="s">
        <v>50</v>
      </c>
      <c r="C61" s="39">
        <v>135.43199999999999</v>
      </c>
      <c r="D61" s="39">
        <v>119.49</v>
      </c>
      <c r="E61" s="40">
        <f t="shared" si="0"/>
        <v>16182.769679999998</v>
      </c>
      <c r="F61" s="41">
        <f t="shared" si="1"/>
        <v>5.5094080959064418E-4</v>
      </c>
      <c r="G61" s="42">
        <v>2.276341116411415E-2</v>
      </c>
      <c r="H61" s="42">
        <f t="shared" si="2"/>
        <v>1.2541292175801757E-5</v>
      </c>
      <c r="I61" s="42">
        <v>7.4999999999999997E-2</v>
      </c>
      <c r="J61" s="43">
        <f t="shared" si="3"/>
        <v>4.1320560719298315E-5</v>
      </c>
    </row>
    <row r="62" spans="1:10" ht="15" customHeight="1" x14ac:dyDescent="0.25">
      <c r="A62" s="38" t="s">
        <v>223</v>
      </c>
      <c r="B62" s="26" t="s">
        <v>224</v>
      </c>
      <c r="C62" s="39">
        <v>780.923</v>
      </c>
      <c r="D62" s="39">
        <v>80.11</v>
      </c>
      <c r="E62" s="40">
        <f t="shared" si="0"/>
        <v>62559.741529999999</v>
      </c>
      <c r="F62" s="41">
        <f t="shared" si="1"/>
        <v>2.1298402762857369E-3</v>
      </c>
      <c r="G62" s="42">
        <v>5.8669329671701409E-3</v>
      </c>
      <c r="H62" s="42">
        <f t="shared" si="2"/>
        <v>1.2495630131747552E-5</v>
      </c>
      <c r="I62" s="42">
        <v>0.15</v>
      </c>
      <c r="J62" s="43">
        <f t="shared" si="3"/>
        <v>3.1947604144286055E-4</v>
      </c>
    </row>
    <row r="63" spans="1:10" ht="15" customHeight="1" x14ac:dyDescent="0.25">
      <c r="A63" s="38" t="s">
        <v>225</v>
      </c>
      <c r="B63" s="26" t="s">
        <v>226</v>
      </c>
      <c r="C63" s="39">
        <v>139.75200000000001</v>
      </c>
      <c r="D63" s="39">
        <v>248.37</v>
      </c>
      <c r="E63" s="40">
        <f t="shared" si="0"/>
        <v>34710.204240000006</v>
      </c>
      <c r="F63" s="41">
        <f t="shared" si="1"/>
        <v>1.1817055054967709E-3</v>
      </c>
      <c r="G63" s="42">
        <v>2.5606957362000242E-2</v>
      </c>
      <c r="H63" s="42">
        <f t="shared" si="2"/>
        <v>3.0259882493696754E-5</v>
      </c>
      <c r="I63" s="42">
        <v>6.5000000000000002E-2</v>
      </c>
      <c r="J63" s="43">
        <f t="shared" si="3"/>
        <v>7.6810857857290105E-5</v>
      </c>
    </row>
    <row r="64" spans="1:10" ht="15" customHeight="1" x14ac:dyDescent="0.25">
      <c r="A64" s="38" t="s">
        <v>227</v>
      </c>
      <c r="B64" s="26" t="s">
        <v>228</v>
      </c>
      <c r="C64" s="39">
        <v>408.28100000000001</v>
      </c>
      <c r="D64" s="39">
        <v>629.67999999999995</v>
      </c>
      <c r="E64" s="40">
        <f t="shared" si="0"/>
        <v>257086.38007999997</v>
      </c>
      <c r="F64" s="41" t="str">
        <f t="shared" si="1"/>
        <v/>
      </c>
      <c r="G64" s="42">
        <v>2.6044975225511371E-2</v>
      </c>
      <c r="H64" s="42" t="str">
        <f t="shared" si="2"/>
        <v/>
      </c>
      <c r="I64" s="42">
        <v>0.23</v>
      </c>
      <c r="J64" s="43" t="str">
        <f t="shared" si="3"/>
        <v/>
      </c>
    </row>
    <row r="65" spans="1:10" ht="15" customHeight="1" x14ac:dyDescent="0.25">
      <c r="A65" s="38" t="s">
        <v>229</v>
      </c>
      <c r="B65" s="26" t="s">
        <v>230</v>
      </c>
      <c r="C65" s="39">
        <v>82.355000000000004</v>
      </c>
      <c r="D65" s="39">
        <v>173.97</v>
      </c>
      <c r="E65" s="40">
        <f t="shared" si="0"/>
        <v>14327.299350000001</v>
      </c>
      <c r="F65" s="41">
        <f t="shared" si="1"/>
        <v>4.8777150384164101E-4</v>
      </c>
      <c r="G65" s="42">
        <v>1.563487957693855E-2</v>
      </c>
      <c r="H65" s="42">
        <f t="shared" si="2"/>
        <v>7.6262487236262764E-6</v>
      </c>
      <c r="I65" s="42">
        <v>0.09</v>
      </c>
      <c r="J65" s="43">
        <f t="shared" si="3"/>
        <v>4.3899435345747686E-5</v>
      </c>
    </row>
    <row r="66" spans="1:10" ht="15" customHeight="1" x14ac:dyDescent="0.25">
      <c r="A66" s="38" t="s">
        <v>231</v>
      </c>
      <c r="B66" s="26" t="s">
        <v>232</v>
      </c>
      <c r="C66" s="39">
        <v>181.75299999999999</v>
      </c>
      <c r="D66" s="39">
        <v>165.53</v>
      </c>
      <c r="E66" s="40">
        <f t="shared" si="0"/>
        <v>30085.574089999998</v>
      </c>
      <c r="F66" s="41">
        <f t="shared" si="1"/>
        <v>1.0242604247546771E-3</v>
      </c>
      <c r="G66" s="42">
        <v>1.455929438772428E-2</v>
      </c>
      <c r="H66" s="42">
        <f t="shared" si="2"/>
        <v>1.4912509053698858E-5</v>
      </c>
      <c r="I66" s="42">
        <v>8.5000000000000006E-2</v>
      </c>
      <c r="J66" s="43">
        <f t="shared" si="3"/>
        <v>8.7062136104147566E-5</v>
      </c>
    </row>
    <row r="67" spans="1:10" ht="15" customHeight="1" x14ac:dyDescent="0.25">
      <c r="A67" s="38" t="s">
        <v>233</v>
      </c>
      <c r="B67" s="26" t="s">
        <v>234</v>
      </c>
      <c r="C67" s="39">
        <v>757.28899999999999</v>
      </c>
      <c r="D67" s="39">
        <v>187</v>
      </c>
      <c r="E67" s="40">
        <f t="shared" si="0"/>
        <v>141613.04300000001</v>
      </c>
      <c r="F67" s="41">
        <f t="shared" si="1"/>
        <v>4.8212021861399144E-3</v>
      </c>
      <c r="G67" s="42">
        <v>1.1122994652406418E-2</v>
      </c>
      <c r="H67" s="42">
        <f t="shared" si="2"/>
        <v>5.3626206134604399E-5</v>
      </c>
      <c r="I67" s="42">
        <v>0.12</v>
      </c>
      <c r="J67" s="43">
        <f t="shared" si="3"/>
        <v>5.7854426233678972E-4</v>
      </c>
    </row>
    <row r="68" spans="1:10" ht="15" customHeight="1" x14ac:dyDescent="0.25">
      <c r="A68" s="38" t="s">
        <v>235</v>
      </c>
      <c r="B68" s="26" t="s">
        <v>236</v>
      </c>
      <c r="C68" s="39">
        <v>19.849</v>
      </c>
      <c r="D68" s="39">
        <v>2044.58</v>
      </c>
      <c r="E68" s="40">
        <f t="shared" si="0"/>
        <v>40582.868419999999</v>
      </c>
      <c r="F68" s="41">
        <f t="shared" si="1"/>
        <v>1.3816397826175691E-3</v>
      </c>
      <c r="G68" s="42" t="s">
        <v>135</v>
      </c>
      <c r="H68" s="42" t="str">
        <f t="shared" si="2"/>
        <v/>
      </c>
      <c r="I68" s="42">
        <v>0.16500000000000001</v>
      </c>
      <c r="J68" s="43">
        <f t="shared" si="3"/>
        <v>2.2797056413189891E-4</v>
      </c>
    </row>
    <row r="69" spans="1:10" ht="15" customHeight="1" x14ac:dyDescent="0.25">
      <c r="A69" s="38" t="s">
        <v>237</v>
      </c>
      <c r="B69" s="26" t="s">
        <v>238</v>
      </c>
      <c r="C69" s="39">
        <v>590.38499999999999</v>
      </c>
      <c r="D69" s="39">
        <v>191.5</v>
      </c>
      <c r="E69" s="40">
        <f t="shared" si="0"/>
        <v>113058.72749999999</v>
      </c>
      <c r="F69" s="41" t="str">
        <f t="shared" si="1"/>
        <v/>
      </c>
      <c r="G69" s="42" t="s">
        <v>135</v>
      </c>
      <c r="H69" s="42" t="str">
        <f t="shared" si="2"/>
        <v/>
      </c>
      <c r="I69" s="42" t="s">
        <v>135</v>
      </c>
      <c r="J69" s="43" t="str">
        <f t="shared" si="3"/>
        <v/>
      </c>
    </row>
    <row r="70" spans="1:10" ht="15" customHeight="1" x14ac:dyDescent="0.25">
      <c r="A70" s="38" t="s">
        <v>239</v>
      </c>
      <c r="B70" s="26" t="s">
        <v>240</v>
      </c>
      <c r="C70" s="39">
        <v>8064.8549999999996</v>
      </c>
      <c r="D70" s="39">
        <v>41.22</v>
      </c>
      <c r="E70" s="40">
        <f t="shared" si="0"/>
        <v>332433.32309999998</v>
      </c>
      <c r="F70" s="41">
        <f t="shared" si="1"/>
        <v>1.1317659942350622E-2</v>
      </c>
      <c r="G70" s="42">
        <v>2.0378457059679767E-2</v>
      </c>
      <c r="H70" s="42">
        <f t="shared" si="2"/>
        <v>2.3063644715124994E-4</v>
      </c>
      <c r="I70" s="42">
        <v>7.4999999999999997E-2</v>
      </c>
      <c r="J70" s="43">
        <f t="shared" si="3"/>
        <v>8.4882449567629664E-4</v>
      </c>
    </row>
    <row r="71" spans="1:10" ht="15" customHeight="1" x14ac:dyDescent="0.25">
      <c r="A71" s="38" t="s">
        <v>241</v>
      </c>
      <c r="B71" s="26" t="s">
        <v>242</v>
      </c>
      <c r="C71" s="39">
        <v>503.197</v>
      </c>
      <c r="D71" s="39">
        <v>77.540000000000006</v>
      </c>
      <c r="E71" s="40">
        <f t="shared" si="0"/>
        <v>39017.895380000002</v>
      </c>
      <c r="F71" s="41">
        <f t="shared" si="1"/>
        <v>1.3283604286692325E-3</v>
      </c>
      <c r="G71" s="42">
        <v>1.4444157854010833E-2</v>
      </c>
      <c r="H71" s="42">
        <f t="shared" si="2"/>
        <v>1.9187047718719893E-5</v>
      </c>
      <c r="I71" s="42">
        <v>9.5000000000000001E-2</v>
      </c>
      <c r="J71" s="43">
        <f t="shared" si="3"/>
        <v>1.2619424072357708E-4</v>
      </c>
    </row>
    <row r="72" spans="1:10" ht="15" customHeight="1" x14ac:dyDescent="0.25">
      <c r="A72" s="38" t="s">
        <v>243</v>
      </c>
      <c r="B72" s="26" t="s">
        <v>244</v>
      </c>
      <c r="C72" s="39">
        <v>238.91</v>
      </c>
      <c r="D72" s="39">
        <v>47.8</v>
      </c>
      <c r="E72" s="40">
        <f t="shared" si="0"/>
        <v>11419.897999999999</v>
      </c>
      <c r="F72" s="41" t="str">
        <f t="shared" si="1"/>
        <v/>
      </c>
      <c r="G72" s="42">
        <v>1.6736401673640169E-2</v>
      </c>
      <c r="H72" s="42" t="str">
        <f t="shared" si="2"/>
        <v/>
      </c>
      <c r="I72" s="42">
        <v>0.26</v>
      </c>
      <c r="J72" s="43" t="str">
        <f t="shared" si="3"/>
        <v/>
      </c>
    </row>
    <row r="73" spans="1:10" ht="15" customHeight="1" x14ac:dyDescent="0.25">
      <c r="A73" s="38" t="s">
        <v>245</v>
      </c>
      <c r="B73" s="26" t="s">
        <v>246</v>
      </c>
      <c r="C73" s="39">
        <v>225.22800000000001</v>
      </c>
      <c r="D73" s="39">
        <v>90.9</v>
      </c>
      <c r="E73" s="40">
        <f t="shared" si="0"/>
        <v>20473.225200000001</v>
      </c>
      <c r="F73" s="41">
        <f t="shared" si="1"/>
        <v>6.9700894776743674E-4</v>
      </c>
      <c r="G73" s="42">
        <v>3.872387238723872E-2</v>
      </c>
      <c r="H73" s="42">
        <f t="shared" si="2"/>
        <v>2.6990885546109759E-5</v>
      </c>
      <c r="I73" s="42">
        <v>8.5000000000000006E-2</v>
      </c>
      <c r="J73" s="43">
        <f t="shared" si="3"/>
        <v>5.924576056023213E-5</v>
      </c>
    </row>
    <row r="74" spans="1:10" ht="15" customHeight="1" x14ac:dyDescent="0.25">
      <c r="A74" s="38" t="s">
        <v>247</v>
      </c>
      <c r="B74" s="26" t="s">
        <v>248</v>
      </c>
      <c r="C74" s="39">
        <v>284.77100000000002</v>
      </c>
      <c r="D74" s="39">
        <v>259.334</v>
      </c>
      <c r="E74" s="40">
        <f t="shared" si="0"/>
        <v>73850.80251400001</v>
      </c>
      <c r="F74" s="41">
        <f t="shared" si="1"/>
        <v>2.5142433421805922E-3</v>
      </c>
      <c r="G74" s="42">
        <v>1.341898864013203E-2</v>
      </c>
      <c r="H74" s="42">
        <f t="shared" si="2"/>
        <v>3.3738602847248956E-5</v>
      </c>
      <c r="I74" s="42">
        <v>0.06</v>
      </c>
      <c r="J74" s="43">
        <f t="shared" si="3"/>
        <v>1.5085460053083552E-4</v>
      </c>
    </row>
    <row r="75" spans="1:10" ht="15" customHeight="1" x14ac:dyDescent="0.25">
      <c r="A75" s="38" t="s">
        <v>249</v>
      </c>
      <c r="B75" s="26" t="s">
        <v>250</v>
      </c>
      <c r="C75" s="39">
        <v>502.12400000000002</v>
      </c>
      <c r="D75" s="39">
        <v>27.92</v>
      </c>
      <c r="E75" s="40">
        <f t="shared" si="0"/>
        <v>14019.302080000001</v>
      </c>
      <c r="F75" s="41">
        <f t="shared" si="1"/>
        <v>4.7728576693498387E-4</v>
      </c>
      <c r="G75" s="42">
        <v>4.1547277936962744E-2</v>
      </c>
      <c r="H75" s="42">
        <f t="shared" si="2"/>
        <v>1.9829924414204197E-5</v>
      </c>
      <c r="I75" s="42">
        <v>0.11</v>
      </c>
      <c r="J75" s="43">
        <f t="shared" si="3"/>
        <v>5.2501434362848225E-5</v>
      </c>
    </row>
    <row r="76" spans="1:10" ht="15" customHeight="1" x14ac:dyDescent="0.25">
      <c r="A76" s="38" t="s">
        <v>251</v>
      </c>
      <c r="B76" s="26" t="s">
        <v>252</v>
      </c>
      <c r="C76" s="39">
        <v>309.79500000000002</v>
      </c>
      <c r="D76" s="39">
        <v>67.02</v>
      </c>
      <c r="E76" s="40">
        <f t="shared" si="0"/>
        <v>20762.460899999998</v>
      </c>
      <c r="F76" s="41">
        <f t="shared" si="1"/>
        <v>7.0685594886005297E-4</v>
      </c>
      <c r="G76" s="42">
        <v>1.1250373022978216E-2</v>
      </c>
      <c r="H76" s="42">
        <f t="shared" si="2"/>
        <v>7.9523930981868085E-6</v>
      </c>
      <c r="I76" s="42">
        <v>0.13</v>
      </c>
      <c r="J76" s="43">
        <f t="shared" si="3"/>
        <v>9.1891273351806893E-5</v>
      </c>
    </row>
    <row r="77" spans="1:10" ht="15" customHeight="1" x14ac:dyDescent="0.25">
      <c r="A77" s="38" t="s">
        <v>253</v>
      </c>
      <c r="B77" s="26" t="s">
        <v>254</v>
      </c>
      <c r="C77" s="39">
        <v>146.96299999999999</v>
      </c>
      <c r="D77" s="39">
        <v>210.6</v>
      </c>
      <c r="E77" s="40">
        <f t="shared" si="0"/>
        <v>30950.407799999997</v>
      </c>
      <c r="F77" s="41" t="str">
        <f t="shared" si="1"/>
        <v/>
      </c>
      <c r="G77" s="42" t="s">
        <v>135</v>
      </c>
      <c r="H77" s="42" t="str">
        <f t="shared" si="2"/>
        <v/>
      </c>
      <c r="I77" s="42">
        <v>-0.105</v>
      </c>
      <c r="J77" s="43" t="str">
        <f t="shared" si="3"/>
        <v/>
      </c>
    </row>
    <row r="78" spans="1:10" ht="15" customHeight="1" x14ac:dyDescent="0.25">
      <c r="A78" s="38" t="s">
        <v>255</v>
      </c>
      <c r="B78" s="26" t="s">
        <v>256</v>
      </c>
      <c r="C78" s="39">
        <v>24.863</v>
      </c>
      <c r="D78" s="39">
        <v>563.23</v>
      </c>
      <c r="E78" s="40">
        <f t="shared" si="0"/>
        <v>14003.58749</v>
      </c>
      <c r="F78" s="41">
        <f t="shared" si="1"/>
        <v>4.7675076525676769E-4</v>
      </c>
      <c r="G78" s="42" t="s">
        <v>135</v>
      </c>
      <c r="H78" s="42" t="str">
        <f t="shared" si="2"/>
        <v/>
      </c>
      <c r="I78" s="42">
        <v>9.5000000000000001E-2</v>
      </c>
      <c r="J78" s="43">
        <f t="shared" si="3"/>
        <v>4.5291322699392934E-5</v>
      </c>
    </row>
    <row r="79" spans="1:10" ht="15" customHeight="1" x14ac:dyDescent="0.25">
      <c r="A79" s="38" t="s">
        <v>257</v>
      </c>
      <c r="B79" s="26" t="s">
        <v>258</v>
      </c>
      <c r="C79" s="39">
        <v>807.10599999999999</v>
      </c>
      <c r="D79" s="39">
        <v>49.63</v>
      </c>
      <c r="E79" s="40">
        <f t="shared" si="0"/>
        <v>40056.67078</v>
      </c>
      <c r="F79" s="41">
        <f t="shared" si="1"/>
        <v>1.3637254354743498E-3</v>
      </c>
      <c r="G79" s="42">
        <v>2.7402780576264354E-2</v>
      </c>
      <c r="H79" s="42">
        <f t="shared" si="2"/>
        <v>3.7369868874574158E-5</v>
      </c>
      <c r="I79" s="42">
        <v>0.05</v>
      </c>
      <c r="J79" s="43">
        <f t="shared" si="3"/>
        <v>6.8186271773717491E-5</v>
      </c>
    </row>
    <row r="80" spans="1:10" ht="15" customHeight="1" x14ac:dyDescent="0.25">
      <c r="A80" s="38" t="s">
        <v>259</v>
      </c>
      <c r="B80" s="26" t="s">
        <v>260</v>
      </c>
      <c r="C80" s="39">
        <v>40.887999999999998</v>
      </c>
      <c r="D80" s="39">
        <v>2348.4499999999998</v>
      </c>
      <c r="E80" s="40">
        <f t="shared" si="0"/>
        <v>96023.423599999995</v>
      </c>
      <c r="F80" s="41">
        <f t="shared" si="1"/>
        <v>3.2691080565295035E-3</v>
      </c>
      <c r="G80" s="42" t="s">
        <v>135</v>
      </c>
      <c r="H80" s="42" t="str">
        <f t="shared" si="2"/>
        <v/>
      </c>
      <c r="I80" s="42">
        <v>0.14000000000000001</v>
      </c>
      <c r="J80" s="43">
        <f t="shared" si="3"/>
        <v>4.5767512791413051E-4</v>
      </c>
    </row>
    <row r="81" spans="1:10" ht="15" customHeight="1" x14ac:dyDescent="0.25">
      <c r="A81" s="38" t="s">
        <v>261</v>
      </c>
      <c r="B81" s="26" t="s">
        <v>262</v>
      </c>
      <c r="C81" s="39">
        <v>953.34100000000001</v>
      </c>
      <c r="D81" s="39">
        <v>36.409999999999997</v>
      </c>
      <c r="E81" s="40">
        <f t="shared" ref="E81:E144" si="4">IFERROR(C81*D81, "")</f>
        <v>34711.145809999995</v>
      </c>
      <c r="F81" s="41" t="str">
        <f t="shared" ref="F81:F144" si="5">IF(AND(ISNUMBER($I81)), IF(AND($I81&lt;=20%,$I81&gt;0%), $E81/SUMIFS($E$16:$E$520,$I$16:$I$520, "&gt;"&amp;0%,$I$16:$I$520, "&lt;="&amp;20%),""),"")</f>
        <v/>
      </c>
      <c r="G81" s="42">
        <v>1.9774787146388355E-2</v>
      </c>
      <c r="H81" s="42" t="str">
        <f t="shared" ref="H81:H144" si="6">IFERROR(F81*G81,"")</f>
        <v/>
      </c>
      <c r="I81" s="42" t="s">
        <v>135</v>
      </c>
      <c r="J81" s="43" t="str">
        <f t="shared" ref="J81:J144" si="7">IFERROR(F81*I81,"")</f>
        <v/>
      </c>
    </row>
    <row r="82" spans="1:10" ht="15" customHeight="1" x14ac:dyDescent="0.25">
      <c r="A82" s="38" t="s">
        <v>263</v>
      </c>
      <c r="B82" s="26" t="s">
        <v>264</v>
      </c>
      <c r="C82" s="39">
        <v>152.042</v>
      </c>
      <c r="D82" s="39">
        <v>764.17</v>
      </c>
      <c r="E82" s="40">
        <f t="shared" si="4"/>
        <v>116185.93514</v>
      </c>
      <c r="F82" s="41">
        <f t="shared" si="5"/>
        <v>3.9555387881586457E-3</v>
      </c>
      <c r="G82" s="42">
        <v>2.5544054333459833E-2</v>
      </c>
      <c r="H82" s="42">
        <f t="shared" si="6"/>
        <v>1.010404977228323E-4</v>
      </c>
      <c r="I82" s="42">
        <v>0.11</v>
      </c>
      <c r="J82" s="43">
        <f t="shared" si="7"/>
        <v>4.3510926669745105E-4</v>
      </c>
    </row>
    <row r="83" spans="1:10" ht="15" customHeight="1" x14ac:dyDescent="0.25">
      <c r="A83" s="38" t="s">
        <v>265</v>
      </c>
      <c r="B83" s="26" t="s">
        <v>266</v>
      </c>
      <c r="C83" s="39">
        <v>321.21199999999999</v>
      </c>
      <c r="D83" s="39">
        <v>90</v>
      </c>
      <c r="E83" s="40">
        <f t="shared" si="4"/>
        <v>28909.079999999998</v>
      </c>
      <c r="F83" s="41" t="str">
        <f t="shared" si="5"/>
        <v/>
      </c>
      <c r="G83" s="42">
        <v>8.8888888888888889E-3</v>
      </c>
      <c r="H83" s="42" t="str">
        <f t="shared" si="6"/>
        <v/>
      </c>
      <c r="I83" s="42">
        <v>0.21</v>
      </c>
      <c r="J83" s="43" t="str">
        <f t="shared" si="7"/>
        <v/>
      </c>
    </row>
    <row r="84" spans="1:10" ht="15" customHeight="1" x14ac:dyDescent="0.25">
      <c r="A84" s="38" t="s">
        <v>267</v>
      </c>
      <c r="B84" s="26" t="s">
        <v>268</v>
      </c>
      <c r="C84" s="39">
        <v>2125.203</v>
      </c>
      <c r="D84" s="39">
        <v>73.03</v>
      </c>
      <c r="E84" s="40">
        <f t="shared" si="4"/>
        <v>155203.57509</v>
      </c>
      <c r="F84" s="41" t="str">
        <f t="shared" si="5"/>
        <v/>
      </c>
      <c r="G84" s="42">
        <v>2.9576886211146104E-2</v>
      </c>
      <c r="H84" s="42" t="str">
        <f t="shared" si="6"/>
        <v/>
      </c>
      <c r="I84" s="42" t="s">
        <v>135</v>
      </c>
      <c r="J84" s="43" t="str">
        <f t="shared" si="7"/>
        <v/>
      </c>
    </row>
    <row r="85" spans="1:10" ht="15" customHeight="1" x14ac:dyDescent="0.25">
      <c r="A85" s="38" t="s">
        <v>269</v>
      </c>
      <c r="B85" s="26" t="s">
        <v>270</v>
      </c>
      <c r="C85" s="39">
        <v>116.773</v>
      </c>
      <c r="D85" s="39">
        <v>155.71</v>
      </c>
      <c r="E85" s="40">
        <f t="shared" si="4"/>
        <v>18182.723829999999</v>
      </c>
      <c r="F85" s="41">
        <f t="shared" si="5"/>
        <v>6.1902905284772609E-4</v>
      </c>
      <c r="G85" s="42">
        <v>1.6440819472095563E-2</v>
      </c>
      <c r="H85" s="42">
        <f t="shared" si="6"/>
        <v>1.0177344905851768E-5</v>
      </c>
      <c r="I85" s="42">
        <v>0.09</v>
      </c>
      <c r="J85" s="43">
        <f t="shared" si="7"/>
        <v>5.5712614756295347E-5</v>
      </c>
    </row>
    <row r="86" spans="1:10" ht="15" customHeight="1" x14ac:dyDescent="0.25">
      <c r="A86" s="38" t="s">
        <v>271</v>
      </c>
      <c r="B86" s="26" t="s">
        <v>272</v>
      </c>
      <c r="C86" s="39">
        <v>1287.634</v>
      </c>
      <c r="D86" s="39">
        <v>352.91</v>
      </c>
      <c r="E86" s="40">
        <f t="shared" si="4"/>
        <v>454418.91494000005</v>
      </c>
      <c r="F86" s="41">
        <f t="shared" si="5"/>
        <v>1.5470647475120324E-2</v>
      </c>
      <c r="G86" s="42" t="s">
        <v>135</v>
      </c>
      <c r="H86" s="42" t="str">
        <f t="shared" si="6"/>
        <v/>
      </c>
      <c r="I86" s="42">
        <v>0.06</v>
      </c>
      <c r="J86" s="43">
        <f t="shared" si="7"/>
        <v>9.2823884850721941E-4</v>
      </c>
    </row>
    <row r="87" spans="1:10" ht="15" customHeight="1" x14ac:dyDescent="0.25">
      <c r="A87" s="38" t="s">
        <v>273</v>
      </c>
      <c r="B87" s="26" t="s">
        <v>274</v>
      </c>
      <c r="C87" s="39">
        <v>282.21600000000001</v>
      </c>
      <c r="D87" s="39">
        <v>72.27</v>
      </c>
      <c r="E87" s="40">
        <f t="shared" si="4"/>
        <v>20395.750319999999</v>
      </c>
      <c r="F87" s="41">
        <f t="shared" si="5"/>
        <v>6.9437132306201371E-4</v>
      </c>
      <c r="G87" s="42">
        <v>5.6731700567317009E-3</v>
      </c>
      <c r="H87" s="42">
        <f t="shared" si="6"/>
        <v>3.9392865982485902E-6</v>
      </c>
      <c r="I87" s="42">
        <v>0.105</v>
      </c>
      <c r="J87" s="43">
        <f t="shared" si="7"/>
        <v>7.290898892151144E-5</v>
      </c>
    </row>
    <row r="88" spans="1:10" ht="15" customHeight="1" x14ac:dyDescent="0.25">
      <c r="A88" s="38" t="s">
        <v>275</v>
      </c>
      <c r="B88" s="26" t="s">
        <v>276</v>
      </c>
      <c r="C88" s="39">
        <v>1429.4469999999999</v>
      </c>
      <c r="D88" s="39">
        <v>44.29</v>
      </c>
      <c r="E88" s="40">
        <f t="shared" si="4"/>
        <v>63310.207629999997</v>
      </c>
      <c r="F88" s="41">
        <f t="shared" si="5"/>
        <v>2.155389821195551E-3</v>
      </c>
      <c r="G88" s="42" t="s">
        <v>135</v>
      </c>
      <c r="H88" s="42" t="str">
        <f t="shared" si="6"/>
        <v/>
      </c>
      <c r="I88" s="42">
        <v>0.16</v>
      </c>
      <c r="J88" s="43">
        <f t="shared" si="7"/>
        <v>3.4486237139128814E-4</v>
      </c>
    </row>
    <row r="89" spans="1:10" ht="15" customHeight="1" x14ac:dyDescent="0.25">
      <c r="A89" s="38" t="s">
        <v>277</v>
      </c>
      <c r="B89" s="26" t="s">
        <v>278</v>
      </c>
      <c r="C89" s="39">
        <v>239.97300000000001</v>
      </c>
      <c r="D89" s="39">
        <v>38.9</v>
      </c>
      <c r="E89" s="40">
        <f t="shared" si="4"/>
        <v>9334.949700000001</v>
      </c>
      <c r="F89" s="41">
        <f t="shared" si="5"/>
        <v>3.1780744871887356E-4</v>
      </c>
      <c r="G89" s="42">
        <v>1.7480719794344474E-2</v>
      </c>
      <c r="H89" s="42">
        <f t="shared" si="6"/>
        <v>5.5555029596101295E-6</v>
      </c>
      <c r="I89" s="42">
        <v>9.5000000000000001E-2</v>
      </c>
      <c r="J89" s="43">
        <f t="shared" si="7"/>
        <v>3.0191707628292987E-5</v>
      </c>
    </row>
    <row r="90" spans="1:10" ht="15" customHeight="1" x14ac:dyDescent="0.25">
      <c r="A90" s="38" t="s">
        <v>279</v>
      </c>
      <c r="B90" s="26" t="s">
        <v>280</v>
      </c>
      <c r="C90" s="39">
        <v>156.67599999999999</v>
      </c>
      <c r="D90" s="39">
        <v>128.80000000000001</v>
      </c>
      <c r="E90" s="40">
        <f t="shared" si="4"/>
        <v>20179.8688</v>
      </c>
      <c r="F90" s="41" t="str">
        <f t="shared" si="5"/>
        <v/>
      </c>
      <c r="G90" s="42">
        <v>3.043478260869565E-2</v>
      </c>
      <c r="H90" s="42" t="str">
        <f t="shared" si="6"/>
        <v/>
      </c>
      <c r="I90" s="42">
        <v>-1.4999999999999999E-2</v>
      </c>
      <c r="J90" s="43" t="str">
        <f t="shared" si="7"/>
        <v/>
      </c>
    </row>
    <row r="91" spans="1:10" ht="15" customHeight="1" x14ac:dyDescent="0.25">
      <c r="A91" s="38" t="s">
        <v>281</v>
      </c>
      <c r="B91" s="26" t="s">
        <v>282</v>
      </c>
      <c r="C91" s="39">
        <v>1972.4739999999999</v>
      </c>
      <c r="D91" s="39">
        <v>53.4</v>
      </c>
      <c r="E91" s="40">
        <f t="shared" si="4"/>
        <v>105330.11159999999</v>
      </c>
      <c r="F91" s="41">
        <f t="shared" si="5"/>
        <v>3.5859533384384732E-3</v>
      </c>
      <c r="G91" s="42">
        <v>3.8202247191011236E-2</v>
      </c>
      <c r="H91" s="42">
        <f t="shared" si="6"/>
        <v>1.3699147585045853E-4</v>
      </c>
      <c r="I91" s="42">
        <v>7.0000000000000007E-2</v>
      </c>
      <c r="J91" s="43">
        <f t="shared" si="7"/>
        <v>2.5101673369069317E-4</v>
      </c>
    </row>
    <row r="92" spans="1:10" ht="15" customHeight="1" x14ac:dyDescent="0.25">
      <c r="A92" s="38" t="s">
        <v>283</v>
      </c>
      <c r="B92" s="26" t="s">
        <v>284</v>
      </c>
      <c r="C92" s="39">
        <v>479.69799999999998</v>
      </c>
      <c r="D92" s="39">
        <v>33.57</v>
      </c>
      <c r="E92" s="40">
        <f t="shared" si="4"/>
        <v>16103.461859999999</v>
      </c>
      <c r="F92" s="41">
        <f t="shared" si="5"/>
        <v>5.4824078262235155E-4</v>
      </c>
      <c r="G92" s="42">
        <v>3.7235627047959484E-2</v>
      </c>
      <c r="H92" s="42">
        <f t="shared" si="6"/>
        <v>2.041408931420731E-5</v>
      </c>
      <c r="I92" s="42">
        <v>4.4999999999999998E-2</v>
      </c>
      <c r="J92" s="43">
        <f t="shared" si="7"/>
        <v>2.467083521800582E-5</v>
      </c>
    </row>
    <row r="93" spans="1:10" ht="15" customHeight="1" x14ac:dyDescent="0.25">
      <c r="A93" s="38" t="s">
        <v>285</v>
      </c>
      <c r="B93" s="26" t="s">
        <v>286</v>
      </c>
      <c r="C93" s="39">
        <v>277.06099999999998</v>
      </c>
      <c r="D93" s="39">
        <v>56.7</v>
      </c>
      <c r="E93" s="40">
        <f t="shared" si="4"/>
        <v>15709.358699999999</v>
      </c>
      <c r="F93" s="41">
        <f t="shared" si="5"/>
        <v>5.3482357911972887E-4</v>
      </c>
      <c r="G93" s="42">
        <v>3.4624338624338627E-2</v>
      </c>
      <c r="H93" s="42">
        <f t="shared" si="6"/>
        <v>1.8517912707722255E-5</v>
      </c>
      <c r="I93" s="42">
        <v>0.05</v>
      </c>
      <c r="J93" s="43">
        <f t="shared" si="7"/>
        <v>2.6741178955986443E-5</v>
      </c>
    </row>
    <row r="94" spans="1:10" ht="15" customHeight="1" x14ac:dyDescent="0.25">
      <c r="A94" s="38" t="s">
        <v>287</v>
      </c>
      <c r="B94" s="26" t="s">
        <v>288</v>
      </c>
      <c r="C94" s="39">
        <v>853.00699999999995</v>
      </c>
      <c r="D94" s="39">
        <v>45.87</v>
      </c>
      <c r="E94" s="40">
        <f t="shared" si="4"/>
        <v>39127.431089999998</v>
      </c>
      <c r="F94" s="41" t="str">
        <f t="shared" si="5"/>
        <v/>
      </c>
      <c r="G94" s="42">
        <v>1.3080444735120994E-2</v>
      </c>
      <c r="H94" s="42" t="str">
        <f t="shared" si="6"/>
        <v/>
      </c>
      <c r="I94" s="42" t="s">
        <v>135</v>
      </c>
      <c r="J94" s="43" t="str">
        <f t="shared" si="7"/>
        <v/>
      </c>
    </row>
    <row r="95" spans="1:10" ht="15" customHeight="1" x14ac:dyDescent="0.25">
      <c r="A95" s="38" t="s">
        <v>289</v>
      </c>
      <c r="B95" s="26" t="s">
        <v>290</v>
      </c>
      <c r="C95" s="39">
        <v>535.88800000000003</v>
      </c>
      <c r="D95" s="39">
        <v>222.82</v>
      </c>
      <c r="E95" s="40">
        <f t="shared" si="4"/>
        <v>119406.56416000001</v>
      </c>
      <c r="F95" s="41">
        <f t="shared" si="5"/>
        <v>4.0651847878704784E-3</v>
      </c>
      <c r="G95" s="42">
        <v>1.9926397989408495E-2</v>
      </c>
      <c r="H95" s="42">
        <f t="shared" si="6"/>
        <v>8.1004489983596298E-5</v>
      </c>
      <c r="I95" s="42">
        <v>0.08</v>
      </c>
      <c r="J95" s="43">
        <f t="shared" si="7"/>
        <v>3.252147830296383E-4</v>
      </c>
    </row>
    <row r="96" spans="1:10" ht="15" customHeight="1" x14ac:dyDescent="0.25">
      <c r="A96" s="38" t="s">
        <v>291</v>
      </c>
      <c r="B96" s="26" t="s">
        <v>292</v>
      </c>
      <c r="C96" s="39">
        <v>426.22899999999998</v>
      </c>
      <c r="D96" s="39">
        <v>213.9</v>
      </c>
      <c r="E96" s="40">
        <f t="shared" si="4"/>
        <v>91170.383100000006</v>
      </c>
      <c r="F96" s="41">
        <f t="shared" si="5"/>
        <v>3.1038867677812242E-3</v>
      </c>
      <c r="G96" s="42">
        <v>1.4960261804581581E-2</v>
      </c>
      <c r="H96" s="42">
        <f t="shared" si="6"/>
        <v>4.6434958657783625E-5</v>
      </c>
      <c r="I96" s="42">
        <v>0.125</v>
      </c>
      <c r="J96" s="43">
        <f t="shared" si="7"/>
        <v>3.8798584597265302E-4</v>
      </c>
    </row>
    <row r="97" spans="1:10" ht="15" customHeight="1" x14ac:dyDescent="0.25">
      <c r="A97" s="38" t="s">
        <v>293</v>
      </c>
      <c r="B97" s="26" t="s">
        <v>294</v>
      </c>
      <c r="C97" s="39">
        <v>106.602</v>
      </c>
      <c r="D97" s="39">
        <v>114.42</v>
      </c>
      <c r="E97" s="40">
        <f t="shared" si="4"/>
        <v>12197.40084</v>
      </c>
      <c r="F97" s="41">
        <f t="shared" si="5"/>
        <v>4.1525931756888256E-4</v>
      </c>
      <c r="G97" s="42">
        <v>1.6780283167278448E-2</v>
      </c>
      <c r="H97" s="42">
        <f t="shared" si="6"/>
        <v>6.9681689366566551E-6</v>
      </c>
      <c r="I97" s="42">
        <v>0.12</v>
      </c>
      <c r="J97" s="43">
        <f t="shared" si="7"/>
        <v>4.9831118108265902E-5</v>
      </c>
    </row>
    <row r="98" spans="1:10" ht="15" customHeight="1" x14ac:dyDescent="0.25">
      <c r="A98" s="38" t="s">
        <v>295</v>
      </c>
      <c r="B98" s="26" t="s">
        <v>296</v>
      </c>
      <c r="C98" s="39">
        <v>332.32299999999998</v>
      </c>
      <c r="D98" s="39">
        <v>91.52</v>
      </c>
      <c r="E98" s="40">
        <f t="shared" si="4"/>
        <v>30414.200959999998</v>
      </c>
      <c r="F98" s="41">
        <f t="shared" si="5"/>
        <v>1.0354484943738598E-3</v>
      </c>
      <c r="G98" s="42" t="s">
        <v>135</v>
      </c>
      <c r="H98" s="42" t="str">
        <f t="shared" si="6"/>
        <v/>
      </c>
      <c r="I98" s="42">
        <v>0.1</v>
      </c>
      <c r="J98" s="43">
        <f t="shared" si="7"/>
        <v>1.0354484943738599E-4</v>
      </c>
    </row>
    <row r="99" spans="1:10" ht="15" customHeight="1" x14ac:dyDescent="0.25">
      <c r="A99" s="38" t="s">
        <v>297</v>
      </c>
      <c r="B99" s="26" t="s">
        <v>298</v>
      </c>
      <c r="C99" s="39">
        <v>433.03</v>
      </c>
      <c r="D99" s="39">
        <v>184.6</v>
      </c>
      <c r="E99" s="40">
        <f t="shared" si="4"/>
        <v>79937.337999999989</v>
      </c>
      <c r="F99" s="41">
        <f t="shared" si="5"/>
        <v>2.7214588469778533E-3</v>
      </c>
      <c r="G99" s="42">
        <v>3.1852654387865657E-2</v>
      </c>
      <c r="H99" s="42">
        <f t="shared" si="6"/>
        <v>8.668568808358493E-5</v>
      </c>
      <c r="I99" s="42">
        <v>0.12</v>
      </c>
      <c r="J99" s="43">
        <f t="shared" si="7"/>
        <v>3.2657506163734238E-4</v>
      </c>
    </row>
    <row r="100" spans="1:10" ht="15" customHeight="1" x14ac:dyDescent="0.25">
      <c r="A100" s="38" t="s">
        <v>299</v>
      </c>
      <c r="B100" s="26" t="s">
        <v>300</v>
      </c>
      <c r="C100" s="39">
        <v>989.70100000000002</v>
      </c>
      <c r="D100" s="39">
        <v>20.22</v>
      </c>
      <c r="E100" s="40">
        <f t="shared" si="4"/>
        <v>20011.754219999999</v>
      </c>
      <c r="F100" s="41" t="str">
        <f t="shared" si="5"/>
        <v/>
      </c>
      <c r="G100" s="42" t="s">
        <v>135</v>
      </c>
      <c r="H100" s="42" t="str">
        <f t="shared" si="6"/>
        <v/>
      </c>
      <c r="I100" s="42" t="s">
        <v>135</v>
      </c>
      <c r="J100" s="43" t="str">
        <f t="shared" si="7"/>
        <v/>
      </c>
    </row>
    <row r="101" spans="1:10" ht="15" customHeight="1" x14ac:dyDescent="0.25">
      <c r="A101" s="38" t="s">
        <v>301</v>
      </c>
      <c r="B101" s="26" t="s">
        <v>302</v>
      </c>
      <c r="C101" s="39">
        <v>150.10900000000001</v>
      </c>
      <c r="D101" s="39">
        <v>68.36</v>
      </c>
      <c r="E101" s="40">
        <f t="shared" si="4"/>
        <v>10261.45124</v>
      </c>
      <c r="F101" s="41" t="str">
        <f t="shared" si="5"/>
        <v/>
      </c>
      <c r="G101" s="42" t="s">
        <v>135</v>
      </c>
      <c r="H101" s="42" t="str">
        <f t="shared" si="6"/>
        <v/>
      </c>
      <c r="I101" s="42" t="s">
        <v>135</v>
      </c>
      <c r="J101" s="43" t="str">
        <f t="shared" si="7"/>
        <v/>
      </c>
    </row>
    <row r="102" spans="1:10" ht="15" customHeight="1" x14ac:dyDescent="0.25">
      <c r="A102" s="38" t="s">
        <v>303</v>
      </c>
      <c r="B102" s="26" t="s">
        <v>304</v>
      </c>
      <c r="C102" s="39">
        <v>278.37599999999998</v>
      </c>
      <c r="D102" s="39">
        <v>164.46</v>
      </c>
      <c r="E102" s="40">
        <f t="shared" si="4"/>
        <v>45781.716959999998</v>
      </c>
      <c r="F102" s="41">
        <f t="shared" si="5"/>
        <v>1.5586340722357811E-3</v>
      </c>
      <c r="G102" s="42" t="s">
        <v>135</v>
      </c>
      <c r="H102" s="42" t="str">
        <f t="shared" si="6"/>
        <v/>
      </c>
      <c r="I102" s="42">
        <v>0.12</v>
      </c>
      <c r="J102" s="43">
        <f t="shared" si="7"/>
        <v>1.8703608866829373E-4</v>
      </c>
    </row>
    <row r="103" spans="1:10" ht="15" customHeight="1" x14ac:dyDescent="0.25">
      <c r="A103" s="38" t="s">
        <v>305</v>
      </c>
      <c r="B103" s="26" t="s">
        <v>306</v>
      </c>
      <c r="C103" s="39">
        <v>134.94399999999999</v>
      </c>
      <c r="D103" s="39">
        <v>178.89</v>
      </c>
      <c r="E103" s="40">
        <f t="shared" si="4"/>
        <v>24140.132159999997</v>
      </c>
      <c r="F103" s="41">
        <f t="shared" si="5"/>
        <v>8.2184843625949361E-4</v>
      </c>
      <c r="G103" s="42">
        <v>1.1180054782268434E-2</v>
      </c>
      <c r="H103" s="42">
        <f t="shared" si="6"/>
        <v>9.1883105401027852E-6</v>
      </c>
      <c r="I103" s="42">
        <v>0.11</v>
      </c>
      <c r="J103" s="43">
        <f t="shared" si="7"/>
        <v>9.0403327988544292E-5</v>
      </c>
    </row>
    <row r="104" spans="1:10" ht="15" customHeight="1" x14ac:dyDescent="0.25">
      <c r="A104" s="38" t="s">
        <v>307</v>
      </c>
      <c r="B104" s="26" t="s">
        <v>308</v>
      </c>
      <c r="C104" s="39">
        <v>108.029</v>
      </c>
      <c r="D104" s="39">
        <v>142.87</v>
      </c>
      <c r="E104" s="40">
        <f t="shared" si="4"/>
        <v>15434.103230000001</v>
      </c>
      <c r="F104" s="41">
        <f t="shared" si="5"/>
        <v>5.2545253358890899E-4</v>
      </c>
      <c r="G104" s="42">
        <v>1.903828655421012E-2</v>
      </c>
      <c r="H104" s="42">
        <f t="shared" si="6"/>
        <v>1.0003715905101367E-5</v>
      </c>
      <c r="I104" s="42">
        <v>6.5000000000000002E-2</v>
      </c>
      <c r="J104" s="43">
        <f t="shared" si="7"/>
        <v>3.4154414683279088E-5</v>
      </c>
    </row>
    <row r="105" spans="1:10" ht="15" customHeight="1" x14ac:dyDescent="0.25">
      <c r="A105" s="38" t="s">
        <v>309</v>
      </c>
      <c r="B105" s="26" t="s">
        <v>310</v>
      </c>
      <c r="C105" s="39">
        <v>326.66399999999999</v>
      </c>
      <c r="D105" s="39">
        <v>56.25</v>
      </c>
      <c r="E105" s="40">
        <f t="shared" si="4"/>
        <v>18374.849999999999</v>
      </c>
      <c r="F105" s="41" t="str">
        <f t="shared" si="5"/>
        <v/>
      </c>
      <c r="G105" s="42">
        <v>1.0026666666666666E-2</v>
      </c>
      <c r="H105" s="42" t="str">
        <f t="shared" si="6"/>
        <v/>
      </c>
      <c r="I105" s="42" t="s">
        <v>135</v>
      </c>
      <c r="J105" s="43" t="str">
        <f t="shared" si="7"/>
        <v/>
      </c>
    </row>
    <row r="106" spans="1:10" ht="15" customHeight="1" x14ac:dyDescent="0.25">
      <c r="A106" s="38" t="s">
        <v>311</v>
      </c>
      <c r="B106" s="26" t="s">
        <v>312</v>
      </c>
      <c r="C106" s="39">
        <v>293.846</v>
      </c>
      <c r="D106" s="39">
        <v>93.56</v>
      </c>
      <c r="E106" s="40">
        <f t="shared" si="4"/>
        <v>27492.231760000002</v>
      </c>
      <c r="F106" s="41">
        <f t="shared" si="5"/>
        <v>9.3597033899749744E-4</v>
      </c>
      <c r="G106" s="42">
        <v>1.1543394613082514E-2</v>
      </c>
      <c r="H106" s="42">
        <f t="shared" si="6"/>
        <v>1.0804274969188727E-5</v>
      </c>
      <c r="I106" s="42">
        <v>9.5000000000000001E-2</v>
      </c>
      <c r="J106" s="43">
        <f t="shared" si="7"/>
        <v>8.8917182204762253E-5</v>
      </c>
    </row>
    <row r="107" spans="1:10" ht="15" customHeight="1" x14ac:dyDescent="0.25">
      <c r="A107" s="38" t="s">
        <v>313</v>
      </c>
      <c r="B107" s="26" t="s">
        <v>314</v>
      </c>
      <c r="C107" s="39">
        <v>209.114</v>
      </c>
      <c r="D107" s="39">
        <v>103.06</v>
      </c>
      <c r="E107" s="40">
        <f t="shared" si="4"/>
        <v>21551.288840000001</v>
      </c>
      <c r="F107" s="41">
        <f t="shared" si="5"/>
        <v>7.3371151885734658E-4</v>
      </c>
      <c r="G107" s="42">
        <v>1.1643702697457792E-2</v>
      </c>
      <c r="H107" s="42">
        <f t="shared" si="6"/>
        <v>8.5431187912751405E-6</v>
      </c>
      <c r="I107" s="42">
        <v>0.19500000000000001</v>
      </c>
      <c r="J107" s="43">
        <f t="shared" si="7"/>
        <v>1.4307374617718259E-4</v>
      </c>
    </row>
    <row r="108" spans="1:10" ht="15" customHeight="1" x14ac:dyDescent="0.25">
      <c r="A108" s="38" t="s">
        <v>315</v>
      </c>
      <c r="B108" s="26" t="s">
        <v>316</v>
      </c>
      <c r="C108" s="39">
        <v>422.14299999999997</v>
      </c>
      <c r="D108" s="39">
        <v>45.33</v>
      </c>
      <c r="E108" s="40">
        <f t="shared" si="4"/>
        <v>19135.742189999997</v>
      </c>
      <c r="F108" s="41">
        <f t="shared" si="5"/>
        <v>6.5147446962097815E-4</v>
      </c>
      <c r="G108" s="42">
        <v>3.4414295168762411E-2</v>
      </c>
      <c r="H108" s="42">
        <f t="shared" si="6"/>
        <v>2.2420034692449284E-5</v>
      </c>
      <c r="I108" s="42">
        <v>8.5000000000000006E-2</v>
      </c>
      <c r="J108" s="43">
        <f t="shared" si="7"/>
        <v>5.5375329917783147E-5</v>
      </c>
    </row>
    <row r="109" spans="1:10" ht="15" customHeight="1" x14ac:dyDescent="0.25">
      <c r="A109" s="38" t="s">
        <v>317</v>
      </c>
      <c r="B109" s="26" t="s">
        <v>318</v>
      </c>
      <c r="C109" s="39">
        <v>242.696</v>
      </c>
      <c r="D109" s="39">
        <v>99.38</v>
      </c>
      <c r="E109" s="40">
        <f t="shared" si="4"/>
        <v>24119.128479999999</v>
      </c>
      <c r="F109" s="41">
        <f t="shared" si="5"/>
        <v>8.211333680299876E-4</v>
      </c>
      <c r="G109" s="42">
        <v>1.0565506138055947E-2</v>
      </c>
      <c r="H109" s="42">
        <f t="shared" si="6"/>
        <v>8.6756896400833865E-6</v>
      </c>
      <c r="I109" s="42">
        <v>0.08</v>
      </c>
      <c r="J109" s="43">
        <f t="shared" si="7"/>
        <v>6.5690669442399006E-5</v>
      </c>
    </row>
    <row r="110" spans="1:10" ht="15" customHeight="1" x14ac:dyDescent="0.25">
      <c r="A110" s="38" t="s">
        <v>319</v>
      </c>
      <c r="B110" s="26" t="s">
        <v>320</v>
      </c>
      <c r="C110" s="39">
        <v>128.63999999999999</v>
      </c>
      <c r="D110" s="39">
        <v>107.71</v>
      </c>
      <c r="E110" s="40">
        <f t="shared" si="4"/>
        <v>13855.814399999997</v>
      </c>
      <c r="F110" s="41">
        <f t="shared" si="5"/>
        <v>4.7171984487353252E-4</v>
      </c>
      <c r="G110" s="42">
        <v>2.042521585739486E-2</v>
      </c>
      <c r="H110" s="42">
        <f t="shared" si="6"/>
        <v>9.6349796557587192E-6</v>
      </c>
      <c r="I110" s="42">
        <v>0.09</v>
      </c>
      <c r="J110" s="43">
        <f t="shared" si="7"/>
        <v>4.2454786038617927E-5</v>
      </c>
    </row>
    <row r="111" spans="1:10" ht="15" customHeight="1" x14ac:dyDescent="0.25">
      <c r="A111" s="38" t="s">
        <v>321</v>
      </c>
      <c r="B111" s="26" t="s">
        <v>322</v>
      </c>
      <c r="C111" s="39">
        <v>191.49299999999999</v>
      </c>
      <c r="D111" s="39">
        <v>545.52</v>
      </c>
      <c r="E111" s="40">
        <f t="shared" si="4"/>
        <v>104463.26135999999</v>
      </c>
      <c r="F111" s="41" t="str">
        <f t="shared" si="5"/>
        <v/>
      </c>
      <c r="G111" s="42" t="s">
        <v>135</v>
      </c>
      <c r="H111" s="42" t="str">
        <f t="shared" si="6"/>
        <v/>
      </c>
      <c r="I111" s="42">
        <v>0.215</v>
      </c>
      <c r="J111" s="43" t="str">
        <f t="shared" si="7"/>
        <v/>
      </c>
    </row>
    <row r="112" spans="1:10" ht="15" customHeight="1" x14ac:dyDescent="0.25">
      <c r="A112" s="38" t="s">
        <v>323</v>
      </c>
      <c r="B112" s="26" t="s">
        <v>324</v>
      </c>
      <c r="C112" s="39">
        <v>320.95299999999997</v>
      </c>
      <c r="D112" s="39">
        <v>239.61</v>
      </c>
      <c r="E112" s="40">
        <f t="shared" si="4"/>
        <v>76903.548330000005</v>
      </c>
      <c r="F112" s="41">
        <f t="shared" si="5"/>
        <v>2.6181737746466798E-3</v>
      </c>
      <c r="G112" s="42">
        <v>1.8697049371895997E-2</v>
      </c>
      <c r="H112" s="42">
        <f t="shared" si="6"/>
        <v>4.8952124328772275E-5</v>
      </c>
      <c r="I112" s="42">
        <v>0.1</v>
      </c>
      <c r="J112" s="43">
        <f t="shared" si="7"/>
        <v>2.6181737746466799E-4</v>
      </c>
    </row>
    <row r="113" spans="1:10" ht="15" customHeight="1" x14ac:dyDescent="0.25">
      <c r="A113" s="38" t="s">
        <v>325</v>
      </c>
      <c r="B113" s="26" t="s">
        <v>326</v>
      </c>
      <c r="C113" s="39">
        <v>160.43899999999999</v>
      </c>
      <c r="D113" s="39">
        <v>135.96</v>
      </c>
      <c r="E113" s="40">
        <f t="shared" si="4"/>
        <v>21813.28644</v>
      </c>
      <c r="F113" s="41">
        <f t="shared" si="5"/>
        <v>7.4263120150185697E-4</v>
      </c>
      <c r="G113" s="42">
        <v>2.0300088261253308E-2</v>
      </c>
      <c r="H113" s="42">
        <f t="shared" si="6"/>
        <v>1.5075478936048287E-5</v>
      </c>
      <c r="I113" s="42">
        <v>0.15</v>
      </c>
      <c r="J113" s="43">
        <f t="shared" si="7"/>
        <v>1.1139468022527854E-4</v>
      </c>
    </row>
    <row r="114" spans="1:10" ht="15" customHeight="1" x14ac:dyDescent="0.25">
      <c r="A114" s="38" t="s">
        <v>327</v>
      </c>
      <c r="B114" s="26" t="s">
        <v>328</v>
      </c>
      <c r="C114" s="39">
        <v>840.59299999999996</v>
      </c>
      <c r="D114" s="39">
        <v>75.83</v>
      </c>
      <c r="E114" s="40">
        <f t="shared" si="4"/>
        <v>63742.167189999993</v>
      </c>
      <c r="F114" s="41">
        <f t="shared" si="5"/>
        <v>2.1700958421303315E-3</v>
      </c>
      <c r="G114" s="42">
        <v>2.4792298562574179E-2</v>
      </c>
      <c r="H114" s="42">
        <f t="shared" si="6"/>
        <v>5.3801664027496023E-5</v>
      </c>
      <c r="I114" s="42">
        <v>0.05</v>
      </c>
      <c r="J114" s="43">
        <f t="shared" si="7"/>
        <v>1.0850479210651659E-4</v>
      </c>
    </row>
    <row r="115" spans="1:10" ht="15" customHeight="1" x14ac:dyDescent="0.25">
      <c r="A115" s="38" t="s">
        <v>329</v>
      </c>
      <c r="B115" s="26" t="s">
        <v>330</v>
      </c>
      <c r="C115" s="39">
        <v>123.05800000000001</v>
      </c>
      <c r="D115" s="39">
        <v>139.03</v>
      </c>
      <c r="E115" s="40">
        <f t="shared" si="4"/>
        <v>17108.75374</v>
      </c>
      <c r="F115" s="41">
        <f t="shared" si="5"/>
        <v>5.8246584626684013E-4</v>
      </c>
      <c r="G115" s="42">
        <v>3.3374091922606632E-2</v>
      </c>
      <c r="H115" s="42">
        <f t="shared" si="6"/>
        <v>1.9439268695088384E-5</v>
      </c>
      <c r="I115" s="42">
        <v>0.05</v>
      </c>
      <c r="J115" s="43">
        <f t="shared" si="7"/>
        <v>2.9123292313342008E-5</v>
      </c>
    </row>
    <row r="116" spans="1:10" ht="15" customHeight="1" x14ac:dyDescent="0.25">
      <c r="A116" s="38" t="s">
        <v>331</v>
      </c>
      <c r="B116" s="26" t="s">
        <v>332</v>
      </c>
      <c r="C116" s="39">
        <v>131.089</v>
      </c>
      <c r="D116" s="39">
        <v>90.43</v>
      </c>
      <c r="E116" s="40">
        <f t="shared" si="4"/>
        <v>11854.378270000001</v>
      </c>
      <c r="F116" s="41">
        <f t="shared" si="5"/>
        <v>4.0358114775242485E-4</v>
      </c>
      <c r="G116" s="42">
        <v>3.007851376755501E-2</v>
      </c>
      <c r="H116" s="42">
        <f t="shared" si="6"/>
        <v>1.2139121108996963E-5</v>
      </c>
      <c r="I116" s="42">
        <v>0.06</v>
      </c>
      <c r="J116" s="43">
        <f t="shared" si="7"/>
        <v>2.421486886514549E-5</v>
      </c>
    </row>
    <row r="117" spans="1:10" ht="15" customHeight="1" x14ac:dyDescent="0.25">
      <c r="A117" s="38" t="s">
        <v>333</v>
      </c>
      <c r="B117" s="26" t="s">
        <v>334</v>
      </c>
      <c r="C117" s="39">
        <v>4523.7860000000001</v>
      </c>
      <c r="D117" s="39">
        <v>46.82</v>
      </c>
      <c r="E117" s="40">
        <f t="shared" si="4"/>
        <v>211803.66052</v>
      </c>
      <c r="F117" s="41">
        <f t="shared" si="5"/>
        <v>7.2108348885028912E-3</v>
      </c>
      <c r="G117" s="42">
        <v>2.3067065356685179E-2</v>
      </c>
      <c r="H117" s="42">
        <f t="shared" si="6"/>
        <v>1.6633279964936188E-4</v>
      </c>
      <c r="I117" s="42">
        <v>0.105</v>
      </c>
      <c r="J117" s="43">
        <f t="shared" si="7"/>
        <v>7.5713766329280356E-4</v>
      </c>
    </row>
    <row r="118" spans="1:10" ht="15" customHeight="1" x14ac:dyDescent="0.25">
      <c r="A118" s="38" t="s">
        <v>335</v>
      </c>
      <c r="B118" s="26" t="s">
        <v>336</v>
      </c>
      <c r="C118" s="39">
        <v>359.41899999999998</v>
      </c>
      <c r="D118" s="39">
        <v>237.86</v>
      </c>
      <c r="E118" s="40">
        <f t="shared" si="4"/>
        <v>85491.403340000004</v>
      </c>
      <c r="F118" s="41">
        <f t="shared" si="5"/>
        <v>2.9105464577791548E-3</v>
      </c>
      <c r="G118" s="42">
        <v>1.6816614815437652E-2</v>
      </c>
      <c r="H118" s="42">
        <f t="shared" si="6"/>
        <v>4.8945538682908514E-5</v>
      </c>
      <c r="I118" s="42">
        <v>8.5000000000000006E-2</v>
      </c>
      <c r="J118" s="43">
        <f t="shared" si="7"/>
        <v>2.4739644891122816E-4</v>
      </c>
    </row>
    <row r="119" spans="1:10" ht="15" customHeight="1" x14ac:dyDescent="0.25">
      <c r="A119" s="38" t="s">
        <v>337</v>
      </c>
      <c r="B119" s="26" t="s">
        <v>338</v>
      </c>
      <c r="C119" s="39">
        <v>28.032</v>
      </c>
      <c r="D119" s="39">
        <v>1582.03</v>
      </c>
      <c r="E119" s="40">
        <f t="shared" si="4"/>
        <v>44347.464959999998</v>
      </c>
      <c r="F119" s="41">
        <f t="shared" si="5"/>
        <v>1.50980510329769E-3</v>
      </c>
      <c r="G119" s="42" t="s">
        <v>135</v>
      </c>
      <c r="H119" s="42" t="str">
        <f t="shared" si="6"/>
        <v/>
      </c>
      <c r="I119" s="42">
        <v>0.2</v>
      </c>
      <c r="J119" s="43">
        <f t="shared" si="7"/>
        <v>3.01961020659538E-4</v>
      </c>
    </row>
    <row r="120" spans="1:10" ht="15" customHeight="1" x14ac:dyDescent="0.25">
      <c r="A120" s="38" t="s">
        <v>339</v>
      </c>
      <c r="B120" s="26" t="s">
        <v>340</v>
      </c>
      <c r="C120" s="39">
        <v>142.07499999999999</v>
      </c>
      <c r="D120" s="39">
        <v>205.11</v>
      </c>
      <c r="E120" s="40">
        <f t="shared" si="4"/>
        <v>29141.003249999998</v>
      </c>
      <c r="F120" s="41">
        <f t="shared" si="5"/>
        <v>9.9210260297287966E-4</v>
      </c>
      <c r="G120" s="42">
        <v>2.8277509628979569E-2</v>
      </c>
      <c r="H120" s="42">
        <f t="shared" si="6"/>
        <v>2.8054190908501301E-5</v>
      </c>
      <c r="I120" s="42">
        <v>0.08</v>
      </c>
      <c r="J120" s="43">
        <f t="shared" si="7"/>
        <v>7.936820823783037E-5</v>
      </c>
    </row>
    <row r="121" spans="1:10" ht="15" customHeight="1" x14ac:dyDescent="0.25">
      <c r="A121" s="38" t="s">
        <v>341</v>
      </c>
      <c r="B121" s="26" t="s">
        <v>342</v>
      </c>
      <c r="C121" s="39">
        <v>290.137</v>
      </c>
      <c r="D121" s="39">
        <v>69.94</v>
      </c>
      <c r="E121" s="40">
        <f t="shared" si="4"/>
        <v>20292.181779999999</v>
      </c>
      <c r="F121" s="41">
        <f t="shared" si="5"/>
        <v>6.9084534225625333E-4</v>
      </c>
      <c r="G121" s="42">
        <v>2.630826422647984E-2</v>
      </c>
      <c r="H121" s="42">
        <f t="shared" si="6"/>
        <v>1.817494180371041E-5</v>
      </c>
      <c r="I121" s="42">
        <v>6.5000000000000002E-2</v>
      </c>
      <c r="J121" s="43">
        <f t="shared" si="7"/>
        <v>4.4904947246656468E-5</v>
      </c>
    </row>
    <row r="122" spans="1:10" ht="15" customHeight="1" x14ac:dyDescent="0.25">
      <c r="A122" s="38" t="s">
        <v>343</v>
      </c>
      <c r="B122" s="26" t="s">
        <v>344</v>
      </c>
      <c r="C122" s="39">
        <v>582.875</v>
      </c>
      <c r="D122" s="39">
        <v>84.19</v>
      </c>
      <c r="E122" s="40">
        <f t="shared" si="4"/>
        <v>49072.246249999997</v>
      </c>
      <c r="F122" s="41">
        <f t="shared" si="5"/>
        <v>1.6706598197970802E-3</v>
      </c>
      <c r="G122" s="42" t="s">
        <v>135</v>
      </c>
      <c r="H122" s="42" t="str">
        <f t="shared" si="6"/>
        <v/>
      </c>
      <c r="I122" s="42">
        <v>0.1</v>
      </c>
      <c r="J122" s="43">
        <f t="shared" si="7"/>
        <v>1.6706598197970804E-4</v>
      </c>
    </row>
    <row r="123" spans="1:10" ht="15" customHeight="1" x14ac:dyDescent="0.25">
      <c r="A123" s="38" t="s">
        <v>345</v>
      </c>
      <c r="B123" s="26" t="s">
        <v>346</v>
      </c>
      <c r="C123" s="39">
        <v>629.43200000000002</v>
      </c>
      <c r="D123" s="39">
        <v>30.64</v>
      </c>
      <c r="E123" s="40">
        <f t="shared" si="4"/>
        <v>19285.796480000001</v>
      </c>
      <c r="F123" s="41">
        <f t="shared" si="5"/>
        <v>6.5658305323490192E-4</v>
      </c>
      <c r="G123" s="42">
        <v>2.2193211488250653E-2</v>
      </c>
      <c r="H123" s="42">
        <f t="shared" si="6"/>
        <v>1.4571686560043516E-5</v>
      </c>
      <c r="I123" s="42">
        <v>0.05</v>
      </c>
      <c r="J123" s="43">
        <f t="shared" si="7"/>
        <v>3.2829152661745096E-5</v>
      </c>
    </row>
    <row r="124" spans="1:10" ht="15" customHeight="1" x14ac:dyDescent="0.25">
      <c r="A124" s="38" t="s">
        <v>347</v>
      </c>
      <c r="B124" s="26" t="s">
        <v>348</v>
      </c>
      <c r="C124" s="39">
        <v>405.67</v>
      </c>
      <c r="D124" s="39">
        <v>131.29</v>
      </c>
      <c r="E124" s="40">
        <f t="shared" si="4"/>
        <v>53260.414299999997</v>
      </c>
      <c r="F124" s="41" t="str">
        <f t="shared" si="5"/>
        <v/>
      </c>
      <c r="G124" s="42">
        <v>1.8280143194455024E-2</v>
      </c>
      <c r="H124" s="42" t="str">
        <f t="shared" si="6"/>
        <v/>
      </c>
      <c r="I124" s="42" t="s">
        <v>135</v>
      </c>
      <c r="J124" s="43" t="str">
        <f t="shared" si="7"/>
        <v/>
      </c>
    </row>
    <row r="125" spans="1:10" ht="15" customHeight="1" x14ac:dyDescent="0.25">
      <c r="A125" s="38" t="s">
        <v>349</v>
      </c>
      <c r="B125" s="26" t="s">
        <v>350</v>
      </c>
      <c r="C125" s="39">
        <v>49.302</v>
      </c>
      <c r="D125" s="39">
        <v>417.59</v>
      </c>
      <c r="E125" s="40">
        <f t="shared" si="4"/>
        <v>20588.02218</v>
      </c>
      <c r="F125" s="41">
        <f t="shared" si="5"/>
        <v>7.0091719971382177E-4</v>
      </c>
      <c r="G125" s="42">
        <v>1.4368160157091883E-4</v>
      </c>
      <c r="H125" s="42">
        <f t="shared" si="6"/>
        <v>1.0070890582348549E-7</v>
      </c>
      <c r="I125" s="42">
        <v>0.19</v>
      </c>
      <c r="J125" s="43">
        <f t="shared" si="7"/>
        <v>1.3317426794562615E-4</v>
      </c>
    </row>
    <row r="126" spans="1:10" ht="15" customHeight="1" x14ac:dyDescent="0.25">
      <c r="A126" s="38" t="s">
        <v>351</v>
      </c>
      <c r="B126" s="26" t="s">
        <v>352</v>
      </c>
      <c r="C126" s="39">
        <v>1296.0509999999999</v>
      </c>
      <c r="D126" s="39">
        <v>100</v>
      </c>
      <c r="E126" s="40">
        <f t="shared" si="4"/>
        <v>129605.09999999999</v>
      </c>
      <c r="F126" s="41">
        <f t="shared" si="5"/>
        <v>4.412392942187409E-3</v>
      </c>
      <c r="G126" s="42">
        <v>1.84E-2</v>
      </c>
      <c r="H126" s="42">
        <f t="shared" si="6"/>
        <v>8.1188030136248324E-5</v>
      </c>
      <c r="I126" s="42">
        <v>0.16500000000000001</v>
      </c>
      <c r="J126" s="43">
        <f t="shared" si="7"/>
        <v>7.2804483546092251E-4</v>
      </c>
    </row>
    <row r="127" spans="1:10" ht="15" customHeight="1" x14ac:dyDescent="0.25">
      <c r="A127" s="38" t="s">
        <v>353</v>
      </c>
      <c r="B127" s="26" t="s">
        <v>354</v>
      </c>
      <c r="C127" s="39">
        <v>443.22399999999999</v>
      </c>
      <c r="D127" s="39">
        <v>575.85</v>
      </c>
      <c r="E127" s="40">
        <f t="shared" si="4"/>
        <v>255230.5404</v>
      </c>
      <c r="F127" s="41">
        <f t="shared" si="5"/>
        <v>8.6892987628699684E-3</v>
      </c>
      <c r="G127" s="42">
        <v>5.487540158027264E-3</v>
      </c>
      <c r="H127" s="42">
        <f t="shared" si="6"/>
        <v>4.7682875906345578E-5</v>
      </c>
      <c r="I127" s="42">
        <v>0.105</v>
      </c>
      <c r="J127" s="43">
        <f t="shared" si="7"/>
        <v>9.123763701013466E-4</v>
      </c>
    </row>
    <row r="128" spans="1:10" ht="15" customHeight="1" x14ac:dyDescent="0.25">
      <c r="A128" s="38" t="s">
        <v>355</v>
      </c>
      <c r="B128" s="26" t="s">
        <v>356</v>
      </c>
      <c r="C128" s="39">
        <v>301.70400000000001</v>
      </c>
      <c r="D128" s="39">
        <v>44.57</v>
      </c>
      <c r="E128" s="40">
        <f t="shared" si="4"/>
        <v>13446.94728</v>
      </c>
      <c r="F128" s="41">
        <f t="shared" si="5"/>
        <v>4.5780000379798467E-4</v>
      </c>
      <c r="G128" s="42">
        <v>3.3206192506170067E-2</v>
      </c>
      <c r="H128" s="42">
        <f t="shared" si="6"/>
        <v>1.5201795055441266E-5</v>
      </c>
      <c r="I128" s="42">
        <v>5.5E-2</v>
      </c>
      <c r="J128" s="43">
        <f t="shared" si="7"/>
        <v>2.5179000208889157E-5</v>
      </c>
    </row>
    <row r="129" spans="1:10" ht="15" customHeight="1" x14ac:dyDescent="0.25">
      <c r="A129" s="38" t="s">
        <v>357</v>
      </c>
      <c r="B129" s="26" t="s">
        <v>358</v>
      </c>
      <c r="C129" s="39">
        <v>237.49700000000001</v>
      </c>
      <c r="D129" s="39">
        <v>125.47</v>
      </c>
      <c r="E129" s="40">
        <f t="shared" si="4"/>
        <v>29798.748590000003</v>
      </c>
      <c r="F129" s="41">
        <f t="shared" si="5"/>
        <v>1.0144954786851215E-3</v>
      </c>
      <c r="G129" s="42" t="s">
        <v>135</v>
      </c>
      <c r="H129" s="42" t="str">
        <f t="shared" si="6"/>
        <v/>
      </c>
      <c r="I129" s="42">
        <v>0.12</v>
      </c>
      <c r="J129" s="43">
        <f t="shared" si="7"/>
        <v>1.2173945744221458E-4</v>
      </c>
    </row>
    <row r="130" spans="1:10" ht="15" customHeight="1" x14ac:dyDescent="0.25">
      <c r="A130" s="38" t="s">
        <v>359</v>
      </c>
      <c r="B130" s="26" t="s">
        <v>360</v>
      </c>
      <c r="C130" s="39">
        <v>50.798999999999999</v>
      </c>
      <c r="D130" s="39">
        <v>283.97000000000003</v>
      </c>
      <c r="E130" s="40">
        <f t="shared" si="4"/>
        <v>14425.392030000001</v>
      </c>
      <c r="F130" s="41">
        <f t="shared" si="5"/>
        <v>4.9111105952974465E-4</v>
      </c>
      <c r="G130" s="42" t="s">
        <v>135</v>
      </c>
      <c r="H130" s="42" t="str">
        <f t="shared" si="6"/>
        <v/>
      </c>
      <c r="I130" s="42">
        <v>6.5000000000000002E-2</v>
      </c>
      <c r="J130" s="43">
        <f t="shared" si="7"/>
        <v>3.1922218869433404E-5</v>
      </c>
    </row>
    <row r="131" spans="1:10" ht="15" customHeight="1" x14ac:dyDescent="0.25">
      <c r="A131" s="38" t="s">
        <v>361</v>
      </c>
      <c r="B131" s="26" t="s">
        <v>362</v>
      </c>
      <c r="C131" s="39">
        <v>990</v>
      </c>
      <c r="D131" s="39">
        <v>212.32</v>
      </c>
      <c r="E131" s="40">
        <f t="shared" si="4"/>
        <v>210196.8</v>
      </c>
      <c r="F131" s="41">
        <f t="shared" si="5"/>
        <v>7.156129479398407E-3</v>
      </c>
      <c r="G131" s="42" t="s">
        <v>135</v>
      </c>
      <c r="H131" s="42" t="str">
        <f t="shared" si="6"/>
        <v/>
      </c>
      <c r="I131" s="42">
        <v>0.2</v>
      </c>
      <c r="J131" s="43">
        <f t="shared" si="7"/>
        <v>1.4312258958796816E-3</v>
      </c>
    </row>
    <row r="132" spans="1:10" ht="15" customHeight="1" x14ac:dyDescent="0.25">
      <c r="A132" s="38" t="s">
        <v>363</v>
      </c>
      <c r="B132" s="26" t="s">
        <v>364</v>
      </c>
      <c r="C132" s="39">
        <v>4154.1679999999997</v>
      </c>
      <c r="D132" s="39">
        <v>55.76</v>
      </c>
      <c r="E132" s="40">
        <f t="shared" si="4"/>
        <v>231636.40767999997</v>
      </c>
      <c r="F132" s="41">
        <f t="shared" si="5"/>
        <v>7.8860388240962545E-3</v>
      </c>
      <c r="G132" s="42">
        <v>2.7259684361549498E-2</v>
      </c>
      <c r="H132" s="42">
        <f t="shared" si="6"/>
        <v>2.1497092920778885E-4</v>
      </c>
      <c r="I132" s="42">
        <v>0.08</v>
      </c>
      <c r="J132" s="43">
        <f t="shared" si="7"/>
        <v>6.3088310592770036E-4</v>
      </c>
    </row>
    <row r="133" spans="1:10" ht="15" customHeight="1" x14ac:dyDescent="0.25">
      <c r="A133" s="38" t="s">
        <v>365</v>
      </c>
      <c r="B133" s="26" t="s">
        <v>366</v>
      </c>
      <c r="C133" s="39">
        <v>2178.58</v>
      </c>
      <c r="D133" s="39">
        <v>37.450000000000003</v>
      </c>
      <c r="E133" s="40">
        <f t="shared" si="4"/>
        <v>81587.820999999996</v>
      </c>
      <c r="F133" s="41">
        <f t="shared" si="5"/>
        <v>2.7776493791436428E-3</v>
      </c>
      <c r="G133" s="42">
        <v>1.0680907877169559E-2</v>
      </c>
      <c r="H133" s="42">
        <f t="shared" si="6"/>
        <v>2.966781713371047E-5</v>
      </c>
      <c r="I133" s="42">
        <v>0.1</v>
      </c>
      <c r="J133" s="43">
        <f t="shared" si="7"/>
        <v>2.7776493791436429E-4</v>
      </c>
    </row>
    <row r="134" spans="1:10" ht="15" customHeight="1" x14ac:dyDescent="0.25">
      <c r="A134" s="38" t="s">
        <v>367</v>
      </c>
      <c r="B134" s="26" t="s">
        <v>368</v>
      </c>
      <c r="C134" s="39">
        <v>102.416</v>
      </c>
      <c r="D134" s="39">
        <v>425.39</v>
      </c>
      <c r="E134" s="40">
        <f t="shared" si="4"/>
        <v>43566.74224</v>
      </c>
      <c r="F134" s="41">
        <f t="shared" si="5"/>
        <v>1.4832254747218596E-3</v>
      </c>
      <c r="G134" s="42">
        <v>8.9329791485460407E-3</v>
      </c>
      <c r="H134" s="42">
        <f t="shared" si="6"/>
        <v>1.3249622238282675E-5</v>
      </c>
      <c r="I134" s="42">
        <v>0.13500000000000001</v>
      </c>
      <c r="J134" s="43">
        <f t="shared" si="7"/>
        <v>2.0023543908745105E-4</v>
      </c>
    </row>
    <row r="135" spans="1:10" ht="15" customHeight="1" x14ac:dyDescent="0.25">
      <c r="A135" s="38" t="s">
        <v>369</v>
      </c>
      <c r="B135" s="26" t="s">
        <v>370</v>
      </c>
      <c r="C135" s="39">
        <v>179.12799999999999</v>
      </c>
      <c r="D135" s="39">
        <v>110.9</v>
      </c>
      <c r="E135" s="40">
        <f t="shared" si="4"/>
        <v>19865.2952</v>
      </c>
      <c r="F135" s="41" t="str">
        <f t="shared" si="5"/>
        <v/>
      </c>
      <c r="G135" s="42" t="s">
        <v>135</v>
      </c>
      <c r="H135" s="42" t="str">
        <f t="shared" si="6"/>
        <v/>
      </c>
      <c r="I135" s="42">
        <v>0.21</v>
      </c>
      <c r="J135" s="43" t="str">
        <f t="shared" si="7"/>
        <v/>
      </c>
    </row>
    <row r="136" spans="1:10" ht="15" customHeight="1" x14ac:dyDescent="0.25">
      <c r="A136" s="38" t="s">
        <v>371</v>
      </c>
      <c r="B136" s="26" t="s">
        <v>372</v>
      </c>
      <c r="C136" s="39">
        <v>810.97900000000004</v>
      </c>
      <c r="D136" s="39">
        <v>26.97</v>
      </c>
      <c r="E136" s="40">
        <f t="shared" si="4"/>
        <v>21872.103630000001</v>
      </c>
      <c r="F136" s="41" t="str">
        <f t="shared" si="5"/>
        <v/>
      </c>
      <c r="G136" s="42">
        <v>8.3055246570263266E-2</v>
      </c>
      <c r="H136" s="42" t="str">
        <f t="shared" si="6"/>
        <v/>
      </c>
      <c r="I136" s="42" t="s">
        <v>135</v>
      </c>
      <c r="J136" s="43" t="str">
        <f t="shared" si="7"/>
        <v/>
      </c>
    </row>
    <row r="137" spans="1:10" ht="15" customHeight="1" x14ac:dyDescent="0.25">
      <c r="A137" s="38" t="s">
        <v>373</v>
      </c>
      <c r="B137" s="26" t="s">
        <v>374</v>
      </c>
      <c r="C137" s="39">
        <v>524.53499999999997</v>
      </c>
      <c r="D137" s="39">
        <v>89.67</v>
      </c>
      <c r="E137" s="40">
        <f t="shared" si="4"/>
        <v>47035.053449999999</v>
      </c>
      <c r="F137" s="41">
        <f t="shared" si="5"/>
        <v>1.6013037903461174E-3</v>
      </c>
      <c r="G137" s="42">
        <v>1.204416192706591E-2</v>
      </c>
      <c r="H137" s="42">
        <f t="shared" si="6"/>
        <v>1.9286362145353037E-5</v>
      </c>
      <c r="I137" s="42">
        <v>7.0000000000000007E-2</v>
      </c>
      <c r="J137" s="43">
        <f t="shared" si="7"/>
        <v>1.1209126532422823E-4</v>
      </c>
    </row>
    <row r="138" spans="1:10" ht="15" customHeight="1" x14ac:dyDescent="0.25">
      <c r="A138" s="38" t="s">
        <v>375</v>
      </c>
      <c r="B138" s="26" t="s">
        <v>376</v>
      </c>
      <c r="C138" s="39">
        <v>726.774</v>
      </c>
      <c r="D138" s="39">
        <v>57.48</v>
      </c>
      <c r="E138" s="40">
        <f t="shared" si="4"/>
        <v>41774.969519999999</v>
      </c>
      <c r="F138" s="41" t="str">
        <f t="shared" si="5"/>
        <v/>
      </c>
      <c r="G138" s="42">
        <v>9.7425191370911629E-3</v>
      </c>
      <c r="H138" s="42" t="str">
        <f t="shared" si="6"/>
        <v/>
      </c>
      <c r="I138" s="42" t="s">
        <v>135</v>
      </c>
      <c r="J138" s="43" t="str">
        <f t="shared" si="7"/>
        <v/>
      </c>
    </row>
    <row r="139" spans="1:10" ht="15" customHeight="1" x14ac:dyDescent="0.25">
      <c r="A139" s="38" t="s">
        <v>377</v>
      </c>
      <c r="B139" s="26" t="s">
        <v>378</v>
      </c>
      <c r="C139" s="39">
        <v>125.913</v>
      </c>
      <c r="D139" s="39">
        <v>100.9</v>
      </c>
      <c r="E139" s="40">
        <f t="shared" si="4"/>
        <v>12704.6217</v>
      </c>
      <c r="F139" s="41">
        <f t="shared" si="5"/>
        <v>4.3252760209467846E-4</v>
      </c>
      <c r="G139" s="42" t="s">
        <v>135</v>
      </c>
      <c r="H139" s="42" t="str">
        <f t="shared" si="6"/>
        <v/>
      </c>
      <c r="I139" s="42">
        <v>0.08</v>
      </c>
      <c r="J139" s="43">
        <f t="shared" si="7"/>
        <v>3.4602208167574275E-5</v>
      </c>
    </row>
    <row r="140" spans="1:10" ht="15" customHeight="1" x14ac:dyDescent="0.25">
      <c r="A140" s="38" t="s">
        <v>379</v>
      </c>
      <c r="B140" s="26" t="s">
        <v>380</v>
      </c>
      <c r="C140" s="39">
        <v>1312.51</v>
      </c>
      <c r="D140" s="39">
        <v>101.21</v>
      </c>
      <c r="E140" s="40">
        <f t="shared" si="4"/>
        <v>132839.13709999999</v>
      </c>
      <c r="F140" s="41">
        <f t="shared" si="5"/>
        <v>4.5224954186702969E-3</v>
      </c>
      <c r="G140" s="42">
        <v>2.1736982511609527E-2</v>
      </c>
      <c r="H140" s="42">
        <f t="shared" si="6"/>
        <v>9.8305403824470447E-5</v>
      </c>
      <c r="I140" s="42">
        <v>0.06</v>
      </c>
      <c r="J140" s="43">
        <f t="shared" si="7"/>
        <v>2.7134972512021782E-4</v>
      </c>
    </row>
    <row r="141" spans="1:10" ht="15" customHeight="1" x14ac:dyDescent="0.25">
      <c r="A141" s="38" t="s">
        <v>381</v>
      </c>
      <c r="B141" s="26" t="s">
        <v>382</v>
      </c>
      <c r="C141" s="39">
        <v>1947.5530000000001</v>
      </c>
      <c r="D141" s="39">
        <v>162.83000000000001</v>
      </c>
      <c r="E141" s="40">
        <f t="shared" si="4"/>
        <v>317120.05499000003</v>
      </c>
      <c r="F141" s="41" t="str">
        <f t="shared" si="5"/>
        <v/>
      </c>
      <c r="G141" s="42">
        <v>3.4883006816925625E-2</v>
      </c>
      <c r="H141" s="42" t="str">
        <f t="shared" si="6"/>
        <v/>
      </c>
      <c r="I141" s="42">
        <v>0.25</v>
      </c>
      <c r="J141" s="43" t="str">
        <f t="shared" si="7"/>
        <v/>
      </c>
    </row>
    <row r="142" spans="1:10" ht="15" customHeight="1" x14ac:dyDescent="0.25">
      <c r="A142" s="38" t="s">
        <v>383</v>
      </c>
      <c r="B142" s="26" t="s">
        <v>384</v>
      </c>
      <c r="C142" s="39">
        <v>214.12299999999999</v>
      </c>
      <c r="D142" s="39">
        <v>77.36</v>
      </c>
      <c r="E142" s="40">
        <f t="shared" si="4"/>
        <v>16564.55528</v>
      </c>
      <c r="F142" s="41" t="str">
        <f t="shared" si="5"/>
        <v/>
      </c>
      <c r="G142" s="42" t="s">
        <v>135</v>
      </c>
      <c r="H142" s="42" t="str">
        <f t="shared" si="6"/>
        <v/>
      </c>
      <c r="I142" s="42" t="s">
        <v>135</v>
      </c>
      <c r="J142" s="43" t="str">
        <f t="shared" si="7"/>
        <v/>
      </c>
    </row>
    <row r="143" spans="1:10" ht="15" customHeight="1" x14ac:dyDescent="0.25">
      <c r="A143" s="38" t="s">
        <v>385</v>
      </c>
      <c r="B143" s="26" t="s">
        <v>386</v>
      </c>
      <c r="C143" s="39">
        <v>810.67399999999998</v>
      </c>
      <c r="D143" s="39">
        <v>84.97</v>
      </c>
      <c r="E143" s="40">
        <f t="shared" si="4"/>
        <v>68882.969779999999</v>
      </c>
      <c r="F143" s="41">
        <f t="shared" si="5"/>
        <v>2.3451139630630323E-3</v>
      </c>
      <c r="G143" s="42">
        <v>3.1422855125338357E-2</v>
      </c>
      <c r="H143" s="42">
        <f t="shared" si="6"/>
        <v>7.3690176313737747E-5</v>
      </c>
      <c r="I143" s="42">
        <v>0.115</v>
      </c>
      <c r="J143" s="43">
        <f t="shared" si="7"/>
        <v>2.6968810575224872E-4</v>
      </c>
    </row>
    <row r="144" spans="1:10" ht="15" customHeight="1" x14ac:dyDescent="0.25">
      <c r="A144" s="38" t="s">
        <v>387</v>
      </c>
      <c r="B144" s="26" t="s">
        <v>388</v>
      </c>
      <c r="C144" s="39">
        <v>639.92999999999995</v>
      </c>
      <c r="D144" s="39">
        <v>39.57</v>
      </c>
      <c r="E144" s="40">
        <f t="shared" si="4"/>
        <v>25322.0301</v>
      </c>
      <c r="F144" s="41" t="str">
        <f t="shared" si="5"/>
        <v/>
      </c>
      <c r="G144" s="42" t="s">
        <v>135</v>
      </c>
      <c r="H144" s="42" t="str">
        <f t="shared" si="6"/>
        <v/>
      </c>
      <c r="I144" s="42">
        <v>0.49</v>
      </c>
      <c r="J144" s="43" t="str">
        <f t="shared" si="7"/>
        <v/>
      </c>
    </row>
    <row r="145" spans="1:10" ht="15" customHeight="1" x14ac:dyDescent="0.25">
      <c r="A145" s="38" t="s">
        <v>389</v>
      </c>
      <c r="B145" s="26" t="s">
        <v>390</v>
      </c>
      <c r="C145" s="39">
        <v>512.90700000000004</v>
      </c>
      <c r="D145" s="39">
        <v>73.58</v>
      </c>
      <c r="E145" s="40">
        <f t="shared" ref="E145:E208" si="8">IFERROR(C145*D145, "")</f>
        <v>37739.697059999999</v>
      </c>
      <c r="F145" s="41" t="str">
        <f t="shared" ref="F145:F208" si="9">IF(AND(ISNUMBER($I145)), IF(AND($I145&lt;=20%,$I145&gt;0%), $E145/SUMIFS($E$16:$E$520,$I$16:$I$520, "&gt;"&amp;0%,$I$16:$I$520, "&lt;="&amp;20%),""),"")</f>
        <v/>
      </c>
      <c r="G145" s="42">
        <v>1.7939657515629249E-2</v>
      </c>
      <c r="H145" s="42" t="str">
        <f t="shared" ref="H145:H208" si="10">IFERROR(F145*G145,"")</f>
        <v/>
      </c>
      <c r="I145" s="42" t="s">
        <v>135</v>
      </c>
      <c r="J145" s="43" t="str">
        <f t="shared" ref="J145:J208" si="11">IFERROR(F145*I145,"")</f>
        <v/>
      </c>
    </row>
    <row r="146" spans="1:10" ht="15" customHeight="1" x14ac:dyDescent="0.25">
      <c r="A146" s="38" t="s">
        <v>391</v>
      </c>
      <c r="B146" s="26" t="s">
        <v>392</v>
      </c>
      <c r="C146" s="39">
        <v>306.78399999999999</v>
      </c>
      <c r="D146" s="39">
        <v>415.46</v>
      </c>
      <c r="E146" s="40">
        <f t="shared" si="8"/>
        <v>127456.48063999999</v>
      </c>
      <c r="F146" s="41" t="str">
        <f t="shared" si="9"/>
        <v/>
      </c>
      <c r="G146" s="42">
        <v>1.0109276464641603E-2</v>
      </c>
      <c r="H146" s="42" t="str">
        <f t="shared" si="10"/>
        <v/>
      </c>
      <c r="I146" s="42">
        <v>0.215</v>
      </c>
      <c r="J146" s="43" t="str">
        <f t="shared" si="11"/>
        <v/>
      </c>
    </row>
    <row r="147" spans="1:10" ht="15" customHeight="1" x14ac:dyDescent="0.25">
      <c r="A147" s="38" t="s">
        <v>393</v>
      </c>
      <c r="B147" s="26" t="s">
        <v>394</v>
      </c>
      <c r="C147" s="39">
        <v>282.02800000000002</v>
      </c>
      <c r="D147" s="39">
        <v>110.19</v>
      </c>
      <c r="E147" s="40">
        <f t="shared" si="8"/>
        <v>31076.66532</v>
      </c>
      <c r="F147" s="41">
        <f t="shared" si="9"/>
        <v>1.0580020286600469E-3</v>
      </c>
      <c r="G147" s="42">
        <v>1.8150467374534896E-2</v>
      </c>
      <c r="H147" s="42">
        <f t="shared" si="10"/>
        <v>1.9203231303385915E-5</v>
      </c>
      <c r="I147" s="42">
        <v>0.16</v>
      </c>
      <c r="J147" s="43">
        <f t="shared" si="11"/>
        <v>1.692803245856075E-4</v>
      </c>
    </row>
    <row r="148" spans="1:10" ht="15" customHeight="1" x14ac:dyDescent="0.25">
      <c r="A148" s="38" t="s">
        <v>395</v>
      </c>
      <c r="B148" s="26" t="s">
        <v>396</v>
      </c>
      <c r="C148" s="39">
        <v>228.86799999999999</v>
      </c>
      <c r="D148" s="39">
        <v>222.63</v>
      </c>
      <c r="E148" s="40">
        <f t="shared" si="8"/>
        <v>50952.882839999998</v>
      </c>
      <c r="F148" s="41">
        <f t="shared" si="9"/>
        <v>1.7346859084042062E-3</v>
      </c>
      <c r="G148" s="42">
        <v>9.8818667744688515E-3</v>
      </c>
      <c r="H148" s="42">
        <f t="shared" si="10"/>
        <v>1.7141935042398842E-5</v>
      </c>
      <c r="I148" s="42">
        <v>0.105</v>
      </c>
      <c r="J148" s="43">
        <f t="shared" si="11"/>
        <v>1.8214202038244163E-4</v>
      </c>
    </row>
    <row r="149" spans="1:10" ht="15" customHeight="1" x14ac:dyDescent="0.25">
      <c r="A149" s="38" t="s">
        <v>397</v>
      </c>
      <c r="B149" s="26" t="s">
        <v>398</v>
      </c>
      <c r="C149" s="39">
        <v>119.455</v>
      </c>
      <c r="D149" s="39">
        <v>136.86000000000001</v>
      </c>
      <c r="E149" s="40">
        <f t="shared" si="8"/>
        <v>16348.611300000002</v>
      </c>
      <c r="F149" s="41">
        <f t="shared" si="9"/>
        <v>5.5658687130896343E-4</v>
      </c>
      <c r="G149" s="42">
        <v>1.9289785181937746E-2</v>
      </c>
      <c r="H149" s="42">
        <f t="shared" si="10"/>
        <v>1.0736441182636734E-5</v>
      </c>
      <c r="I149" s="42">
        <v>7.4999999999999997E-2</v>
      </c>
      <c r="J149" s="43">
        <f t="shared" si="11"/>
        <v>4.1744015348172256E-5</v>
      </c>
    </row>
    <row r="150" spans="1:10" ht="15" customHeight="1" x14ac:dyDescent="0.25">
      <c r="A150" s="38" t="s">
        <v>399</v>
      </c>
      <c r="B150" s="26" t="s">
        <v>400</v>
      </c>
      <c r="C150" s="39">
        <v>354.358</v>
      </c>
      <c r="D150" s="39">
        <v>74.510000000000005</v>
      </c>
      <c r="E150" s="40">
        <f t="shared" si="8"/>
        <v>26403.214580000003</v>
      </c>
      <c r="F150" s="41">
        <f t="shared" si="9"/>
        <v>8.9889485571055245E-4</v>
      </c>
      <c r="G150" s="42">
        <v>1.2078915581801099E-2</v>
      </c>
      <c r="H150" s="42">
        <f t="shared" si="10"/>
        <v>1.0857675079043044E-5</v>
      </c>
      <c r="I150" s="42">
        <v>0.11</v>
      </c>
      <c r="J150" s="43">
        <f t="shared" si="11"/>
        <v>9.8878434128160772E-5</v>
      </c>
    </row>
    <row r="151" spans="1:10" ht="15" customHeight="1" x14ac:dyDescent="0.25">
      <c r="A151" s="38" t="s">
        <v>401</v>
      </c>
      <c r="B151" s="26" t="s">
        <v>402</v>
      </c>
      <c r="C151" s="39">
        <v>715.89499999999998</v>
      </c>
      <c r="D151" s="39">
        <v>293.33</v>
      </c>
      <c r="E151" s="40">
        <f t="shared" si="8"/>
        <v>209993.48034999997</v>
      </c>
      <c r="F151" s="41" t="str">
        <f t="shared" si="9"/>
        <v/>
      </c>
      <c r="G151" s="42">
        <v>3.4091296492005591E-3</v>
      </c>
      <c r="H151" s="42" t="str">
        <f t="shared" si="10"/>
        <v/>
      </c>
      <c r="I151" s="42">
        <v>0.21</v>
      </c>
      <c r="J151" s="43" t="str">
        <f t="shared" si="11"/>
        <v/>
      </c>
    </row>
    <row r="152" spans="1:10" ht="15" customHeight="1" x14ac:dyDescent="0.25">
      <c r="A152" s="38" t="s">
        <v>403</v>
      </c>
      <c r="B152" s="26" t="s">
        <v>404</v>
      </c>
      <c r="C152" s="39">
        <v>1820.633</v>
      </c>
      <c r="D152" s="39">
        <v>137.16</v>
      </c>
      <c r="E152" s="40">
        <f t="shared" si="8"/>
        <v>249718.02228</v>
      </c>
      <c r="F152" s="41" t="str">
        <f t="shared" si="9"/>
        <v/>
      </c>
      <c r="G152" s="42" t="s">
        <v>135</v>
      </c>
      <c r="H152" s="42" t="str">
        <f t="shared" si="10"/>
        <v/>
      </c>
      <c r="I152" s="42">
        <v>0.375</v>
      </c>
      <c r="J152" s="43" t="str">
        <f t="shared" si="11"/>
        <v/>
      </c>
    </row>
    <row r="153" spans="1:10" ht="15" customHeight="1" x14ac:dyDescent="0.25">
      <c r="A153" s="38" t="s">
        <v>405</v>
      </c>
      <c r="B153" s="26" t="s">
        <v>406</v>
      </c>
      <c r="C153" s="39">
        <v>171.54300000000001</v>
      </c>
      <c r="D153" s="39">
        <v>24.92</v>
      </c>
      <c r="E153" s="40">
        <f t="shared" si="8"/>
        <v>4274.8515600000001</v>
      </c>
      <c r="F153" s="41">
        <f t="shared" si="9"/>
        <v>1.455369028860966E-4</v>
      </c>
      <c r="G153" s="42" t="s">
        <v>135</v>
      </c>
      <c r="H153" s="42" t="str">
        <f t="shared" si="10"/>
        <v/>
      </c>
      <c r="I153" s="42">
        <v>0.13500000000000001</v>
      </c>
      <c r="J153" s="43">
        <f t="shared" si="11"/>
        <v>1.9647481889623044E-5</v>
      </c>
    </row>
    <row r="154" spans="1:10" ht="15" customHeight="1" x14ac:dyDescent="0.25">
      <c r="A154" s="38" t="s">
        <v>405</v>
      </c>
      <c r="B154" s="26" t="s">
        <v>407</v>
      </c>
      <c r="C154" s="39">
        <v>330.154</v>
      </c>
      <c r="D154" s="39">
        <v>24.97</v>
      </c>
      <c r="E154" s="40">
        <f t="shared" si="8"/>
        <v>8243.9453799999992</v>
      </c>
      <c r="F154" s="41" t="str">
        <f t="shared" si="9"/>
        <v/>
      </c>
      <c r="G154" s="42" t="s">
        <v>135</v>
      </c>
      <c r="H154" s="42" t="str">
        <f t="shared" si="10"/>
        <v/>
      </c>
      <c r="I154" s="42" t="s">
        <v>135</v>
      </c>
      <c r="J154" s="43" t="str">
        <f t="shared" si="11"/>
        <v/>
      </c>
    </row>
    <row r="155" spans="1:10" ht="15" customHeight="1" x14ac:dyDescent="0.25">
      <c r="A155" s="38" t="s">
        <v>408</v>
      </c>
      <c r="B155" s="26" t="s">
        <v>409</v>
      </c>
      <c r="C155" s="39">
        <v>290.572</v>
      </c>
      <c r="D155" s="39">
        <v>31.65</v>
      </c>
      <c r="E155" s="40">
        <f t="shared" si="8"/>
        <v>9196.603799999999</v>
      </c>
      <c r="F155" s="41">
        <f t="shared" si="9"/>
        <v>3.130974760963412E-4</v>
      </c>
      <c r="G155" s="42" t="s">
        <v>135</v>
      </c>
      <c r="H155" s="42" t="str">
        <f t="shared" si="10"/>
        <v/>
      </c>
      <c r="I155" s="42">
        <v>0.02</v>
      </c>
      <c r="J155" s="43">
        <f t="shared" si="11"/>
        <v>6.261949521926824E-6</v>
      </c>
    </row>
    <row r="156" spans="1:10" ht="15" customHeight="1" x14ac:dyDescent="0.25">
      <c r="A156" s="38" t="s">
        <v>410</v>
      </c>
      <c r="B156" s="26" t="s">
        <v>411</v>
      </c>
      <c r="C156" s="39">
        <v>284.46899999999999</v>
      </c>
      <c r="D156" s="39">
        <v>141.80000000000001</v>
      </c>
      <c r="E156" s="40">
        <f t="shared" si="8"/>
        <v>40337.7042</v>
      </c>
      <c r="F156" s="41" t="str">
        <f t="shared" si="9"/>
        <v/>
      </c>
      <c r="G156" s="42">
        <v>3.4414668547249644E-2</v>
      </c>
      <c r="H156" s="42" t="str">
        <f t="shared" si="10"/>
        <v/>
      </c>
      <c r="I156" s="42">
        <v>-3.5000000000000003E-2</v>
      </c>
      <c r="J156" s="43" t="str">
        <f t="shared" si="11"/>
        <v/>
      </c>
    </row>
    <row r="157" spans="1:10" ht="15" customHeight="1" x14ac:dyDescent="0.25">
      <c r="A157" s="38" t="s">
        <v>412</v>
      </c>
      <c r="B157" s="26" t="s">
        <v>413</v>
      </c>
      <c r="C157" s="39">
        <v>225.11</v>
      </c>
      <c r="D157" s="39">
        <v>160.15</v>
      </c>
      <c r="E157" s="40">
        <f t="shared" si="8"/>
        <v>36051.366500000004</v>
      </c>
      <c r="F157" s="41">
        <f t="shared" si="9"/>
        <v>1.2273652433493099E-3</v>
      </c>
      <c r="G157" s="42" t="s">
        <v>135</v>
      </c>
      <c r="H157" s="42" t="str">
        <f t="shared" si="10"/>
        <v/>
      </c>
      <c r="I157" s="42">
        <v>0.1</v>
      </c>
      <c r="J157" s="43">
        <f t="shared" si="11"/>
        <v>1.22736524334931E-4</v>
      </c>
    </row>
    <row r="158" spans="1:10" ht="15" customHeight="1" x14ac:dyDescent="0.25">
      <c r="A158" s="38" t="s">
        <v>414</v>
      </c>
      <c r="B158" s="26" t="s">
        <v>415</v>
      </c>
      <c r="C158" s="39">
        <v>144.10599999999999</v>
      </c>
      <c r="D158" s="39">
        <v>156.9</v>
      </c>
      <c r="E158" s="40">
        <f t="shared" si="8"/>
        <v>22610.231400000001</v>
      </c>
      <c r="F158" s="41">
        <f t="shared" si="9"/>
        <v>7.6976311465045864E-4</v>
      </c>
      <c r="G158" s="42">
        <v>1.2746972594008922E-2</v>
      </c>
      <c r="H158" s="42">
        <f t="shared" si="10"/>
        <v>9.8121493263283447E-6</v>
      </c>
      <c r="I158" s="42">
        <v>0.09</v>
      </c>
      <c r="J158" s="43">
        <f t="shared" si="11"/>
        <v>6.9278680318541271E-5</v>
      </c>
    </row>
    <row r="159" spans="1:10" ht="15" customHeight="1" x14ac:dyDescent="0.25">
      <c r="A159" s="38" t="s">
        <v>416</v>
      </c>
      <c r="B159" s="26" t="s">
        <v>417</v>
      </c>
      <c r="C159" s="39">
        <v>735.08600000000001</v>
      </c>
      <c r="D159" s="39">
        <v>63.72</v>
      </c>
      <c r="E159" s="40">
        <f t="shared" si="8"/>
        <v>46839.679920000002</v>
      </c>
      <c r="F159" s="41" t="str">
        <f t="shared" si="9"/>
        <v/>
      </c>
      <c r="G159" s="42">
        <v>4.3942247332077841E-2</v>
      </c>
      <c r="H159" s="42" t="str">
        <f t="shared" si="10"/>
        <v/>
      </c>
      <c r="I159" s="42" t="s">
        <v>135</v>
      </c>
      <c r="J159" s="43" t="str">
        <f t="shared" si="11"/>
        <v/>
      </c>
    </row>
    <row r="160" spans="1:10" ht="15" customHeight="1" x14ac:dyDescent="0.25">
      <c r="A160" s="38" t="s">
        <v>418</v>
      </c>
      <c r="B160" s="26" t="s">
        <v>419</v>
      </c>
      <c r="C160" s="39">
        <v>36.033000000000001</v>
      </c>
      <c r="D160" s="39">
        <v>407.01</v>
      </c>
      <c r="E160" s="40">
        <f t="shared" si="8"/>
        <v>14665.79133</v>
      </c>
      <c r="F160" s="41">
        <f t="shared" si="9"/>
        <v>4.9929543016505762E-4</v>
      </c>
      <c r="G160" s="42">
        <v>1.0810545195449744E-2</v>
      </c>
      <c r="H160" s="42">
        <f t="shared" si="10"/>
        <v>5.397655813680877E-6</v>
      </c>
      <c r="I160" s="42">
        <v>0.16500000000000001</v>
      </c>
      <c r="J160" s="43">
        <f t="shared" si="11"/>
        <v>8.2383745977234507E-5</v>
      </c>
    </row>
    <row r="161" spans="1:10" ht="15" customHeight="1" x14ac:dyDescent="0.25">
      <c r="A161" s="38" t="s">
        <v>420</v>
      </c>
      <c r="B161" s="26" t="s">
        <v>421</v>
      </c>
      <c r="C161" s="39">
        <v>382.76799999999997</v>
      </c>
      <c r="D161" s="39">
        <v>58.06</v>
      </c>
      <c r="E161" s="40">
        <f t="shared" si="8"/>
        <v>22223.51008</v>
      </c>
      <c r="F161" s="41">
        <f t="shared" si="9"/>
        <v>7.5659722516801229E-4</v>
      </c>
      <c r="G161" s="42">
        <v>1.9290389252497417E-2</v>
      </c>
      <c r="H161" s="42">
        <f t="shared" si="10"/>
        <v>1.4595054980850393E-5</v>
      </c>
      <c r="I161" s="42">
        <v>2.5000000000000001E-2</v>
      </c>
      <c r="J161" s="43">
        <f t="shared" si="11"/>
        <v>1.8914930629200308E-5</v>
      </c>
    </row>
    <row r="162" spans="1:10" ht="15" customHeight="1" x14ac:dyDescent="0.25">
      <c r="A162" s="38" t="s">
        <v>422</v>
      </c>
      <c r="B162" s="26" t="s">
        <v>423</v>
      </c>
      <c r="C162" s="39">
        <v>127.724</v>
      </c>
      <c r="D162" s="39">
        <v>132.94999999999999</v>
      </c>
      <c r="E162" s="40">
        <f t="shared" si="8"/>
        <v>16980.9058</v>
      </c>
      <c r="F162" s="41">
        <f t="shared" si="9"/>
        <v>5.7811327566484078E-4</v>
      </c>
      <c r="G162" s="42">
        <v>3.3095148552087256E-2</v>
      </c>
      <c r="H162" s="42">
        <f t="shared" si="10"/>
        <v>1.9132744738061675E-5</v>
      </c>
      <c r="I162" s="42">
        <v>0.155</v>
      </c>
      <c r="J162" s="43">
        <f t="shared" si="11"/>
        <v>8.9607557728050319E-5</v>
      </c>
    </row>
    <row r="163" spans="1:10" ht="15" customHeight="1" x14ac:dyDescent="0.25">
      <c r="A163" s="38" t="s">
        <v>424</v>
      </c>
      <c r="B163" s="26" t="s">
        <v>425</v>
      </c>
      <c r="C163" s="39">
        <v>193.74199999999999</v>
      </c>
      <c r="D163" s="39">
        <v>132.21</v>
      </c>
      <c r="E163" s="40">
        <f t="shared" si="8"/>
        <v>25614.629820000002</v>
      </c>
      <c r="F163" s="41">
        <f t="shared" si="9"/>
        <v>8.7204756475255346E-4</v>
      </c>
      <c r="G163" s="42">
        <v>2.677558429770819E-2</v>
      </c>
      <c r="H163" s="42">
        <f t="shared" si="10"/>
        <v>2.3349583081643135E-5</v>
      </c>
      <c r="I163" s="42">
        <v>4.4999999999999998E-2</v>
      </c>
      <c r="J163" s="43">
        <f t="shared" si="11"/>
        <v>3.9242140413864904E-5</v>
      </c>
    </row>
    <row r="164" spans="1:10" ht="15" customHeight="1" x14ac:dyDescent="0.25">
      <c r="A164" s="38" t="s">
        <v>426</v>
      </c>
      <c r="B164" s="26" t="s">
        <v>427</v>
      </c>
      <c r="C164" s="39">
        <v>769.899</v>
      </c>
      <c r="D164" s="39">
        <v>111.66</v>
      </c>
      <c r="E164" s="40">
        <f t="shared" si="8"/>
        <v>85966.922340000005</v>
      </c>
      <c r="F164" s="41">
        <f t="shared" si="9"/>
        <v>2.9267354555846119E-3</v>
      </c>
      <c r="G164" s="42">
        <v>3.5285688697832704E-2</v>
      </c>
      <c r="H164" s="42">
        <f t="shared" si="10"/>
        <v>1.0327187618666819E-4</v>
      </c>
      <c r="I164" s="42">
        <v>7.0000000000000007E-2</v>
      </c>
      <c r="J164" s="43">
        <f t="shared" si="11"/>
        <v>2.0487148189092286E-4</v>
      </c>
    </row>
    <row r="165" spans="1:10" ht="15" customHeight="1" x14ac:dyDescent="0.25">
      <c r="A165" s="38" t="s">
        <v>428</v>
      </c>
      <c r="B165" s="26" t="s">
        <v>429</v>
      </c>
      <c r="C165" s="39">
        <v>96.3</v>
      </c>
      <c r="D165" s="39">
        <v>113.11</v>
      </c>
      <c r="E165" s="40">
        <f t="shared" si="8"/>
        <v>10892.493</v>
      </c>
      <c r="F165" s="41">
        <f t="shared" si="9"/>
        <v>3.7083385789622297E-4</v>
      </c>
      <c r="G165" s="42" t="s">
        <v>135</v>
      </c>
      <c r="H165" s="42" t="str">
        <f t="shared" si="10"/>
        <v/>
      </c>
      <c r="I165" s="42">
        <v>0.16</v>
      </c>
      <c r="J165" s="43">
        <f t="shared" si="11"/>
        <v>5.9333417263395673E-5</v>
      </c>
    </row>
    <row r="166" spans="1:10" ht="15" customHeight="1" x14ac:dyDescent="0.25">
      <c r="A166" s="38" t="s">
        <v>430</v>
      </c>
      <c r="B166" s="26" t="s">
        <v>431</v>
      </c>
      <c r="C166" s="39">
        <v>664.2</v>
      </c>
      <c r="D166" s="39">
        <v>59.13</v>
      </c>
      <c r="E166" s="40">
        <f t="shared" si="8"/>
        <v>39274.146000000008</v>
      </c>
      <c r="F166" s="41" t="str">
        <f t="shared" si="9"/>
        <v/>
      </c>
      <c r="G166" s="42">
        <v>6.7647556232031114E-2</v>
      </c>
      <c r="H166" s="42" t="str">
        <f t="shared" si="10"/>
        <v/>
      </c>
      <c r="I166" s="42">
        <v>0.29499999999999998</v>
      </c>
      <c r="J166" s="43" t="str">
        <f t="shared" si="11"/>
        <v/>
      </c>
    </row>
    <row r="167" spans="1:10" ht="15" customHeight="1" x14ac:dyDescent="0.25">
      <c r="A167" s="38" t="s">
        <v>432</v>
      </c>
      <c r="B167" s="26" t="s">
        <v>433</v>
      </c>
      <c r="C167" s="39">
        <v>244.47800000000001</v>
      </c>
      <c r="D167" s="39">
        <v>32.630000000000003</v>
      </c>
      <c r="E167" s="40">
        <f t="shared" si="8"/>
        <v>7977.317140000001</v>
      </c>
      <c r="F167" s="41">
        <f t="shared" si="9"/>
        <v>2.7158698111514636E-4</v>
      </c>
      <c r="G167" s="42" t="s">
        <v>135</v>
      </c>
      <c r="H167" s="42" t="str">
        <f t="shared" si="10"/>
        <v/>
      </c>
      <c r="I167" s="42">
        <v>0.06</v>
      </c>
      <c r="J167" s="43">
        <f t="shared" si="11"/>
        <v>1.6295218866908781E-5</v>
      </c>
    </row>
    <row r="168" spans="1:10" ht="15" customHeight="1" x14ac:dyDescent="0.25">
      <c r="A168" s="38" t="s">
        <v>434</v>
      </c>
      <c r="B168" s="26" t="s">
        <v>435</v>
      </c>
      <c r="C168" s="39">
        <v>97.39</v>
      </c>
      <c r="D168" s="39">
        <v>511.6</v>
      </c>
      <c r="E168" s="40">
        <f t="shared" si="8"/>
        <v>49824.724000000002</v>
      </c>
      <c r="F168" s="41" t="str">
        <f t="shared" si="9"/>
        <v/>
      </c>
      <c r="G168" s="42" t="s">
        <v>135</v>
      </c>
      <c r="H168" s="42" t="str">
        <f t="shared" si="10"/>
        <v/>
      </c>
      <c r="I168" s="42">
        <v>0.34</v>
      </c>
      <c r="J168" s="43" t="str">
        <f t="shared" si="11"/>
        <v/>
      </c>
    </row>
    <row r="169" spans="1:10" ht="15" customHeight="1" x14ac:dyDescent="0.25">
      <c r="A169" s="38" t="s">
        <v>436</v>
      </c>
      <c r="B169" s="26" t="s">
        <v>437</v>
      </c>
      <c r="C169" s="39">
        <v>281.22199999999998</v>
      </c>
      <c r="D169" s="39">
        <v>126.51</v>
      </c>
      <c r="E169" s="40">
        <f t="shared" si="8"/>
        <v>35577.395219999999</v>
      </c>
      <c r="F169" s="41">
        <f t="shared" si="9"/>
        <v>1.2112289375197432E-3</v>
      </c>
      <c r="G169" s="42">
        <v>5.3750691644929259E-3</v>
      </c>
      <c r="H169" s="42">
        <f t="shared" si="10"/>
        <v>6.5104393132039005E-6</v>
      </c>
      <c r="I169" s="42">
        <v>0.105</v>
      </c>
      <c r="J169" s="43">
        <f t="shared" si="11"/>
        <v>1.2717903843957303E-4</v>
      </c>
    </row>
    <row r="170" spans="1:10" ht="15" customHeight="1" x14ac:dyDescent="0.25">
      <c r="A170" s="38" t="s">
        <v>438</v>
      </c>
      <c r="B170" s="26" t="s">
        <v>439</v>
      </c>
      <c r="C170" s="39">
        <v>587.529</v>
      </c>
      <c r="D170" s="39">
        <v>57.26</v>
      </c>
      <c r="E170" s="40">
        <f t="shared" si="8"/>
        <v>33641.910539999997</v>
      </c>
      <c r="F170" s="41">
        <f t="shared" si="9"/>
        <v>1.145335551057761E-3</v>
      </c>
      <c r="G170" s="42">
        <v>1.5368494586098499E-2</v>
      </c>
      <c r="H170" s="42">
        <f t="shared" si="10"/>
        <v>1.7602083215697342E-5</v>
      </c>
      <c r="I170" s="42">
        <v>0.16500000000000001</v>
      </c>
      <c r="J170" s="43">
        <f t="shared" si="11"/>
        <v>1.8898036592453058E-4</v>
      </c>
    </row>
    <row r="171" spans="1:10" ht="15" customHeight="1" x14ac:dyDescent="0.25">
      <c r="A171" s="38" t="s">
        <v>440</v>
      </c>
      <c r="B171" s="26" t="s">
        <v>441</v>
      </c>
      <c r="C171" s="39">
        <v>286.29599999999999</v>
      </c>
      <c r="D171" s="39">
        <v>176.56</v>
      </c>
      <c r="E171" s="40">
        <f t="shared" si="8"/>
        <v>50548.421759999997</v>
      </c>
      <c r="F171" s="41">
        <f t="shared" si="9"/>
        <v>1.7209160705291418E-3</v>
      </c>
      <c r="G171" s="42">
        <v>1.1554145899410966E-2</v>
      </c>
      <c r="H171" s="42">
        <f t="shared" si="10"/>
        <v>1.9883715359534717E-5</v>
      </c>
      <c r="I171" s="42">
        <v>0.08</v>
      </c>
      <c r="J171" s="43">
        <f t="shared" si="11"/>
        <v>1.3767328564233134E-4</v>
      </c>
    </row>
    <row r="172" spans="1:10" ht="15" customHeight="1" x14ac:dyDescent="0.25">
      <c r="A172" s="38" t="s">
        <v>442</v>
      </c>
      <c r="B172" s="26" t="s">
        <v>443</v>
      </c>
      <c r="C172" s="39">
        <v>354.09</v>
      </c>
      <c r="D172" s="39">
        <v>94.68</v>
      </c>
      <c r="E172" s="40">
        <f t="shared" si="8"/>
        <v>33525.241199999997</v>
      </c>
      <c r="F172" s="41">
        <f t="shared" si="9"/>
        <v>1.141363554798465E-3</v>
      </c>
      <c r="G172" s="42">
        <v>3.3375580904098014E-2</v>
      </c>
      <c r="H172" s="42">
        <f t="shared" si="10"/>
        <v>3.8093671664165078E-5</v>
      </c>
      <c r="I172" s="42">
        <v>3.5000000000000003E-2</v>
      </c>
      <c r="J172" s="43">
        <f t="shared" si="11"/>
        <v>3.9947724417946279E-5</v>
      </c>
    </row>
    <row r="173" spans="1:10" ht="15" customHeight="1" x14ac:dyDescent="0.25">
      <c r="A173" s="38" t="s">
        <v>444</v>
      </c>
      <c r="B173" s="26" t="s">
        <v>445</v>
      </c>
      <c r="C173" s="39">
        <v>122.90900000000001</v>
      </c>
      <c r="D173" s="39">
        <v>237.1</v>
      </c>
      <c r="E173" s="40">
        <f t="shared" si="8"/>
        <v>29141.723900000001</v>
      </c>
      <c r="F173" s="41">
        <f t="shared" si="9"/>
        <v>9.9212713743158367E-4</v>
      </c>
      <c r="G173" s="42">
        <v>6.5795023196963311E-3</v>
      </c>
      <c r="H173" s="42">
        <f t="shared" si="10"/>
        <v>6.5277028021647852E-6</v>
      </c>
      <c r="I173" s="42">
        <v>0.105</v>
      </c>
      <c r="J173" s="43">
        <f t="shared" si="11"/>
        <v>1.0417334943031629E-4</v>
      </c>
    </row>
    <row r="174" spans="1:10" ht="15" customHeight="1" x14ac:dyDescent="0.25">
      <c r="A174" s="38" t="s">
        <v>446</v>
      </c>
      <c r="B174" s="26" t="s">
        <v>447</v>
      </c>
      <c r="C174" s="39">
        <v>380.79599999999999</v>
      </c>
      <c r="D174" s="39">
        <v>70.099999999999994</v>
      </c>
      <c r="E174" s="40">
        <f t="shared" si="8"/>
        <v>26693.799599999998</v>
      </c>
      <c r="F174" s="41" t="str">
        <f t="shared" si="9"/>
        <v/>
      </c>
      <c r="G174" s="42">
        <v>3.9942938659058486E-2</v>
      </c>
      <c r="H174" s="42" t="str">
        <f t="shared" si="10"/>
        <v/>
      </c>
      <c r="I174" s="42" t="s">
        <v>135</v>
      </c>
      <c r="J174" s="43" t="str">
        <f t="shared" si="11"/>
        <v/>
      </c>
    </row>
    <row r="175" spans="1:10" ht="15" customHeight="1" x14ac:dyDescent="0.25">
      <c r="A175" s="38" t="s">
        <v>448</v>
      </c>
      <c r="B175" s="26" t="s">
        <v>449</v>
      </c>
      <c r="C175" s="39">
        <v>232.42400000000001</v>
      </c>
      <c r="D175" s="39">
        <v>272.32</v>
      </c>
      <c r="E175" s="40">
        <f t="shared" si="8"/>
        <v>63293.703679999999</v>
      </c>
      <c r="F175" s="41">
        <f t="shared" si="9"/>
        <v>2.1548279458334066E-3</v>
      </c>
      <c r="G175" s="42">
        <v>8.8131609870740306E-3</v>
      </c>
      <c r="H175" s="42">
        <f t="shared" si="10"/>
        <v>1.8990845586075853E-5</v>
      </c>
      <c r="I175" s="42">
        <v>0.14000000000000001</v>
      </c>
      <c r="J175" s="43">
        <f t="shared" si="11"/>
        <v>3.0167591241667694E-4</v>
      </c>
    </row>
    <row r="176" spans="1:10" ht="15" customHeight="1" x14ac:dyDescent="0.25">
      <c r="A176" s="38" t="s">
        <v>450</v>
      </c>
      <c r="B176" s="26" t="s">
        <v>451</v>
      </c>
      <c r="C176" s="39">
        <v>128.94999999999999</v>
      </c>
      <c r="D176" s="39">
        <v>112.06</v>
      </c>
      <c r="E176" s="40">
        <f t="shared" si="8"/>
        <v>14450.136999999999</v>
      </c>
      <c r="F176" s="41">
        <f t="shared" si="9"/>
        <v>4.9195349961105809E-4</v>
      </c>
      <c r="G176" s="42">
        <v>2.7128324112082814E-2</v>
      </c>
      <c r="H176" s="42">
        <f t="shared" si="10"/>
        <v>1.334587398552219E-5</v>
      </c>
      <c r="I176" s="42">
        <v>0.08</v>
      </c>
      <c r="J176" s="43">
        <f t="shared" si="11"/>
        <v>3.9356279968884651E-5</v>
      </c>
    </row>
    <row r="177" spans="1:10" ht="15" customHeight="1" x14ac:dyDescent="0.25">
      <c r="A177" s="38" t="s">
        <v>452</v>
      </c>
      <c r="B177" s="26" t="s">
        <v>453</v>
      </c>
      <c r="C177" s="39">
        <v>594</v>
      </c>
      <c r="D177" s="39">
        <v>98.05</v>
      </c>
      <c r="E177" s="40">
        <f t="shared" si="8"/>
        <v>58241.7</v>
      </c>
      <c r="F177" s="41">
        <f t="shared" si="9"/>
        <v>1.9828329750989464E-3</v>
      </c>
      <c r="G177" s="42">
        <v>2.1009688934217237E-2</v>
      </c>
      <c r="H177" s="42">
        <f t="shared" si="10"/>
        <v>4.1658704015337374E-5</v>
      </c>
      <c r="I177" s="42">
        <v>0.115</v>
      </c>
      <c r="J177" s="43">
        <f t="shared" si="11"/>
        <v>2.2802579213637884E-4</v>
      </c>
    </row>
    <row r="178" spans="1:10" ht="15" customHeight="1" x14ac:dyDescent="0.25">
      <c r="A178" s="38" t="s">
        <v>454</v>
      </c>
      <c r="B178" s="26" t="s">
        <v>455</v>
      </c>
      <c r="C178" s="39">
        <v>133.93600000000001</v>
      </c>
      <c r="D178" s="39">
        <v>201.78</v>
      </c>
      <c r="E178" s="40">
        <f t="shared" si="8"/>
        <v>27025.606080000001</v>
      </c>
      <c r="F178" s="41" t="str">
        <f t="shared" si="9"/>
        <v/>
      </c>
      <c r="G178" s="42" t="s">
        <v>135</v>
      </c>
      <c r="H178" s="42" t="str">
        <f t="shared" si="10"/>
        <v/>
      </c>
      <c r="I178" s="42">
        <v>0.3</v>
      </c>
      <c r="J178" s="43" t="str">
        <f t="shared" si="11"/>
        <v/>
      </c>
    </row>
    <row r="179" spans="1:10" ht="15" customHeight="1" x14ac:dyDescent="0.25">
      <c r="A179" s="38" t="s">
        <v>456</v>
      </c>
      <c r="B179" s="26" t="s">
        <v>457</v>
      </c>
      <c r="C179" s="39">
        <v>585.38900000000001</v>
      </c>
      <c r="D179" s="39">
        <v>119.23</v>
      </c>
      <c r="E179" s="40">
        <f t="shared" si="8"/>
        <v>69795.930470000007</v>
      </c>
      <c r="F179" s="41">
        <f t="shared" si="9"/>
        <v>2.3761956203824635E-3</v>
      </c>
      <c r="G179" s="42">
        <v>2.5161452654533255E-2</v>
      </c>
      <c r="H179" s="42">
        <f t="shared" si="10"/>
        <v>5.9788533600162629E-5</v>
      </c>
      <c r="I179" s="42">
        <v>0.16</v>
      </c>
      <c r="J179" s="43">
        <f t="shared" si="11"/>
        <v>3.8019129926119416E-4</v>
      </c>
    </row>
    <row r="180" spans="1:10" ht="15" customHeight="1" x14ac:dyDescent="0.25">
      <c r="A180" s="38" t="s">
        <v>458</v>
      </c>
      <c r="B180" s="26" t="s">
        <v>459</v>
      </c>
      <c r="C180" s="39">
        <v>56.878999999999998</v>
      </c>
      <c r="D180" s="39">
        <v>296.61</v>
      </c>
      <c r="E180" s="40">
        <f t="shared" si="8"/>
        <v>16870.88019</v>
      </c>
      <c r="F180" s="41" t="str">
        <f t="shared" si="9"/>
        <v/>
      </c>
      <c r="G180" s="42" t="s">
        <v>135</v>
      </c>
      <c r="H180" s="42" t="str">
        <f t="shared" si="10"/>
        <v/>
      </c>
      <c r="I180" s="42">
        <v>0.23499999999999999</v>
      </c>
      <c r="J180" s="43" t="str">
        <f t="shared" si="11"/>
        <v/>
      </c>
    </row>
    <row r="181" spans="1:10" ht="15" customHeight="1" x14ac:dyDescent="0.25">
      <c r="A181" s="38" t="s">
        <v>460</v>
      </c>
      <c r="B181" s="26" t="s">
        <v>461</v>
      </c>
      <c r="C181" s="39">
        <v>90.721000000000004</v>
      </c>
      <c r="D181" s="39">
        <v>741.62</v>
      </c>
      <c r="E181" s="40">
        <f t="shared" si="8"/>
        <v>67280.508020000008</v>
      </c>
      <c r="F181" s="41">
        <f t="shared" si="9"/>
        <v>2.2905583093121447E-3</v>
      </c>
      <c r="G181" s="42">
        <v>1.6720153178177502E-2</v>
      </c>
      <c r="H181" s="42">
        <f t="shared" si="10"/>
        <v>3.829848579524634E-5</v>
      </c>
      <c r="I181" s="42">
        <v>0.15</v>
      </c>
      <c r="J181" s="43">
        <f t="shared" si="11"/>
        <v>3.4358374639682169E-4</v>
      </c>
    </row>
    <row r="182" spans="1:10" ht="15" customHeight="1" x14ac:dyDescent="0.25">
      <c r="A182" s="38" t="s">
        <v>462</v>
      </c>
      <c r="B182" s="26" t="s">
        <v>463</v>
      </c>
      <c r="C182" s="39">
        <v>375.91699999999997</v>
      </c>
      <c r="D182" s="39">
        <v>89.92</v>
      </c>
      <c r="E182" s="40">
        <f t="shared" si="8"/>
        <v>33802.456639999997</v>
      </c>
      <c r="F182" s="41" t="str">
        <f t="shared" si="9"/>
        <v/>
      </c>
      <c r="G182" s="42">
        <v>2.7802491103202848E-2</v>
      </c>
      <c r="H182" s="42" t="str">
        <f t="shared" si="10"/>
        <v/>
      </c>
      <c r="I182" s="42">
        <v>-0.02</v>
      </c>
      <c r="J182" s="43" t="str">
        <f t="shared" si="11"/>
        <v/>
      </c>
    </row>
    <row r="183" spans="1:10" ht="15" customHeight="1" x14ac:dyDescent="0.25">
      <c r="A183" s="38" t="s">
        <v>464</v>
      </c>
      <c r="B183" s="26" t="s">
        <v>465</v>
      </c>
      <c r="C183" s="39">
        <v>344.74599999999998</v>
      </c>
      <c r="D183" s="39">
        <v>88.19</v>
      </c>
      <c r="E183" s="40">
        <f t="shared" si="8"/>
        <v>30403.149739999997</v>
      </c>
      <c r="F183" s="41">
        <f t="shared" si="9"/>
        <v>1.0350722566707866E-3</v>
      </c>
      <c r="G183" s="42">
        <v>2.8914842952715725E-2</v>
      </c>
      <c r="H183" s="42">
        <f t="shared" si="10"/>
        <v>2.9928951746348855E-5</v>
      </c>
      <c r="I183" s="42">
        <v>5.5E-2</v>
      </c>
      <c r="J183" s="43">
        <f t="shared" si="11"/>
        <v>5.6928974116893263E-5</v>
      </c>
    </row>
    <row r="184" spans="1:10" ht="15" customHeight="1" x14ac:dyDescent="0.25">
      <c r="A184" s="38" t="s">
        <v>466</v>
      </c>
      <c r="B184" s="26" t="s">
        <v>467</v>
      </c>
      <c r="C184" s="39">
        <v>65.278999999999996</v>
      </c>
      <c r="D184" s="39">
        <v>345.48</v>
      </c>
      <c r="E184" s="40">
        <f t="shared" si="8"/>
        <v>22552.588919999998</v>
      </c>
      <c r="F184" s="41" t="str">
        <f t="shared" si="9"/>
        <v/>
      </c>
      <c r="G184" s="42">
        <v>2.5471807340511753E-2</v>
      </c>
      <c r="H184" s="42" t="str">
        <f t="shared" si="10"/>
        <v/>
      </c>
      <c r="I184" s="42">
        <v>-2.5000000000000001E-2</v>
      </c>
      <c r="J184" s="43" t="str">
        <f t="shared" si="11"/>
        <v/>
      </c>
    </row>
    <row r="185" spans="1:10" ht="15" customHeight="1" x14ac:dyDescent="0.25">
      <c r="A185" s="38" t="s">
        <v>468</v>
      </c>
      <c r="B185" s="26" t="s">
        <v>469</v>
      </c>
      <c r="C185" s="39">
        <v>399.57</v>
      </c>
      <c r="D185" s="39">
        <v>151.76</v>
      </c>
      <c r="E185" s="40">
        <f t="shared" si="8"/>
        <v>60638.743199999997</v>
      </c>
      <c r="F185" s="41">
        <f t="shared" si="9"/>
        <v>2.0644400761914059E-3</v>
      </c>
      <c r="G185" s="42">
        <v>2.1349499209277811E-2</v>
      </c>
      <c r="H185" s="42">
        <f t="shared" si="10"/>
        <v>4.4074761774249846E-5</v>
      </c>
      <c r="I185" s="42">
        <v>0.115</v>
      </c>
      <c r="J185" s="43">
        <f t="shared" si="11"/>
        <v>2.3741060876201169E-4</v>
      </c>
    </row>
    <row r="186" spans="1:10" ht="15" customHeight="1" x14ac:dyDescent="0.25">
      <c r="A186" s="38" t="s">
        <v>470</v>
      </c>
      <c r="B186" s="26" t="s">
        <v>471</v>
      </c>
      <c r="C186" s="39">
        <v>203.51499999999999</v>
      </c>
      <c r="D186" s="39">
        <v>116.75</v>
      </c>
      <c r="E186" s="40">
        <f t="shared" si="8"/>
        <v>23760.376249999998</v>
      </c>
      <c r="F186" s="41">
        <f t="shared" si="9"/>
        <v>8.0891968347863888E-4</v>
      </c>
      <c r="G186" s="42">
        <v>3.4603854389721626E-2</v>
      </c>
      <c r="H186" s="42">
        <f t="shared" si="10"/>
        <v>2.7991738940074528E-5</v>
      </c>
      <c r="I186" s="42">
        <v>0.03</v>
      </c>
      <c r="J186" s="43">
        <f t="shared" si="11"/>
        <v>2.4267590504359166E-5</v>
      </c>
    </row>
    <row r="187" spans="1:10" ht="15" customHeight="1" x14ac:dyDescent="0.25">
      <c r="A187" s="38" t="s">
        <v>472</v>
      </c>
      <c r="B187" s="26" t="s">
        <v>473</v>
      </c>
      <c r="C187" s="39">
        <v>127.033</v>
      </c>
      <c r="D187" s="39">
        <v>124.28</v>
      </c>
      <c r="E187" s="40">
        <f t="shared" si="8"/>
        <v>15787.661239999999</v>
      </c>
      <c r="F187" s="41" t="str">
        <f t="shared" si="9"/>
        <v/>
      </c>
      <c r="G187" s="42" t="s">
        <v>135</v>
      </c>
      <c r="H187" s="42" t="str">
        <f t="shared" si="10"/>
        <v/>
      </c>
      <c r="I187" s="42">
        <v>0.28999999999999998</v>
      </c>
      <c r="J187" s="43" t="str">
        <f t="shared" si="11"/>
        <v/>
      </c>
    </row>
    <row r="188" spans="1:10" ht="15" customHeight="1" x14ac:dyDescent="0.25">
      <c r="A188" s="38" t="s">
        <v>474</v>
      </c>
      <c r="B188" s="26" t="s">
        <v>475</v>
      </c>
      <c r="C188" s="39">
        <v>226.99299999999999</v>
      </c>
      <c r="D188" s="39">
        <v>68.34</v>
      </c>
      <c r="E188" s="40">
        <f t="shared" si="8"/>
        <v>15512.70162</v>
      </c>
      <c r="F188" s="41">
        <f t="shared" si="9"/>
        <v>5.2812840808229918E-4</v>
      </c>
      <c r="G188" s="42">
        <v>3.3508925958443077E-2</v>
      </c>
      <c r="H188" s="42">
        <f t="shared" si="10"/>
        <v>1.7697015722980172E-5</v>
      </c>
      <c r="I188" s="42">
        <v>7.4999999999999997E-2</v>
      </c>
      <c r="J188" s="43">
        <f t="shared" si="11"/>
        <v>3.9609630606172437E-5</v>
      </c>
    </row>
    <row r="189" spans="1:10" ht="15" customHeight="1" x14ac:dyDescent="0.25">
      <c r="A189" s="38" t="s">
        <v>476</v>
      </c>
      <c r="B189" s="26" t="s">
        <v>477</v>
      </c>
      <c r="C189" s="39">
        <v>621.31700000000001</v>
      </c>
      <c r="D189" s="39">
        <v>117.72</v>
      </c>
      <c r="E189" s="40">
        <f t="shared" si="8"/>
        <v>73141.437239999999</v>
      </c>
      <c r="F189" s="41">
        <f t="shared" si="9"/>
        <v>2.4900930708685026E-3</v>
      </c>
      <c r="G189" s="42" t="s">
        <v>135</v>
      </c>
      <c r="H189" s="42" t="str">
        <f t="shared" si="10"/>
        <v/>
      </c>
      <c r="I189" s="42">
        <v>0.125</v>
      </c>
      <c r="J189" s="43">
        <f t="shared" si="11"/>
        <v>3.1126163385856282E-4</v>
      </c>
    </row>
    <row r="190" spans="1:10" ht="15" customHeight="1" x14ac:dyDescent="0.25">
      <c r="A190" s="38" t="s">
        <v>478</v>
      </c>
      <c r="B190" s="26" t="s">
        <v>479</v>
      </c>
      <c r="C190" s="39">
        <v>980.13699999999994</v>
      </c>
      <c r="D190" s="39">
        <v>47.63</v>
      </c>
      <c r="E190" s="40">
        <f t="shared" si="8"/>
        <v>46683.925309999999</v>
      </c>
      <c r="F190" s="41" t="str">
        <f t="shared" si="9"/>
        <v/>
      </c>
      <c r="G190" s="42">
        <v>2.8343480999370146E-2</v>
      </c>
      <c r="H190" s="42" t="str">
        <f t="shared" si="10"/>
        <v/>
      </c>
      <c r="I190" s="42" t="s">
        <v>135</v>
      </c>
      <c r="J190" s="43" t="str">
        <f t="shared" si="11"/>
        <v/>
      </c>
    </row>
    <row r="191" spans="1:10" ht="15" customHeight="1" x14ac:dyDescent="0.25">
      <c r="A191" s="38" t="s">
        <v>480</v>
      </c>
      <c r="B191" s="26" t="s">
        <v>481</v>
      </c>
      <c r="C191" s="39">
        <v>167.398</v>
      </c>
      <c r="D191" s="39">
        <v>103.16</v>
      </c>
      <c r="E191" s="40">
        <f t="shared" si="8"/>
        <v>17268.777679999999</v>
      </c>
      <c r="F191" s="41">
        <f t="shared" si="9"/>
        <v>5.8791384563906411E-4</v>
      </c>
      <c r="G191" s="42">
        <v>1.1244668476153548E-2</v>
      </c>
      <c r="H191" s="42">
        <f t="shared" si="10"/>
        <v>6.6108962867517874E-6</v>
      </c>
      <c r="I191" s="42">
        <v>0.115</v>
      </c>
      <c r="J191" s="43">
        <f t="shared" si="11"/>
        <v>6.7610092248492372E-5</v>
      </c>
    </row>
    <row r="192" spans="1:10" ht="15" customHeight="1" x14ac:dyDescent="0.25">
      <c r="A192" s="38" t="s">
        <v>482</v>
      </c>
      <c r="B192" s="26" t="s">
        <v>483</v>
      </c>
      <c r="C192" s="39">
        <v>150.23099999999999</v>
      </c>
      <c r="D192" s="39">
        <v>195.67</v>
      </c>
      <c r="E192" s="40">
        <f t="shared" si="8"/>
        <v>29395.699769999996</v>
      </c>
      <c r="F192" s="41" t="str">
        <f t="shared" si="9"/>
        <v/>
      </c>
      <c r="G192" s="42" t="s">
        <v>135</v>
      </c>
      <c r="H192" s="42" t="str">
        <f t="shared" si="10"/>
        <v/>
      </c>
      <c r="I192" s="42" t="s">
        <v>135</v>
      </c>
      <c r="J192" s="43" t="str">
        <f t="shared" si="11"/>
        <v/>
      </c>
    </row>
    <row r="193" spans="1:10" ht="15" customHeight="1" x14ac:dyDescent="0.25">
      <c r="A193" s="38" t="s">
        <v>484</v>
      </c>
      <c r="B193" s="26" t="s">
        <v>485</v>
      </c>
      <c r="C193" s="39">
        <v>134.15299999999999</v>
      </c>
      <c r="D193" s="39">
        <v>205.6</v>
      </c>
      <c r="E193" s="40">
        <f t="shared" si="8"/>
        <v>27581.856799999998</v>
      </c>
      <c r="F193" s="41">
        <f t="shared" si="9"/>
        <v>9.3902161471071588E-4</v>
      </c>
      <c r="G193" s="42">
        <v>2.9182879377431907E-2</v>
      </c>
      <c r="H193" s="42">
        <f t="shared" si="10"/>
        <v>2.7403354514904159E-5</v>
      </c>
      <c r="I193" s="42">
        <v>0.06</v>
      </c>
      <c r="J193" s="43">
        <f t="shared" si="11"/>
        <v>5.6341296882642949E-5</v>
      </c>
    </row>
    <row r="194" spans="1:10" ht="15" customHeight="1" x14ac:dyDescent="0.25">
      <c r="A194" s="38" t="s">
        <v>486</v>
      </c>
      <c r="B194" s="26" t="s">
        <v>487</v>
      </c>
      <c r="C194" s="39">
        <v>3947.9659999999999</v>
      </c>
      <c r="D194" s="39">
        <v>16.91</v>
      </c>
      <c r="E194" s="40">
        <f t="shared" si="8"/>
        <v>66760.105060000002</v>
      </c>
      <c r="F194" s="41" t="str">
        <f t="shared" si="9"/>
        <v/>
      </c>
      <c r="G194" s="42">
        <v>2.365464222353637E-2</v>
      </c>
      <c r="H194" s="42" t="str">
        <f t="shared" si="10"/>
        <v/>
      </c>
      <c r="I194" s="42">
        <v>0.28999999999999998</v>
      </c>
      <c r="J194" s="43" t="str">
        <f t="shared" si="11"/>
        <v/>
      </c>
    </row>
    <row r="195" spans="1:10" ht="15" customHeight="1" x14ac:dyDescent="0.25">
      <c r="A195" s="38" t="s">
        <v>488</v>
      </c>
      <c r="B195" s="26" t="s">
        <v>489</v>
      </c>
      <c r="C195" s="39">
        <v>177.41499999999999</v>
      </c>
      <c r="D195" s="39">
        <v>137.08000000000001</v>
      </c>
      <c r="E195" s="40">
        <f t="shared" si="8"/>
        <v>24320.048200000001</v>
      </c>
      <c r="F195" s="41" t="str">
        <f t="shared" si="9"/>
        <v/>
      </c>
      <c r="G195" s="42">
        <v>1.7508024511234312E-2</v>
      </c>
      <c r="H195" s="42" t="str">
        <f t="shared" si="10"/>
        <v/>
      </c>
      <c r="I195" s="42" t="s">
        <v>135</v>
      </c>
      <c r="J195" s="43" t="str">
        <f t="shared" si="11"/>
        <v/>
      </c>
    </row>
    <row r="196" spans="1:10" ht="15" customHeight="1" x14ac:dyDescent="0.25">
      <c r="A196" s="38" t="s">
        <v>490</v>
      </c>
      <c r="B196" s="26" t="s">
        <v>491</v>
      </c>
      <c r="C196" s="39">
        <v>575.55399999999997</v>
      </c>
      <c r="D196" s="39">
        <v>59.4</v>
      </c>
      <c r="E196" s="40">
        <f t="shared" si="8"/>
        <v>34187.907599999999</v>
      </c>
      <c r="F196" s="41">
        <f t="shared" si="9"/>
        <v>1.1639239675166741E-3</v>
      </c>
      <c r="G196" s="42">
        <v>2.0875420875420877E-2</v>
      </c>
      <c r="H196" s="42">
        <f t="shared" si="10"/>
        <v>2.4297402688900269E-5</v>
      </c>
      <c r="I196" s="42">
        <v>8.5000000000000006E-2</v>
      </c>
      <c r="J196" s="43">
        <f t="shared" si="11"/>
        <v>9.8933537238917303E-5</v>
      </c>
    </row>
    <row r="197" spans="1:10" ht="15" customHeight="1" x14ac:dyDescent="0.25">
      <c r="A197" s="38" t="s">
        <v>492</v>
      </c>
      <c r="B197" s="26" t="s">
        <v>493</v>
      </c>
      <c r="C197" s="39">
        <v>2309.08</v>
      </c>
      <c r="D197" s="39">
        <v>222.36</v>
      </c>
      <c r="E197" s="40">
        <f t="shared" si="8"/>
        <v>513447.02880000003</v>
      </c>
      <c r="F197" s="41" t="str">
        <f t="shared" si="9"/>
        <v/>
      </c>
      <c r="G197" s="42" t="s">
        <v>135</v>
      </c>
      <c r="H197" s="42" t="str">
        <f t="shared" si="10"/>
        <v/>
      </c>
      <c r="I197" s="42">
        <v>0.215</v>
      </c>
      <c r="J197" s="43" t="str">
        <f t="shared" si="11"/>
        <v/>
      </c>
    </row>
    <row r="198" spans="1:10" ht="15" customHeight="1" x14ac:dyDescent="0.25">
      <c r="A198" s="38" t="s">
        <v>494</v>
      </c>
      <c r="B198" s="26" t="s">
        <v>495</v>
      </c>
      <c r="C198" s="39">
        <v>132.34700000000001</v>
      </c>
      <c r="D198" s="39">
        <v>74.28</v>
      </c>
      <c r="E198" s="40">
        <f t="shared" si="8"/>
        <v>9830.7351600000002</v>
      </c>
      <c r="F198" s="41">
        <f t="shared" si="9"/>
        <v>3.3468641617110452E-4</v>
      </c>
      <c r="G198" s="42">
        <v>1.5078082929456112E-2</v>
      </c>
      <c r="H198" s="42">
        <f t="shared" si="10"/>
        <v>5.0464295383903753E-6</v>
      </c>
      <c r="I198" s="42">
        <v>0.11</v>
      </c>
      <c r="J198" s="43">
        <f t="shared" si="11"/>
        <v>3.68155057788215E-5</v>
      </c>
    </row>
    <row r="199" spans="1:10" ht="15" customHeight="1" x14ac:dyDescent="0.25">
      <c r="A199" s="38" t="s">
        <v>496</v>
      </c>
      <c r="B199" s="26" t="s">
        <v>497</v>
      </c>
      <c r="C199" s="39">
        <v>1454.7809999999999</v>
      </c>
      <c r="D199" s="39">
        <v>49.74</v>
      </c>
      <c r="E199" s="40">
        <f t="shared" si="8"/>
        <v>72360.806939999995</v>
      </c>
      <c r="F199" s="41" t="str">
        <f t="shared" si="9"/>
        <v/>
      </c>
      <c r="G199" s="42">
        <v>1.2062726176115802E-2</v>
      </c>
      <c r="H199" s="42" t="str">
        <f t="shared" si="10"/>
        <v/>
      </c>
      <c r="I199" s="42">
        <v>0.27</v>
      </c>
      <c r="J199" s="43" t="str">
        <f t="shared" si="11"/>
        <v/>
      </c>
    </row>
    <row r="200" spans="1:10" ht="15" customHeight="1" x14ac:dyDescent="0.25">
      <c r="A200" s="38" t="s">
        <v>498</v>
      </c>
      <c r="B200" s="26" t="s">
        <v>499</v>
      </c>
      <c r="C200" s="39">
        <v>37.796999999999997</v>
      </c>
      <c r="D200" s="39">
        <v>434.15</v>
      </c>
      <c r="E200" s="40">
        <f t="shared" si="8"/>
        <v>16409.567549999996</v>
      </c>
      <c r="F200" s="41">
        <f t="shared" si="9"/>
        <v>5.5866212087307926E-4</v>
      </c>
      <c r="G200" s="42">
        <v>7.5549925141080278E-3</v>
      </c>
      <c r="H200" s="42">
        <f t="shared" si="10"/>
        <v>4.220688141111828E-6</v>
      </c>
      <c r="I200" s="42">
        <v>9.5000000000000001E-2</v>
      </c>
      <c r="J200" s="43">
        <f t="shared" si="11"/>
        <v>5.3072901482942531E-5</v>
      </c>
    </row>
    <row r="201" spans="1:10" ht="15" customHeight="1" x14ac:dyDescent="0.25">
      <c r="A201" s="38" t="s">
        <v>500</v>
      </c>
      <c r="B201" s="26" t="s">
        <v>501</v>
      </c>
      <c r="C201" s="39">
        <v>259.178</v>
      </c>
      <c r="D201" s="39">
        <v>231.39</v>
      </c>
      <c r="E201" s="40">
        <f t="shared" si="8"/>
        <v>59971.197419999997</v>
      </c>
      <c r="F201" s="41">
        <f t="shared" si="9"/>
        <v>2.0417135454587495E-3</v>
      </c>
      <c r="G201" s="42">
        <v>1.2965123816932453E-2</v>
      </c>
      <c r="H201" s="42">
        <f t="shared" si="10"/>
        <v>2.6471068915580834E-5</v>
      </c>
      <c r="I201" s="42">
        <v>0.13</v>
      </c>
      <c r="J201" s="43">
        <f t="shared" si="11"/>
        <v>2.6542276090963746E-4</v>
      </c>
    </row>
    <row r="202" spans="1:10" ht="15" customHeight="1" x14ac:dyDescent="0.25">
      <c r="A202" s="38" t="s">
        <v>502</v>
      </c>
      <c r="B202" s="26" t="s">
        <v>503</v>
      </c>
      <c r="C202" s="39">
        <v>570.90300000000002</v>
      </c>
      <c r="D202" s="39">
        <v>45.86</v>
      </c>
      <c r="E202" s="40">
        <f t="shared" si="8"/>
        <v>26181.611580000001</v>
      </c>
      <c r="F202" s="41">
        <f t="shared" si="9"/>
        <v>8.9135040326873065E-4</v>
      </c>
      <c r="G202" s="42">
        <v>3.4016572176188399E-2</v>
      </c>
      <c r="H202" s="42">
        <f t="shared" si="10"/>
        <v>3.0320685327065413E-5</v>
      </c>
      <c r="I202" s="42">
        <v>0.1</v>
      </c>
      <c r="J202" s="43">
        <f t="shared" si="11"/>
        <v>8.9135040326873073E-5</v>
      </c>
    </row>
    <row r="203" spans="1:10" ht="15" customHeight="1" x14ac:dyDescent="0.25">
      <c r="A203" s="38" t="s">
        <v>504</v>
      </c>
      <c r="B203" s="26" t="s">
        <v>505</v>
      </c>
      <c r="C203" s="39">
        <v>60.738</v>
      </c>
      <c r="D203" s="39">
        <v>208.95</v>
      </c>
      <c r="E203" s="40">
        <f t="shared" si="8"/>
        <v>12691.205099999999</v>
      </c>
      <c r="F203" s="41">
        <f t="shared" si="9"/>
        <v>4.3207083526105726E-4</v>
      </c>
      <c r="G203" s="42" t="s">
        <v>135</v>
      </c>
      <c r="H203" s="42" t="str">
        <f t="shared" si="10"/>
        <v/>
      </c>
      <c r="I203" s="42">
        <v>7.0000000000000007E-2</v>
      </c>
      <c r="J203" s="43">
        <f t="shared" si="11"/>
        <v>3.0244958468274011E-5</v>
      </c>
    </row>
    <row r="204" spans="1:10" ht="15" customHeight="1" x14ac:dyDescent="0.25">
      <c r="A204" s="38" t="s">
        <v>506</v>
      </c>
      <c r="B204" s="26" t="s">
        <v>507</v>
      </c>
      <c r="C204" s="39">
        <v>609.59100000000001</v>
      </c>
      <c r="D204" s="39">
        <v>100.42</v>
      </c>
      <c r="E204" s="40">
        <f t="shared" si="8"/>
        <v>61215.128219999999</v>
      </c>
      <c r="F204" s="41" t="str">
        <f t="shared" si="9"/>
        <v/>
      </c>
      <c r="G204" s="42">
        <v>1.8721370244971121E-2</v>
      </c>
      <c r="H204" s="42" t="str">
        <f t="shared" si="10"/>
        <v/>
      </c>
      <c r="I204" s="42">
        <v>0.28000000000000003</v>
      </c>
      <c r="J204" s="43" t="str">
        <f t="shared" si="11"/>
        <v/>
      </c>
    </row>
    <row r="205" spans="1:10" ht="15" customHeight="1" x14ac:dyDescent="0.25">
      <c r="A205" s="38" t="s">
        <v>508</v>
      </c>
      <c r="B205" s="26" t="s">
        <v>509</v>
      </c>
      <c r="C205" s="39">
        <v>652.197</v>
      </c>
      <c r="D205" s="39">
        <v>101.4</v>
      </c>
      <c r="E205" s="40">
        <f t="shared" si="8"/>
        <v>66132.775800000003</v>
      </c>
      <c r="F205" s="41">
        <f t="shared" si="9"/>
        <v>2.2514838782361369E-3</v>
      </c>
      <c r="G205" s="42" t="s">
        <v>135</v>
      </c>
      <c r="H205" s="42" t="str">
        <f t="shared" si="10"/>
        <v/>
      </c>
      <c r="I205" s="42">
        <v>0.13</v>
      </c>
      <c r="J205" s="43">
        <f t="shared" si="11"/>
        <v>2.9269290417069778E-4</v>
      </c>
    </row>
    <row r="206" spans="1:10" ht="15" customHeight="1" x14ac:dyDescent="0.25">
      <c r="A206" s="38" t="s">
        <v>510</v>
      </c>
      <c r="B206" s="26" t="s">
        <v>511</v>
      </c>
      <c r="C206" s="39">
        <v>683.67100000000005</v>
      </c>
      <c r="D206" s="39">
        <v>43.04</v>
      </c>
      <c r="E206" s="40">
        <f t="shared" si="8"/>
        <v>29425.199840000001</v>
      </c>
      <c r="F206" s="41">
        <f t="shared" si="9"/>
        <v>1.0017780480588349E-3</v>
      </c>
      <c r="G206" s="42">
        <v>2.7881040892193308E-2</v>
      </c>
      <c r="H206" s="42">
        <f t="shared" si="10"/>
        <v>2.793061472282997E-5</v>
      </c>
      <c r="I206" s="42">
        <v>0.115</v>
      </c>
      <c r="J206" s="43">
        <f t="shared" si="11"/>
        <v>1.1520447552676603E-4</v>
      </c>
    </row>
    <row r="207" spans="1:10" ht="15" customHeight="1" x14ac:dyDescent="0.25">
      <c r="A207" s="38" t="s">
        <v>512</v>
      </c>
      <c r="B207" s="26" t="s">
        <v>513</v>
      </c>
      <c r="C207" s="39">
        <v>77.887</v>
      </c>
      <c r="D207" s="39">
        <v>249.06</v>
      </c>
      <c r="E207" s="40">
        <f t="shared" si="8"/>
        <v>19398.536220000002</v>
      </c>
      <c r="F207" s="41">
        <f t="shared" si="9"/>
        <v>6.6042126664687451E-4</v>
      </c>
      <c r="G207" s="42" t="s">
        <v>135</v>
      </c>
      <c r="H207" s="42" t="str">
        <f t="shared" si="10"/>
        <v/>
      </c>
      <c r="I207" s="42">
        <v>0.11</v>
      </c>
      <c r="J207" s="43">
        <f t="shared" si="11"/>
        <v>7.26463393311562E-5</v>
      </c>
    </row>
    <row r="208" spans="1:10" ht="15" customHeight="1" x14ac:dyDescent="0.25">
      <c r="A208" s="38" t="s">
        <v>514</v>
      </c>
      <c r="B208" s="26" t="s">
        <v>515</v>
      </c>
      <c r="C208" s="39">
        <v>125.893</v>
      </c>
      <c r="D208" s="39">
        <v>131.57</v>
      </c>
      <c r="E208" s="40">
        <f t="shared" si="8"/>
        <v>16563.742009999998</v>
      </c>
      <c r="F208" s="41">
        <f t="shared" si="9"/>
        <v>5.6391097527132099E-4</v>
      </c>
      <c r="G208" s="42">
        <v>1.6113095690506955E-2</v>
      </c>
      <c r="H208" s="42">
        <f t="shared" si="10"/>
        <v>9.0863515054738968E-6</v>
      </c>
      <c r="I208" s="42">
        <v>0.105</v>
      </c>
      <c r="J208" s="43">
        <f t="shared" si="11"/>
        <v>5.9210652403488699E-5</v>
      </c>
    </row>
    <row r="209" spans="1:10" ht="15" customHeight="1" x14ac:dyDescent="0.25">
      <c r="A209" s="38" t="s">
        <v>516</v>
      </c>
      <c r="B209" s="26" t="s">
        <v>517</v>
      </c>
      <c r="C209" s="39">
        <v>247.096</v>
      </c>
      <c r="D209" s="39">
        <v>36.28</v>
      </c>
      <c r="E209" s="40">
        <f t="shared" ref="E209:E272" si="12">IFERROR(C209*D209, "")</f>
        <v>8964.6428800000012</v>
      </c>
      <c r="F209" s="41" t="str">
        <f t="shared" ref="F209:F272" si="13">IF(AND(ISNUMBER($I209)), IF(AND($I209&lt;=20%,$I209&gt;0%), $E209/SUMIFS($E$16:$E$520,$I$16:$I$520, "&gt;"&amp;0%,$I$16:$I$520, "&lt;="&amp;20%),""),"")</f>
        <v/>
      </c>
      <c r="G209" s="42">
        <v>1.323042998897464E-2</v>
      </c>
      <c r="H209" s="42" t="str">
        <f t="shared" ref="H209:H272" si="14">IFERROR(F209*G209,"")</f>
        <v/>
      </c>
      <c r="I209" s="42" t="s">
        <v>135</v>
      </c>
      <c r="J209" s="43" t="str">
        <f t="shared" ref="J209:J272" si="15">IFERROR(F209*I209,"")</f>
        <v/>
      </c>
    </row>
    <row r="210" spans="1:10" ht="15" customHeight="1" x14ac:dyDescent="0.25">
      <c r="A210" s="38" t="s">
        <v>516</v>
      </c>
      <c r="B210" s="26" t="s">
        <v>518</v>
      </c>
      <c r="C210" s="39">
        <v>315.80599999999998</v>
      </c>
      <c r="D210" s="39">
        <v>39.450000000000003</v>
      </c>
      <c r="E210" s="40">
        <f t="shared" si="12"/>
        <v>12458.546700000001</v>
      </c>
      <c r="F210" s="41">
        <f t="shared" si="13"/>
        <v>4.2415000280847165E-4</v>
      </c>
      <c r="G210" s="42">
        <v>1.2167300380228136E-2</v>
      </c>
      <c r="H210" s="42">
        <f t="shared" si="14"/>
        <v>5.1607604904452821E-6</v>
      </c>
      <c r="I210" s="42">
        <v>0.105</v>
      </c>
      <c r="J210" s="43">
        <f t="shared" si="15"/>
        <v>4.4535750294889524E-5</v>
      </c>
    </row>
    <row r="211" spans="1:10" ht="15" customHeight="1" x14ac:dyDescent="0.25">
      <c r="A211" s="38" t="s">
        <v>519</v>
      </c>
      <c r="B211" s="26" t="s">
        <v>520</v>
      </c>
      <c r="C211" s="39">
        <v>179.06</v>
      </c>
      <c r="D211" s="39">
        <v>162.1</v>
      </c>
      <c r="E211" s="40">
        <f t="shared" si="12"/>
        <v>29025.626</v>
      </c>
      <c r="F211" s="41">
        <f t="shared" si="13"/>
        <v>9.8817459579114849E-4</v>
      </c>
      <c r="G211" s="42">
        <v>5.4287476866132023E-3</v>
      </c>
      <c r="H211" s="42">
        <f t="shared" si="14"/>
        <v>5.3645505508711334E-6</v>
      </c>
      <c r="I211" s="42">
        <v>0.13500000000000001</v>
      </c>
      <c r="J211" s="43">
        <f t="shared" si="15"/>
        <v>1.3340357043180505E-4</v>
      </c>
    </row>
    <row r="212" spans="1:10" ht="15" customHeight="1" x14ac:dyDescent="0.25">
      <c r="A212" s="38" t="s">
        <v>521</v>
      </c>
      <c r="B212" s="26" t="s">
        <v>522</v>
      </c>
      <c r="C212" s="39">
        <v>78.688000000000002</v>
      </c>
      <c r="D212" s="39">
        <v>122.07</v>
      </c>
      <c r="E212" s="40">
        <f t="shared" si="12"/>
        <v>9605.4441599999991</v>
      </c>
      <c r="F212" s="41">
        <f t="shared" si="13"/>
        <v>3.2701640613030865E-4</v>
      </c>
      <c r="G212" s="42">
        <v>3.5061849758335387E-2</v>
      </c>
      <c r="H212" s="42">
        <f t="shared" si="14"/>
        <v>1.1465800100251668E-5</v>
      </c>
      <c r="I212" s="42">
        <v>2.5000000000000001E-2</v>
      </c>
      <c r="J212" s="43">
        <f t="shared" si="15"/>
        <v>8.175410153257717E-6</v>
      </c>
    </row>
    <row r="213" spans="1:10" ht="15" customHeight="1" x14ac:dyDescent="0.25">
      <c r="A213" s="38" t="s">
        <v>523</v>
      </c>
      <c r="B213" s="26" t="s">
        <v>524</v>
      </c>
      <c r="C213" s="39">
        <v>160.815</v>
      </c>
      <c r="D213" s="39">
        <v>341.74</v>
      </c>
      <c r="E213" s="40">
        <f t="shared" si="12"/>
        <v>54956.918100000003</v>
      </c>
      <c r="F213" s="41" t="str">
        <f t="shared" si="13"/>
        <v/>
      </c>
      <c r="G213" s="42" t="s">
        <v>135</v>
      </c>
      <c r="H213" s="42" t="str">
        <f t="shared" si="14"/>
        <v/>
      </c>
      <c r="I213" s="42">
        <v>0.24</v>
      </c>
      <c r="J213" s="43" t="str">
        <f t="shared" si="15"/>
        <v/>
      </c>
    </row>
    <row r="214" spans="1:10" ht="15" customHeight="1" x14ac:dyDescent="0.25">
      <c r="A214" s="38" t="s">
        <v>525</v>
      </c>
      <c r="B214" s="26" t="s">
        <v>526</v>
      </c>
      <c r="C214" s="39">
        <v>359.06599999999997</v>
      </c>
      <c r="D214" s="39">
        <v>60.93</v>
      </c>
      <c r="E214" s="40">
        <f t="shared" si="12"/>
        <v>21877.891379999997</v>
      </c>
      <c r="F214" s="41">
        <f t="shared" si="13"/>
        <v>7.4483067035984504E-4</v>
      </c>
      <c r="G214" s="42">
        <v>4.5954373871656008E-3</v>
      </c>
      <c r="H214" s="42">
        <f t="shared" si="14"/>
        <v>3.422822709679249E-6</v>
      </c>
      <c r="I214" s="42">
        <v>0.12</v>
      </c>
      <c r="J214" s="43">
        <f t="shared" si="15"/>
        <v>8.93796804431814E-5</v>
      </c>
    </row>
    <row r="215" spans="1:10" ht="15" customHeight="1" x14ac:dyDescent="0.25">
      <c r="A215" s="38" t="s">
        <v>527</v>
      </c>
      <c r="B215" s="26" t="s">
        <v>528</v>
      </c>
      <c r="C215" s="39">
        <v>278.13600000000002</v>
      </c>
      <c r="D215" s="39">
        <v>241.18</v>
      </c>
      <c r="E215" s="40">
        <f t="shared" si="12"/>
        <v>67080.840480000013</v>
      </c>
      <c r="F215" s="41">
        <f t="shared" si="13"/>
        <v>2.2837606474587152E-3</v>
      </c>
      <c r="G215" s="42">
        <v>2.0897255162119578E-2</v>
      </c>
      <c r="H215" s="42">
        <f t="shared" si="14"/>
        <v>4.7724328979152187E-5</v>
      </c>
      <c r="I215" s="42">
        <v>0.06</v>
      </c>
      <c r="J215" s="43">
        <f t="shared" si="15"/>
        <v>1.3702563884752291E-4</v>
      </c>
    </row>
    <row r="216" spans="1:10" ht="15" customHeight="1" x14ac:dyDescent="0.25">
      <c r="A216" s="38" t="s">
        <v>529</v>
      </c>
      <c r="B216" s="26" t="s">
        <v>530</v>
      </c>
      <c r="C216" s="39">
        <v>1101.751</v>
      </c>
      <c r="D216" s="39">
        <v>91.5</v>
      </c>
      <c r="E216" s="40">
        <f t="shared" si="12"/>
        <v>100810.21649999999</v>
      </c>
      <c r="F216" s="41">
        <f t="shared" si="13"/>
        <v>3.4320739522208979E-3</v>
      </c>
      <c r="G216" s="42">
        <v>3.4972677595628415E-3</v>
      </c>
      <c r="H216" s="42">
        <f t="shared" si="14"/>
        <v>1.2002881581537566E-5</v>
      </c>
      <c r="I216" s="42">
        <v>0.15</v>
      </c>
      <c r="J216" s="43">
        <f t="shared" si="15"/>
        <v>5.1481109283313463E-4</v>
      </c>
    </row>
    <row r="217" spans="1:10" ht="15" customHeight="1" x14ac:dyDescent="0.25">
      <c r="A217" s="38" t="s">
        <v>531</v>
      </c>
      <c r="B217" s="26" t="s">
        <v>532</v>
      </c>
      <c r="C217" s="39">
        <v>1253.8869999999999</v>
      </c>
      <c r="D217" s="39">
        <v>59.45</v>
      </c>
      <c r="E217" s="40">
        <f t="shared" si="12"/>
        <v>74543.582150000002</v>
      </c>
      <c r="F217" s="41">
        <f t="shared" si="13"/>
        <v>2.5378289570705736E-3</v>
      </c>
      <c r="G217" s="42">
        <v>4.9116904962153068E-2</v>
      </c>
      <c r="H217" s="42">
        <f t="shared" si="14"/>
        <v>1.2465030369463541E-4</v>
      </c>
      <c r="I217" s="42">
        <v>0.13500000000000001</v>
      </c>
      <c r="J217" s="43">
        <f t="shared" si="15"/>
        <v>3.4260690920452744E-4</v>
      </c>
    </row>
    <row r="218" spans="1:10" ht="15" customHeight="1" x14ac:dyDescent="0.25">
      <c r="A218" s="38" t="s">
        <v>533</v>
      </c>
      <c r="B218" s="26" t="s">
        <v>534</v>
      </c>
      <c r="C218" s="39">
        <v>602.21199999999999</v>
      </c>
      <c r="D218" s="39">
        <v>67.72</v>
      </c>
      <c r="E218" s="40">
        <f t="shared" si="12"/>
        <v>40781.79664</v>
      </c>
      <c r="F218" s="41">
        <f t="shared" si="13"/>
        <v>1.3884122743939723E-3</v>
      </c>
      <c r="G218" s="42">
        <v>3.0124040165386889E-2</v>
      </c>
      <c r="H218" s="42">
        <f t="shared" si="14"/>
        <v>4.1824587119960184E-5</v>
      </c>
      <c r="I218" s="42">
        <v>3.5000000000000003E-2</v>
      </c>
      <c r="J218" s="43">
        <f t="shared" si="15"/>
        <v>4.8594429603789035E-5</v>
      </c>
    </row>
    <row r="219" spans="1:10" ht="15" customHeight="1" x14ac:dyDescent="0.25">
      <c r="A219" s="38" t="s">
        <v>535</v>
      </c>
      <c r="B219" s="26" t="s">
        <v>536</v>
      </c>
      <c r="C219" s="39">
        <v>99.177999999999997</v>
      </c>
      <c r="D219" s="39">
        <v>100.6</v>
      </c>
      <c r="E219" s="40">
        <f t="shared" si="12"/>
        <v>9977.3067999999985</v>
      </c>
      <c r="F219" s="41">
        <f t="shared" si="13"/>
        <v>3.3967643330670201E-4</v>
      </c>
      <c r="G219" s="42">
        <v>8.2504970178926447E-3</v>
      </c>
      <c r="H219" s="42">
        <f t="shared" si="14"/>
        <v>2.8024994000453546E-6</v>
      </c>
      <c r="I219" s="42">
        <v>0.08</v>
      </c>
      <c r="J219" s="43">
        <f t="shared" si="15"/>
        <v>2.7174114664536161E-5</v>
      </c>
    </row>
    <row r="220" spans="1:10" ht="15" customHeight="1" x14ac:dyDescent="0.25">
      <c r="A220" s="38" t="s">
        <v>537</v>
      </c>
      <c r="B220" s="26" t="s">
        <v>538</v>
      </c>
      <c r="C220" s="39">
        <v>845.64599999999996</v>
      </c>
      <c r="D220" s="39">
        <v>36.909999999999997</v>
      </c>
      <c r="E220" s="40">
        <f t="shared" si="12"/>
        <v>31212.793859999994</v>
      </c>
      <c r="F220" s="41">
        <f t="shared" si="13"/>
        <v>1.062636511478441E-3</v>
      </c>
      <c r="G220" s="42">
        <v>2.9260363045245194E-2</v>
      </c>
      <c r="H220" s="42">
        <f t="shared" si="14"/>
        <v>3.1093130110992044E-5</v>
      </c>
      <c r="I220" s="42">
        <v>0.2</v>
      </c>
      <c r="J220" s="43">
        <f t="shared" si="15"/>
        <v>2.1252730229568822E-4</v>
      </c>
    </row>
    <row r="221" spans="1:10" ht="15" customHeight="1" x14ac:dyDescent="0.25">
      <c r="A221" s="38" t="s">
        <v>539</v>
      </c>
      <c r="B221" s="26" t="s">
        <v>540</v>
      </c>
      <c r="C221" s="39">
        <v>1453.021</v>
      </c>
      <c r="D221" s="39">
        <v>43.74</v>
      </c>
      <c r="E221" s="40">
        <f t="shared" si="12"/>
        <v>63555.13854</v>
      </c>
      <c r="F221" s="41">
        <f t="shared" si="13"/>
        <v>2.1637284700497051E-3</v>
      </c>
      <c r="G221" s="42" t="s">
        <v>135</v>
      </c>
      <c r="H221" s="42" t="str">
        <f t="shared" si="14"/>
        <v/>
      </c>
      <c r="I221" s="42">
        <v>0.12</v>
      </c>
      <c r="J221" s="43">
        <f t="shared" si="15"/>
        <v>2.5964741640596462E-4</v>
      </c>
    </row>
    <row r="222" spans="1:10" ht="15" customHeight="1" x14ac:dyDescent="0.25">
      <c r="A222" s="38" t="s">
        <v>541</v>
      </c>
      <c r="B222" s="26" t="s">
        <v>542</v>
      </c>
      <c r="C222" s="39">
        <v>63.783999999999999</v>
      </c>
      <c r="D222" s="39">
        <v>297.26</v>
      </c>
      <c r="E222" s="40">
        <f t="shared" si="12"/>
        <v>18960.431839999997</v>
      </c>
      <c r="F222" s="41" t="str">
        <f t="shared" si="13"/>
        <v/>
      </c>
      <c r="G222" s="42" t="s">
        <v>135</v>
      </c>
      <c r="H222" s="42" t="str">
        <f t="shared" si="14"/>
        <v/>
      </c>
      <c r="I222" s="42">
        <v>0.23499999999999999</v>
      </c>
      <c r="J222" s="43" t="str">
        <f t="shared" si="15"/>
        <v/>
      </c>
    </row>
    <row r="223" spans="1:10" ht="15" customHeight="1" x14ac:dyDescent="0.25">
      <c r="A223" s="38" t="s">
        <v>543</v>
      </c>
      <c r="B223" s="26" t="s">
        <v>544</v>
      </c>
      <c r="C223" s="39">
        <v>315.63900000000001</v>
      </c>
      <c r="D223" s="39">
        <v>2792.99</v>
      </c>
      <c r="E223" s="40">
        <f t="shared" si="12"/>
        <v>881576.57060999994</v>
      </c>
      <c r="F223" s="41" t="str">
        <f t="shared" si="13"/>
        <v/>
      </c>
      <c r="G223" s="42" t="s">
        <v>135</v>
      </c>
      <c r="H223" s="42" t="str">
        <f t="shared" si="14"/>
        <v/>
      </c>
      <c r="I223" s="42">
        <v>0.23499999999999999</v>
      </c>
      <c r="J223" s="43" t="str">
        <f t="shared" si="15"/>
        <v/>
      </c>
    </row>
    <row r="224" spans="1:10" ht="15" customHeight="1" x14ac:dyDescent="0.25">
      <c r="A224" s="38" t="s">
        <v>543</v>
      </c>
      <c r="B224" s="26" t="s">
        <v>545</v>
      </c>
      <c r="C224" s="39">
        <v>300.755</v>
      </c>
      <c r="D224" s="39">
        <v>2781.35</v>
      </c>
      <c r="E224" s="40">
        <f t="shared" si="12"/>
        <v>836504.91924999992</v>
      </c>
      <c r="F224" s="41" t="str">
        <f t="shared" si="13"/>
        <v/>
      </c>
      <c r="G224" s="42" t="s">
        <v>135</v>
      </c>
      <c r="H224" s="42" t="str">
        <f t="shared" si="14"/>
        <v/>
      </c>
      <c r="I224" s="42" t="s">
        <v>135</v>
      </c>
      <c r="J224" s="43" t="str">
        <f t="shared" si="15"/>
        <v/>
      </c>
    </row>
    <row r="225" spans="1:10" ht="15" customHeight="1" x14ac:dyDescent="0.25">
      <c r="A225" s="38" t="s">
        <v>546</v>
      </c>
      <c r="B225" s="26" t="s">
        <v>547</v>
      </c>
      <c r="C225" s="39">
        <v>141.947</v>
      </c>
      <c r="D225" s="39">
        <v>126.02</v>
      </c>
      <c r="E225" s="40">
        <f t="shared" si="12"/>
        <v>17888.160940000002</v>
      </c>
      <c r="F225" s="41">
        <f t="shared" si="13"/>
        <v>6.0900068809304961E-4</v>
      </c>
      <c r="G225" s="42">
        <v>2.8408189176321222E-2</v>
      </c>
      <c r="H225" s="42">
        <f t="shared" si="14"/>
        <v>1.730060675585715E-5</v>
      </c>
      <c r="I225" s="42">
        <v>8.5000000000000006E-2</v>
      </c>
      <c r="J225" s="43">
        <f t="shared" si="15"/>
        <v>5.1765058487909221E-5</v>
      </c>
    </row>
    <row r="226" spans="1:10" ht="15" customHeight="1" x14ac:dyDescent="0.25">
      <c r="A226" s="38" t="s">
        <v>548</v>
      </c>
      <c r="B226" s="26" t="s">
        <v>549</v>
      </c>
      <c r="C226" s="39">
        <v>281.96800000000002</v>
      </c>
      <c r="D226" s="39">
        <v>136.84</v>
      </c>
      <c r="E226" s="40">
        <f t="shared" si="12"/>
        <v>38584.501120000001</v>
      </c>
      <c r="F226" s="41">
        <f t="shared" si="13"/>
        <v>1.3136055635133972E-3</v>
      </c>
      <c r="G226" s="42">
        <v>7.3078047354574686E-3</v>
      </c>
      <c r="H226" s="42">
        <f t="shared" si="14"/>
        <v>9.59957295756648E-6</v>
      </c>
      <c r="I226" s="42">
        <v>0.16500000000000001</v>
      </c>
      <c r="J226" s="43">
        <f t="shared" si="15"/>
        <v>2.1674491797971055E-4</v>
      </c>
    </row>
    <row r="227" spans="1:10" ht="15" customHeight="1" x14ac:dyDescent="0.25">
      <c r="A227" s="38" t="s">
        <v>550</v>
      </c>
      <c r="B227" s="26" t="s">
        <v>551</v>
      </c>
      <c r="C227" s="39">
        <v>192.78700000000001</v>
      </c>
      <c r="D227" s="39">
        <v>118.61</v>
      </c>
      <c r="E227" s="40">
        <f t="shared" si="12"/>
        <v>22866.466070000002</v>
      </c>
      <c r="F227" s="41">
        <f t="shared" si="13"/>
        <v>7.7848659890726428E-4</v>
      </c>
      <c r="G227" s="42">
        <v>2.4618497597167187E-2</v>
      </c>
      <c r="H227" s="42">
        <f t="shared" si="14"/>
        <v>1.9165170464625343E-5</v>
      </c>
      <c r="I227" s="42">
        <v>0.1</v>
      </c>
      <c r="J227" s="43">
        <f t="shared" si="15"/>
        <v>7.784865989072643E-5</v>
      </c>
    </row>
    <row r="228" spans="1:10" ht="15" customHeight="1" x14ac:dyDescent="0.25">
      <c r="A228" s="38" t="s">
        <v>552</v>
      </c>
      <c r="B228" s="26" t="s">
        <v>553</v>
      </c>
      <c r="C228" s="39">
        <v>341.85899999999998</v>
      </c>
      <c r="D228" s="39">
        <v>330.1</v>
      </c>
      <c r="E228" s="40">
        <f t="shared" si="12"/>
        <v>112847.6559</v>
      </c>
      <c r="F228" s="41">
        <f t="shared" si="13"/>
        <v>3.8418873982239386E-3</v>
      </c>
      <c r="G228" s="42">
        <v>2.4235080278703421E-2</v>
      </c>
      <c r="H228" s="42">
        <f t="shared" si="14"/>
        <v>9.3108449517696168E-5</v>
      </c>
      <c r="I228" s="42">
        <v>8.5000000000000006E-2</v>
      </c>
      <c r="J228" s="43">
        <f t="shared" si="15"/>
        <v>3.2656042884903483E-4</v>
      </c>
    </row>
    <row r="229" spans="1:10" ht="15" customHeight="1" x14ac:dyDescent="0.25">
      <c r="A229" s="38" t="s">
        <v>554</v>
      </c>
      <c r="B229" s="26" t="s">
        <v>555</v>
      </c>
      <c r="C229" s="39">
        <v>51.101999999999997</v>
      </c>
      <c r="D229" s="39">
        <v>515.79</v>
      </c>
      <c r="E229" s="40">
        <f t="shared" si="12"/>
        <v>26357.900579999998</v>
      </c>
      <c r="F229" s="41">
        <f t="shared" si="13"/>
        <v>8.9735214501643389E-4</v>
      </c>
      <c r="G229" s="42">
        <v>1.2563252486477057E-2</v>
      </c>
      <c r="H229" s="42">
        <f t="shared" si="14"/>
        <v>1.1273661567123234E-5</v>
      </c>
      <c r="I229" s="42">
        <v>7.0000000000000007E-2</v>
      </c>
      <c r="J229" s="43">
        <f t="shared" si="15"/>
        <v>6.2814650151150377E-5</v>
      </c>
    </row>
    <row r="230" spans="1:10" ht="15" customHeight="1" x14ac:dyDescent="0.25">
      <c r="A230" s="38" t="s">
        <v>556</v>
      </c>
      <c r="B230" s="26" t="s">
        <v>557</v>
      </c>
      <c r="C230" s="39">
        <v>898.572</v>
      </c>
      <c r="D230" s="39">
        <v>37.869999999999997</v>
      </c>
      <c r="E230" s="40">
        <f t="shared" si="12"/>
        <v>34028.92164</v>
      </c>
      <c r="F230" s="41">
        <f t="shared" si="13"/>
        <v>1.1585113060719402E-3</v>
      </c>
      <c r="G230" s="42">
        <v>1.2674940586216002E-2</v>
      </c>
      <c r="H230" s="42">
        <f t="shared" si="14"/>
        <v>1.4684061972921344E-5</v>
      </c>
      <c r="I230" s="42">
        <v>9.5000000000000001E-2</v>
      </c>
      <c r="J230" s="43">
        <f t="shared" si="15"/>
        <v>1.1005857407683432E-4</v>
      </c>
    </row>
    <row r="231" spans="1:10" ht="15" customHeight="1" x14ac:dyDescent="0.25">
      <c r="A231" s="38" t="s">
        <v>558</v>
      </c>
      <c r="B231" s="26" t="s">
        <v>559</v>
      </c>
      <c r="C231" s="39">
        <v>138.96</v>
      </c>
      <c r="D231" s="39">
        <v>81.92</v>
      </c>
      <c r="E231" s="40">
        <f t="shared" si="12"/>
        <v>11383.603200000001</v>
      </c>
      <c r="F231" s="41">
        <f t="shared" si="13"/>
        <v>3.8755365657942484E-4</v>
      </c>
      <c r="G231" s="42">
        <v>3.41796875E-2</v>
      </c>
      <c r="H231" s="42">
        <f t="shared" si="14"/>
        <v>1.3246462871367061E-5</v>
      </c>
      <c r="I231" s="42">
        <v>0.115</v>
      </c>
      <c r="J231" s="43">
        <f t="shared" si="15"/>
        <v>4.4568670506633862E-5</v>
      </c>
    </row>
    <row r="232" spans="1:10" ht="15" customHeight="1" x14ac:dyDescent="0.25">
      <c r="A232" s="38" t="s">
        <v>560</v>
      </c>
      <c r="B232" s="26" t="s">
        <v>561</v>
      </c>
      <c r="C232" s="39">
        <v>1444.827</v>
      </c>
      <c r="D232" s="39">
        <v>14.62</v>
      </c>
      <c r="E232" s="40">
        <f t="shared" si="12"/>
        <v>21123.370739999998</v>
      </c>
      <c r="F232" s="41">
        <f t="shared" si="13"/>
        <v>7.1914308903263868E-4</v>
      </c>
      <c r="G232" s="42">
        <v>4.240766073871409E-2</v>
      </c>
      <c r="H232" s="42">
        <f t="shared" si="14"/>
        <v>3.0497176142287001E-5</v>
      </c>
      <c r="I232" s="42">
        <v>0.12</v>
      </c>
      <c r="J232" s="43">
        <f t="shared" si="15"/>
        <v>8.6297170683916644E-5</v>
      </c>
    </row>
    <row r="233" spans="1:10" ht="15" customHeight="1" x14ac:dyDescent="0.25">
      <c r="A233" s="38" t="s">
        <v>562</v>
      </c>
      <c r="B233" s="26" t="s">
        <v>563</v>
      </c>
      <c r="C233" s="39">
        <v>302.01799999999997</v>
      </c>
      <c r="D233" s="39">
        <v>250.62</v>
      </c>
      <c r="E233" s="40">
        <f t="shared" si="12"/>
        <v>75691.75116</v>
      </c>
      <c r="F233" s="41">
        <f t="shared" si="13"/>
        <v>2.576918258619373E-3</v>
      </c>
      <c r="G233" s="42">
        <v>8.9378341712552881E-3</v>
      </c>
      <c r="H233" s="42">
        <f t="shared" si="14"/>
        <v>2.3032068068419905E-5</v>
      </c>
      <c r="I233" s="42">
        <v>0.125</v>
      </c>
      <c r="J233" s="43">
        <f t="shared" si="15"/>
        <v>3.2211478232742162E-4</v>
      </c>
    </row>
    <row r="234" spans="1:10" ht="15" customHeight="1" x14ac:dyDescent="0.25">
      <c r="A234" s="38" t="s">
        <v>564</v>
      </c>
      <c r="B234" s="26" t="s">
        <v>565</v>
      </c>
      <c r="C234" s="39">
        <v>1033.3499999999999</v>
      </c>
      <c r="D234" s="39">
        <v>299.33</v>
      </c>
      <c r="E234" s="40">
        <f t="shared" si="12"/>
        <v>309312.65549999994</v>
      </c>
      <c r="F234" s="41">
        <f t="shared" si="13"/>
        <v>1.0530519077238823E-2</v>
      </c>
      <c r="G234" s="42">
        <v>2.5390037750977184E-2</v>
      </c>
      <c r="H234" s="42">
        <f t="shared" si="14"/>
        <v>2.6737027690847912E-4</v>
      </c>
      <c r="I234" s="42">
        <v>0.1</v>
      </c>
      <c r="J234" s="43">
        <f t="shared" si="15"/>
        <v>1.0530519077238823E-3</v>
      </c>
    </row>
    <row r="235" spans="1:10" ht="15" customHeight="1" x14ac:dyDescent="0.25">
      <c r="A235" s="38" t="s">
        <v>566</v>
      </c>
      <c r="B235" s="26" t="s">
        <v>567</v>
      </c>
      <c r="C235" s="39">
        <v>309.74599999999998</v>
      </c>
      <c r="D235" s="39">
        <v>107.04</v>
      </c>
      <c r="E235" s="40">
        <f t="shared" si="12"/>
        <v>33155.211839999996</v>
      </c>
      <c r="F235" s="41" t="str">
        <f t="shared" si="13"/>
        <v/>
      </c>
      <c r="G235" s="42">
        <v>1.4013452914798205E-2</v>
      </c>
      <c r="H235" s="42" t="str">
        <f t="shared" si="14"/>
        <v/>
      </c>
      <c r="I235" s="42" t="s">
        <v>135</v>
      </c>
      <c r="J235" s="43" t="str">
        <f t="shared" si="15"/>
        <v/>
      </c>
    </row>
    <row r="236" spans="1:10" ht="15" customHeight="1" x14ac:dyDescent="0.25">
      <c r="A236" s="38" t="s">
        <v>568</v>
      </c>
      <c r="B236" s="26" t="s">
        <v>569</v>
      </c>
      <c r="C236" s="39">
        <v>331.64699999999999</v>
      </c>
      <c r="D236" s="39">
        <v>71.81</v>
      </c>
      <c r="E236" s="40">
        <f t="shared" si="12"/>
        <v>23815.571070000002</v>
      </c>
      <c r="F236" s="41">
        <f t="shared" si="13"/>
        <v>8.1079878572240343E-4</v>
      </c>
      <c r="G236" s="42">
        <v>2.1445481130761734E-2</v>
      </c>
      <c r="H236" s="42">
        <f t="shared" si="14"/>
        <v>1.7387970060054329E-5</v>
      </c>
      <c r="I236" s="42">
        <v>6.5000000000000002E-2</v>
      </c>
      <c r="J236" s="43">
        <f t="shared" si="15"/>
        <v>5.2701921071956223E-5</v>
      </c>
    </row>
    <row r="237" spans="1:10" ht="15" customHeight="1" x14ac:dyDescent="0.25">
      <c r="A237" s="38" t="s">
        <v>570</v>
      </c>
      <c r="B237" s="26" t="s">
        <v>571</v>
      </c>
      <c r="C237" s="39">
        <v>40.067</v>
      </c>
      <c r="D237" s="39">
        <v>199.44</v>
      </c>
      <c r="E237" s="40">
        <f t="shared" si="12"/>
        <v>7990.9624800000001</v>
      </c>
      <c r="F237" s="41">
        <f t="shared" si="13"/>
        <v>2.7205153537967564E-4</v>
      </c>
      <c r="G237" s="42">
        <v>2.3666265543521862E-2</v>
      </c>
      <c r="H237" s="42">
        <f t="shared" si="14"/>
        <v>6.4384438778182362E-6</v>
      </c>
      <c r="I237" s="42">
        <v>0.1</v>
      </c>
      <c r="J237" s="43">
        <f t="shared" si="15"/>
        <v>2.7205153537967565E-5</v>
      </c>
    </row>
    <row r="238" spans="1:10" ht="15" customHeight="1" x14ac:dyDescent="0.25">
      <c r="A238" s="38" t="s">
        <v>572</v>
      </c>
      <c r="B238" s="26" t="s">
        <v>573</v>
      </c>
      <c r="C238" s="39">
        <v>279.13900000000001</v>
      </c>
      <c r="D238" s="39">
        <v>151.74</v>
      </c>
      <c r="E238" s="40">
        <f t="shared" si="12"/>
        <v>42356.551860000007</v>
      </c>
      <c r="F238" s="41" t="str">
        <f t="shared" si="13"/>
        <v/>
      </c>
      <c r="G238" s="42" t="s">
        <v>135</v>
      </c>
      <c r="H238" s="42" t="str">
        <f t="shared" si="14"/>
        <v/>
      </c>
      <c r="I238" s="42" t="s">
        <v>135</v>
      </c>
      <c r="J238" s="43" t="str">
        <f t="shared" si="15"/>
        <v/>
      </c>
    </row>
    <row r="239" spans="1:10" ht="15" customHeight="1" x14ac:dyDescent="0.25">
      <c r="A239" s="38" t="s">
        <v>574</v>
      </c>
      <c r="B239" s="26" t="s">
        <v>575</v>
      </c>
      <c r="C239" s="39">
        <v>251.303</v>
      </c>
      <c r="D239" s="39">
        <v>76.819999999999993</v>
      </c>
      <c r="E239" s="40">
        <f t="shared" si="12"/>
        <v>19305.096459999997</v>
      </c>
      <c r="F239" s="41" t="str">
        <f t="shared" si="13"/>
        <v/>
      </c>
      <c r="G239" s="42" t="s">
        <v>135</v>
      </c>
      <c r="H239" s="42" t="str">
        <f t="shared" si="14"/>
        <v/>
      </c>
      <c r="I239" s="42">
        <v>0.25</v>
      </c>
      <c r="J239" s="43" t="str">
        <f t="shared" si="15"/>
        <v/>
      </c>
    </row>
    <row r="240" spans="1:10" ht="15" customHeight="1" x14ac:dyDescent="0.25">
      <c r="A240" s="38" t="s">
        <v>576</v>
      </c>
      <c r="B240" s="26" t="s">
        <v>577</v>
      </c>
      <c r="C240" s="39">
        <v>685.48199999999997</v>
      </c>
      <c r="D240" s="39">
        <v>194.58</v>
      </c>
      <c r="E240" s="40">
        <f t="shared" si="12"/>
        <v>133381.08756000001</v>
      </c>
      <c r="F240" s="41">
        <f t="shared" si="13"/>
        <v>4.54094606902834E-3</v>
      </c>
      <c r="G240" s="42">
        <v>2.0145955391098775E-2</v>
      </c>
      <c r="H240" s="42">
        <f t="shared" si="14"/>
        <v>9.1481696940030278E-5</v>
      </c>
      <c r="I240" s="42">
        <v>0.11</v>
      </c>
      <c r="J240" s="43">
        <f t="shared" si="15"/>
        <v>4.9950406759311742E-4</v>
      </c>
    </row>
    <row r="241" spans="1:10" ht="15" customHeight="1" x14ac:dyDescent="0.25">
      <c r="A241" s="38" t="s">
        <v>578</v>
      </c>
      <c r="B241" s="26" t="s">
        <v>579</v>
      </c>
      <c r="C241" s="39">
        <v>1300.136</v>
      </c>
      <c r="D241" s="39">
        <v>16.71</v>
      </c>
      <c r="E241" s="40">
        <f t="shared" si="12"/>
        <v>21725.272560000001</v>
      </c>
      <c r="F241" s="41">
        <f t="shared" si="13"/>
        <v>7.3963477757311871E-4</v>
      </c>
      <c r="G241" s="42">
        <v>2.8725314183123875E-2</v>
      </c>
      <c r="H241" s="42">
        <f t="shared" si="14"/>
        <v>2.1246241366552778E-5</v>
      </c>
      <c r="I241" s="42">
        <v>6.5000000000000002E-2</v>
      </c>
      <c r="J241" s="43">
        <f t="shared" si="15"/>
        <v>4.8076260542252715E-5</v>
      </c>
    </row>
    <row r="242" spans="1:10" ht="15" customHeight="1" x14ac:dyDescent="0.25">
      <c r="A242" s="38" t="s">
        <v>580</v>
      </c>
      <c r="B242" s="26" t="s">
        <v>581</v>
      </c>
      <c r="C242" s="39">
        <v>1053.366</v>
      </c>
      <c r="D242" s="39">
        <v>36.299999999999997</v>
      </c>
      <c r="E242" s="40">
        <f t="shared" si="12"/>
        <v>38237.185799999999</v>
      </c>
      <c r="F242" s="41">
        <f t="shared" si="13"/>
        <v>1.3017812474434157E-3</v>
      </c>
      <c r="G242" s="42">
        <v>2.7548209366391185E-2</v>
      </c>
      <c r="H242" s="42">
        <f t="shared" si="14"/>
        <v>3.5861742353813107E-5</v>
      </c>
      <c r="I242" s="42">
        <v>0.155</v>
      </c>
      <c r="J242" s="43">
        <f t="shared" si="15"/>
        <v>2.0177609335372942E-4</v>
      </c>
    </row>
    <row r="243" spans="1:10" ht="15" customHeight="1" x14ac:dyDescent="0.25">
      <c r="A243" s="38" t="s">
        <v>582</v>
      </c>
      <c r="B243" s="26" t="s">
        <v>583</v>
      </c>
      <c r="C243" s="39">
        <v>544.99800000000005</v>
      </c>
      <c r="D243" s="39">
        <v>51.54</v>
      </c>
      <c r="E243" s="40">
        <f t="shared" si="12"/>
        <v>28089.196920000002</v>
      </c>
      <c r="F243" s="41">
        <f t="shared" si="13"/>
        <v>9.5629395943153735E-4</v>
      </c>
      <c r="G243" s="42">
        <v>2.0178502134264649E-2</v>
      </c>
      <c r="H243" s="42">
        <f t="shared" si="14"/>
        <v>1.9296579701373669E-5</v>
      </c>
      <c r="I243" s="42">
        <v>6.5000000000000002E-2</v>
      </c>
      <c r="J243" s="43">
        <f t="shared" si="15"/>
        <v>6.2159107363049927E-5</v>
      </c>
    </row>
    <row r="244" spans="1:10" ht="15" customHeight="1" x14ac:dyDescent="0.25">
      <c r="A244" s="38" t="s">
        <v>584</v>
      </c>
      <c r="B244" s="26" t="s">
        <v>585</v>
      </c>
      <c r="C244" s="39">
        <v>137.173</v>
      </c>
      <c r="D244" s="39">
        <v>87.19</v>
      </c>
      <c r="E244" s="40">
        <f t="shared" si="12"/>
        <v>11960.113869999999</v>
      </c>
      <c r="F244" s="41">
        <f t="shared" si="13"/>
        <v>4.0718090590374719E-4</v>
      </c>
      <c r="G244" s="42" t="s">
        <v>135</v>
      </c>
      <c r="H244" s="42" t="str">
        <f t="shared" si="14"/>
        <v/>
      </c>
      <c r="I244" s="42">
        <v>7.0000000000000007E-2</v>
      </c>
      <c r="J244" s="43">
        <f t="shared" si="15"/>
        <v>2.8502663413262306E-5</v>
      </c>
    </row>
    <row r="245" spans="1:10" ht="15" customHeight="1" x14ac:dyDescent="0.25">
      <c r="A245" s="38" t="s">
        <v>586</v>
      </c>
      <c r="B245" s="26" t="s">
        <v>587</v>
      </c>
      <c r="C245" s="39">
        <v>714.15</v>
      </c>
      <c r="D245" s="39">
        <v>19.43</v>
      </c>
      <c r="E245" s="40">
        <f t="shared" si="12"/>
        <v>13875.934499999999</v>
      </c>
      <c r="F245" s="41">
        <f t="shared" si="13"/>
        <v>4.7240483170843416E-4</v>
      </c>
      <c r="G245" s="42">
        <v>6.1760164693772518E-3</v>
      </c>
      <c r="H245" s="42">
        <f t="shared" si="14"/>
        <v>2.9175800208446784E-6</v>
      </c>
      <c r="I245" s="42">
        <v>8.5000000000000006E-2</v>
      </c>
      <c r="J245" s="43">
        <f t="shared" si="15"/>
        <v>4.0154410695216905E-5</v>
      </c>
    </row>
    <row r="246" spans="1:10" ht="15" customHeight="1" x14ac:dyDescent="0.25">
      <c r="A246" s="38" t="s">
        <v>588</v>
      </c>
      <c r="B246" s="26" t="s">
        <v>589</v>
      </c>
      <c r="C246" s="39">
        <v>145.62799999999999</v>
      </c>
      <c r="D246" s="39">
        <v>216.63</v>
      </c>
      <c r="E246" s="40">
        <f t="shared" si="12"/>
        <v>31547.393639999995</v>
      </c>
      <c r="F246" s="41">
        <f t="shared" si="13"/>
        <v>1.0740279282338732E-3</v>
      </c>
      <c r="G246" s="42">
        <v>1.6636661588884275E-2</v>
      </c>
      <c r="H246" s="42">
        <f t="shared" si="14"/>
        <v>1.7868239179037435E-5</v>
      </c>
      <c r="I246" s="42">
        <v>0.06</v>
      </c>
      <c r="J246" s="43">
        <f t="shared" si="15"/>
        <v>6.4441675694032385E-5</v>
      </c>
    </row>
    <row r="247" spans="1:10" ht="15" customHeight="1" x14ac:dyDescent="0.25">
      <c r="A247" s="38" t="s">
        <v>590</v>
      </c>
      <c r="B247" s="26" t="s">
        <v>591</v>
      </c>
      <c r="C247" s="39">
        <v>126.74299999999999</v>
      </c>
      <c r="D247" s="39">
        <v>435.17</v>
      </c>
      <c r="E247" s="40">
        <f t="shared" si="12"/>
        <v>55154.75131</v>
      </c>
      <c r="F247" s="41">
        <f t="shared" si="13"/>
        <v>1.877738109135719E-3</v>
      </c>
      <c r="G247" s="42">
        <v>7.2385504515476706E-3</v>
      </c>
      <c r="H247" s="42">
        <f t="shared" si="14"/>
        <v>1.3592102037772628E-5</v>
      </c>
      <c r="I247" s="42">
        <v>0.12</v>
      </c>
      <c r="J247" s="43">
        <f t="shared" si="15"/>
        <v>2.2532857309628628E-4</v>
      </c>
    </row>
    <row r="248" spans="1:10" ht="15" customHeight="1" x14ac:dyDescent="0.25">
      <c r="A248" s="38" t="s">
        <v>592</v>
      </c>
      <c r="B248" s="26" t="s">
        <v>593</v>
      </c>
      <c r="C248" s="39">
        <v>418.90499999999997</v>
      </c>
      <c r="D248" s="39">
        <v>35.94</v>
      </c>
      <c r="E248" s="40">
        <f t="shared" si="12"/>
        <v>15055.445699999998</v>
      </c>
      <c r="F248" s="41">
        <f t="shared" si="13"/>
        <v>5.1256117504763147E-4</v>
      </c>
      <c r="G248" s="42">
        <v>2.2259321090706734E-3</v>
      </c>
      <c r="H248" s="42">
        <f t="shared" si="14"/>
        <v>1.1409263774015169E-6</v>
      </c>
      <c r="I248" s="42">
        <v>0.125</v>
      </c>
      <c r="J248" s="43">
        <f t="shared" si="15"/>
        <v>6.4070146880953934E-5</v>
      </c>
    </row>
    <row r="249" spans="1:10" ht="15" customHeight="1" x14ac:dyDescent="0.25">
      <c r="A249" s="38" t="s">
        <v>594</v>
      </c>
      <c r="B249" s="26" t="s">
        <v>595</v>
      </c>
      <c r="C249" s="39">
        <v>899.31</v>
      </c>
      <c r="D249" s="39">
        <v>130.02000000000001</v>
      </c>
      <c r="E249" s="40">
        <f t="shared" si="12"/>
        <v>116928.2862</v>
      </c>
      <c r="F249" s="41">
        <f t="shared" si="13"/>
        <v>3.9808120573260582E-3</v>
      </c>
      <c r="G249" s="42">
        <v>5.0453776342101214E-2</v>
      </c>
      <c r="H249" s="42">
        <f t="shared" si="14"/>
        <v>2.0084700120026874E-4</v>
      </c>
      <c r="I249" s="42">
        <v>5.0000000000000001E-3</v>
      </c>
      <c r="J249" s="43">
        <f t="shared" si="15"/>
        <v>1.990406028663029E-5</v>
      </c>
    </row>
    <row r="250" spans="1:10" ht="15" customHeight="1" x14ac:dyDescent="0.25">
      <c r="A250" s="38" t="s">
        <v>596</v>
      </c>
      <c r="B250" s="26" t="s">
        <v>597</v>
      </c>
      <c r="C250" s="39">
        <v>560.43600000000004</v>
      </c>
      <c r="D250" s="39">
        <v>132.12</v>
      </c>
      <c r="E250" s="40">
        <f t="shared" si="12"/>
        <v>74044.80432000001</v>
      </c>
      <c r="F250" s="41">
        <f t="shared" si="13"/>
        <v>2.5208481146746222E-3</v>
      </c>
      <c r="G250" s="42">
        <v>1.1504692703602786E-2</v>
      </c>
      <c r="H250" s="42">
        <f t="shared" si="14"/>
        <v>2.9001582911787967E-5</v>
      </c>
      <c r="I250" s="42">
        <v>0.08</v>
      </c>
      <c r="J250" s="43">
        <f t="shared" si="15"/>
        <v>2.0166784917396979E-4</v>
      </c>
    </row>
    <row r="251" spans="1:10" ht="15" customHeight="1" x14ac:dyDescent="0.25">
      <c r="A251" s="38" t="s">
        <v>598</v>
      </c>
      <c r="B251" s="26" t="s">
        <v>599</v>
      </c>
      <c r="C251" s="39">
        <v>84.248999999999995</v>
      </c>
      <c r="D251" s="39">
        <v>547.05999999999995</v>
      </c>
      <c r="E251" s="40">
        <f t="shared" si="12"/>
        <v>46089.257939999996</v>
      </c>
      <c r="F251" s="41">
        <f t="shared" si="13"/>
        <v>1.5691042747940553E-3</v>
      </c>
      <c r="G251" s="42" t="s">
        <v>135</v>
      </c>
      <c r="H251" s="42" t="str">
        <f t="shared" si="14"/>
        <v/>
      </c>
      <c r="I251" s="42">
        <v>0.14000000000000001</v>
      </c>
      <c r="J251" s="43">
        <f t="shared" si="15"/>
        <v>2.1967459847116778E-4</v>
      </c>
    </row>
    <row r="252" spans="1:10" ht="15" customHeight="1" x14ac:dyDescent="0.25">
      <c r="A252" s="38" t="s">
        <v>600</v>
      </c>
      <c r="B252" s="26" t="s">
        <v>601</v>
      </c>
      <c r="C252" s="39">
        <v>76.105000000000004</v>
      </c>
      <c r="D252" s="39">
        <v>191.73</v>
      </c>
      <c r="E252" s="40">
        <f t="shared" si="12"/>
        <v>14591.611650000001</v>
      </c>
      <c r="F252" s="41">
        <f t="shared" si="13"/>
        <v>4.9676999022106063E-4</v>
      </c>
      <c r="G252" s="42">
        <v>1.1265842591143797E-2</v>
      </c>
      <c r="H252" s="42">
        <f t="shared" si="14"/>
        <v>5.5965325138345123E-6</v>
      </c>
      <c r="I252" s="42">
        <v>0.08</v>
      </c>
      <c r="J252" s="43">
        <f t="shared" si="15"/>
        <v>3.9741599217684848E-5</v>
      </c>
    </row>
    <row r="253" spans="1:10" ht="15" customHeight="1" x14ac:dyDescent="0.25">
      <c r="A253" s="38" t="s">
        <v>602</v>
      </c>
      <c r="B253" s="26" t="s">
        <v>603</v>
      </c>
      <c r="C253" s="39">
        <v>254.745</v>
      </c>
      <c r="D253" s="39">
        <v>131.33000000000001</v>
      </c>
      <c r="E253" s="40">
        <f t="shared" si="12"/>
        <v>33455.66085</v>
      </c>
      <c r="F253" s="41">
        <f t="shared" si="13"/>
        <v>1.1389946985940803E-3</v>
      </c>
      <c r="G253" s="42">
        <v>2.4061524404172693E-2</v>
      </c>
      <c r="H253" s="42">
        <f t="shared" si="14"/>
        <v>2.7405948736444782E-5</v>
      </c>
      <c r="I253" s="42">
        <v>7.0000000000000007E-2</v>
      </c>
      <c r="J253" s="43">
        <f t="shared" si="15"/>
        <v>7.972962890158563E-5</v>
      </c>
    </row>
    <row r="254" spans="1:10" ht="15" customHeight="1" x14ac:dyDescent="0.25">
      <c r="A254" s="38" t="s">
        <v>604</v>
      </c>
      <c r="B254" s="26" t="s">
        <v>605</v>
      </c>
      <c r="C254" s="39">
        <v>157.07499999999999</v>
      </c>
      <c r="D254" s="39">
        <v>349.4</v>
      </c>
      <c r="E254" s="40">
        <f t="shared" si="12"/>
        <v>54882.00499999999</v>
      </c>
      <c r="F254" s="41">
        <f t="shared" si="13"/>
        <v>1.8684524877114719E-3</v>
      </c>
      <c r="G254" s="42" t="s">
        <v>135</v>
      </c>
      <c r="H254" s="42" t="str">
        <f t="shared" si="14"/>
        <v/>
      </c>
      <c r="I254" s="42">
        <v>0.1</v>
      </c>
      <c r="J254" s="43">
        <f t="shared" si="15"/>
        <v>1.868452487711472E-4</v>
      </c>
    </row>
    <row r="255" spans="1:10" ht="15" customHeight="1" x14ac:dyDescent="0.25">
      <c r="A255" s="38" t="s">
        <v>606</v>
      </c>
      <c r="B255" s="26" t="s">
        <v>607</v>
      </c>
      <c r="C255" s="39">
        <v>221.32499999999999</v>
      </c>
      <c r="D255" s="39">
        <v>79.42</v>
      </c>
      <c r="E255" s="40">
        <f t="shared" si="12"/>
        <v>17577.6315</v>
      </c>
      <c r="F255" s="41" t="str">
        <f t="shared" si="13"/>
        <v/>
      </c>
      <c r="G255" s="42" t="s">
        <v>135</v>
      </c>
      <c r="H255" s="42" t="str">
        <f t="shared" si="14"/>
        <v/>
      </c>
      <c r="I255" s="42">
        <v>0.255</v>
      </c>
      <c r="J255" s="43" t="str">
        <f t="shared" si="15"/>
        <v/>
      </c>
    </row>
    <row r="256" spans="1:10" ht="15" customHeight="1" x14ac:dyDescent="0.25">
      <c r="A256" s="38" t="s">
        <v>608</v>
      </c>
      <c r="B256" s="26" t="s">
        <v>609</v>
      </c>
      <c r="C256" s="39">
        <v>4088.6959999999999</v>
      </c>
      <c r="D256" s="39">
        <v>49.56</v>
      </c>
      <c r="E256" s="40">
        <f t="shared" si="12"/>
        <v>202635.77376000001</v>
      </c>
      <c r="F256" s="41">
        <f t="shared" si="13"/>
        <v>6.8987150812221797E-3</v>
      </c>
      <c r="G256" s="42">
        <v>2.9459241323648102E-2</v>
      </c>
      <c r="H256" s="42">
        <f t="shared" si="14"/>
        <v>2.032309124008148E-4</v>
      </c>
      <c r="I256" s="42">
        <v>0.06</v>
      </c>
      <c r="J256" s="43">
        <f t="shared" si="15"/>
        <v>4.1392290487333078E-4</v>
      </c>
    </row>
    <row r="257" spans="1:10" ht="15" customHeight="1" x14ac:dyDescent="0.25">
      <c r="A257" s="38" t="s">
        <v>610</v>
      </c>
      <c r="B257" s="26" t="s">
        <v>611</v>
      </c>
      <c r="C257" s="39">
        <v>282.81200000000001</v>
      </c>
      <c r="D257" s="39">
        <v>480.84</v>
      </c>
      <c r="E257" s="40">
        <f t="shared" si="12"/>
        <v>135987.32208000001</v>
      </c>
      <c r="F257" s="41">
        <f t="shared" si="13"/>
        <v>4.6296750681320267E-3</v>
      </c>
      <c r="G257" s="42">
        <v>5.6567673238499287E-3</v>
      </c>
      <c r="H257" s="42">
        <f t="shared" si="14"/>
        <v>2.618899464545194E-5</v>
      </c>
      <c r="I257" s="42">
        <v>0.185</v>
      </c>
      <c r="J257" s="43">
        <f t="shared" si="15"/>
        <v>8.5648988760442496E-4</v>
      </c>
    </row>
    <row r="258" spans="1:10" ht="15" customHeight="1" x14ac:dyDescent="0.25">
      <c r="A258" s="38" t="s">
        <v>612</v>
      </c>
      <c r="B258" s="26" t="s">
        <v>613</v>
      </c>
      <c r="C258" s="39">
        <v>374.88799999999998</v>
      </c>
      <c r="D258" s="39">
        <v>46.15</v>
      </c>
      <c r="E258" s="40">
        <f t="shared" si="12"/>
        <v>17301.081199999997</v>
      </c>
      <c r="F258" s="41">
        <f t="shared" si="13"/>
        <v>5.8901361581520535E-4</v>
      </c>
      <c r="G258" s="42">
        <v>4.0086673889490797E-2</v>
      </c>
      <c r="H258" s="42">
        <f t="shared" si="14"/>
        <v>2.3611596733653957E-5</v>
      </c>
      <c r="I258" s="42">
        <v>0.125</v>
      </c>
      <c r="J258" s="43">
        <f t="shared" si="15"/>
        <v>7.3626701976900669E-5</v>
      </c>
    </row>
    <row r="259" spans="1:10" ht="15" customHeight="1" x14ac:dyDescent="0.25">
      <c r="A259" s="38" t="s">
        <v>614</v>
      </c>
      <c r="B259" s="26" t="s">
        <v>615</v>
      </c>
      <c r="C259" s="39">
        <v>393.96</v>
      </c>
      <c r="D259" s="39">
        <v>35.450000000000003</v>
      </c>
      <c r="E259" s="40">
        <f t="shared" si="12"/>
        <v>13965.882</v>
      </c>
      <c r="F259" s="41">
        <f t="shared" si="13"/>
        <v>4.7546708554078646E-4</v>
      </c>
      <c r="G259" s="42">
        <v>3.272214386459802E-2</v>
      </c>
      <c r="H259" s="42">
        <f t="shared" si="14"/>
        <v>1.5558302375946746E-5</v>
      </c>
      <c r="I259" s="42">
        <v>0.12</v>
      </c>
      <c r="J259" s="43">
        <f t="shared" si="15"/>
        <v>5.7056050264894369E-5</v>
      </c>
    </row>
    <row r="260" spans="1:10" ht="15" customHeight="1" x14ac:dyDescent="0.25">
      <c r="A260" s="38" t="s">
        <v>616</v>
      </c>
      <c r="B260" s="26" t="s">
        <v>617</v>
      </c>
      <c r="C260" s="39">
        <v>52.939</v>
      </c>
      <c r="D260" s="39">
        <v>109.76</v>
      </c>
      <c r="E260" s="40">
        <f t="shared" si="12"/>
        <v>5810.58464</v>
      </c>
      <c r="F260" s="41">
        <f t="shared" si="13"/>
        <v>1.9782078525859377E-4</v>
      </c>
      <c r="G260" s="42" t="s">
        <v>135</v>
      </c>
      <c r="H260" s="42" t="str">
        <f t="shared" si="14"/>
        <v/>
      </c>
      <c r="I260" s="42">
        <v>0.17</v>
      </c>
      <c r="J260" s="43">
        <f t="shared" si="15"/>
        <v>3.3629533493960942E-5</v>
      </c>
    </row>
    <row r="261" spans="1:10" ht="15" customHeight="1" x14ac:dyDescent="0.25">
      <c r="A261" s="38" t="s">
        <v>618</v>
      </c>
      <c r="B261" s="26" t="s">
        <v>619</v>
      </c>
      <c r="C261" s="39">
        <v>190.91200000000001</v>
      </c>
      <c r="D261" s="39">
        <v>231.21</v>
      </c>
      <c r="E261" s="40">
        <f t="shared" si="12"/>
        <v>44140.76352</v>
      </c>
      <c r="F261" s="41">
        <f t="shared" si="13"/>
        <v>1.5027679730073237E-3</v>
      </c>
      <c r="G261" s="42" t="s">
        <v>135</v>
      </c>
      <c r="H261" s="42" t="str">
        <f t="shared" si="14"/>
        <v/>
      </c>
      <c r="I261" s="42">
        <v>0.14499999999999999</v>
      </c>
      <c r="J261" s="43">
        <f t="shared" si="15"/>
        <v>2.1790135608606192E-4</v>
      </c>
    </row>
    <row r="262" spans="1:10" ht="15" customHeight="1" x14ac:dyDescent="0.25">
      <c r="A262" s="38" t="s">
        <v>620</v>
      </c>
      <c r="B262" s="26" t="s">
        <v>621</v>
      </c>
      <c r="C262" s="39">
        <v>407.96800000000002</v>
      </c>
      <c r="D262" s="39">
        <v>50.35</v>
      </c>
      <c r="E262" s="40">
        <f t="shared" si="12"/>
        <v>20541.1888</v>
      </c>
      <c r="F262" s="41" t="str">
        <f t="shared" si="13"/>
        <v/>
      </c>
      <c r="G262" s="42">
        <v>1.5888778550148957E-3</v>
      </c>
      <c r="H262" s="42" t="str">
        <f t="shared" si="14"/>
        <v/>
      </c>
      <c r="I262" s="42" t="s">
        <v>135</v>
      </c>
      <c r="J262" s="43" t="str">
        <f t="shared" si="15"/>
        <v/>
      </c>
    </row>
    <row r="263" spans="1:10" ht="15" customHeight="1" x14ac:dyDescent="0.25">
      <c r="A263" s="38" t="s">
        <v>622</v>
      </c>
      <c r="B263" s="26" t="s">
        <v>623</v>
      </c>
      <c r="C263" s="39">
        <v>289.83</v>
      </c>
      <c r="D263" s="39">
        <v>55.41</v>
      </c>
      <c r="E263" s="40">
        <f t="shared" si="12"/>
        <v>16059.480299999997</v>
      </c>
      <c r="F263" s="41">
        <f t="shared" si="13"/>
        <v>5.4674343471759778E-4</v>
      </c>
      <c r="G263" s="42">
        <v>4.4648980328460576E-2</v>
      </c>
      <c r="H263" s="42">
        <f t="shared" si="14"/>
        <v>2.4411536861420991E-5</v>
      </c>
      <c r="I263" s="42">
        <v>0.1</v>
      </c>
      <c r="J263" s="43">
        <f t="shared" si="15"/>
        <v>5.4674343471759781E-5</v>
      </c>
    </row>
    <row r="264" spans="1:10" ht="15" customHeight="1" x14ac:dyDescent="0.25">
      <c r="A264" s="38" t="s">
        <v>624</v>
      </c>
      <c r="B264" s="26" t="s">
        <v>625</v>
      </c>
      <c r="C264" s="39">
        <v>359.19499999999999</v>
      </c>
      <c r="D264" s="39">
        <v>301.68</v>
      </c>
      <c r="E264" s="40">
        <f t="shared" si="12"/>
        <v>108361.9476</v>
      </c>
      <c r="F264" s="41">
        <f t="shared" si="13"/>
        <v>3.6891718982657467E-3</v>
      </c>
      <c r="G264" s="42" t="s">
        <v>135</v>
      </c>
      <c r="H264" s="42" t="str">
        <f t="shared" si="14"/>
        <v/>
      </c>
      <c r="I264" s="42">
        <v>0.13</v>
      </c>
      <c r="J264" s="43">
        <f t="shared" si="15"/>
        <v>4.795923467745471E-4</v>
      </c>
    </row>
    <row r="265" spans="1:10" ht="15" customHeight="1" x14ac:dyDescent="0.25">
      <c r="A265" s="38" t="s">
        <v>626</v>
      </c>
      <c r="B265" s="26" t="s">
        <v>627</v>
      </c>
      <c r="C265" s="39">
        <v>82.287000000000006</v>
      </c>
      <c r="D265" s="39">
        <v>297.45999999999998</v>
      </c>
      <c r="E265" s="40">
        <f t="shared" si="12"/>
        <v>24477.09102</v>
      </c>
      <c r="F265" s="41" t="str">
        <f t="shared" si="13"/>
        <v/>
      </c>
      <c r="G265" s="42" t="s">
        <v>135</v>
      </c>
      <c r="H265" s="42" t="str">
        <f t="shared" si="14"/>
        <v/>
      </c>
      <c r="I265" s="42">
        <v>0.20499999999999999</v>
      </c>
      <c r="J265" s="43" t="str">
        <f t="shared" si="15"/>
        <v/>
      </c>
    </row>
    <row r="266" spans="1:10" ht="15" customHeight="1" x14ac:dyDescent="0.25">
      <c r="A266" s="38" t="s">
        <v>628</v>
      </c>
      <c r="B266" s="26" t="s">
        <v>629</v>
      </c>
      <c r="C266" s="39">
        <v>311.89999999999998</v>
      </c>
      <c r="D266" s="39">
        <v>209.4</v>
      </c>
      <c r="E266" s="40">
        <f t="shared" si="12"/>
        <v>65311.86</v>
      </c>
      <c r="F266" s="41">
        <f t="shared" si="13"/>
        <v>2.2235358801862906E-3</v>
      </c>
      <c r="G266" s="42">
        <v>2.3304680038204392E-2</v>
      </c>
      <c r="H266" s="42">
        <f t="shared" si="14"/>
        <v>5.1818792241208682E-5</v>
      </c>
      <c r="I266" s="42">
        <v>0.11</v>
      </c>
      <c r="J266" s="43">
        <f t="shared" si="15"/>
        <v>2.4458894682049197E-4</v>
      </c>
    </row>
    <row r="267" spans="1:10" ht="15" customHeight="1" x14ac:dyDescent="0.25">
      <c r="A267" s="38" t="s">
        <v>630</v>
      </c>
      <c r="B267" s="26" t="s">
        <v>631</v>
      </c>
      <c r="C267" s="39">
        <v>454.96199999999999</v>
      </c>
      <c r="D267" s="39">
        <v>23.06</v>
      </c>
      <c r="E267" s="40">
        <f t="shared" si="12"/>
        <v>10491.423719999999</v>
      </c>
      <c r="F267" s="41">
        <f t="shared" si="13"/>
        <v>3.5717949352012825E-4</v>
      </c>
      <c r="G267" s="42">
        <v>2.9488291413703387E-2</v>
      </c>
      <c r="H267" s="42">
        <f t="shared" si="14"/>
        <v>1.0532612991920522E-5</v>
      </c>
      <c r="I267" s="42">
        <v>0.155</v>
      </c>
      <c r="J267" s="43">
        <f t="shared" si="15"/>
        <v>5.5362821495619877E-5</v>
      </c>
    </row>
    <row r="268" spans="1:10" ht="15" customHeight="1" x14ac:dyDescent="0.25">
      <c r="A268" s="38" t="s">
        <v>632</v>
      </c>
      <c r="B268" s="26" t="s">
        <v>633</v>
      </c>
      <c r="C268" s="39">
        <v>129.21700000000001</v>
      </c>
      <c r="D268" s="39">
        <v>137.81</v>
      </c>
      <c r="E268" s="40">
        <f t="shared" si="12"/>
        <v>17807.394770000003</v>
      </c>
      <c r="F268" s="41">
        <f t="shared" si="13"/>
        <v>6.0625101174176786E-4</v>
      </c>
      <c r="G268" s="42">
        <v>6.6758580654524349E-3</v>
      </c>
      <c r="H268" s="42">
        <f t="shared" si="14"/>
        <v>4.0472457064249797E-6</v>
      </c>
      <c r="I268" s="42">
        <v>0.15</v>
      </c>
      <c r="J268" s="43">
        <f t="shared" si="15"/>
        <v>9.093765176126517E-5</v>
      </c>
    </row>
    <row r="269" spans="1:10" ht="15" customHeight="1" x14ac:dyDescent="0.25">
      <c r="A269" s="38" t="s">
        <v>634</v>
      </c>
      <c r="B269" s="26" t="s">
        <v>635</v>
      </c>
      <c r="C269" s="39">
        <v>104.85</v>
      </c>
      <c r="D269" s="39">
        <v>200.79</v>
      </c>
      <c r="E269" s="40">
        <f t="shared" si="12"/>
        <v>21052.831499999997</v>
      </c>
      <c r="F269" s="41">
        <f t="shared" si="13"/>
        <v>7.1674158751207134E-4</v>
      </c>
      <c r="G269" s="42">
        <v>7.9685243289008417E-3</v>
      </c>
      <c r="H269" s="42">
        <f t="shared" si="14"/>
        <v>5.7113727776249518E-6</v>
      </c>
      <c r="I269" s="42">
        <v>0.11</v>
      </c>
      <c r="J269" s="43">
        <f t="shared" si="15"/>
        <v>7.8841574626327843E-5</v>
      </c>
    </row>
    <row r="270" spans="1:10" ht="15" customHeight="1" x14ac:dyDescent="0.25">
      <c r="A270" s="38" t="s">
        <v>636</v>
      </c>
      <c r="B270" s="26" t="s">
        <v>637</v>
      </c>
      <c r="C270" s="39">
        <v>702.62699999999995</v>
      </c>
      <c r="D270" s="39">
        <v>65.569999999999993</v>
      </c>
      <c r="E270" s="40">
        <f t="shared" si="12"/>
        <v>46071.252389999994</v>
      </c>
      <c r="F270" s="41">
        <f t="shared" si="13"/>
        <v>1.568491277606906E-3</v>
      </c>
      <c r="G270" s="42">
        <v>2.1351227695592497E-2</v>
      </c>
      <c r="H270" s="42">
        <f t="shared" si="14"/>
        <v>3.3489214406735832E-5</v>
      </c>
      <c r="I270" s="42">
        <v>0.14000000000000001</v>
      </c>
      <c r="J270" s="43">
        <f t="shared" si="15"/>
        <v>2.1958877886496685E-4</v>
      </c>
    </row>
    <row r="271" spans="1:10" ht="15" customHeight="1" x14ac:dyDescent="0.25">
      <c r="A271" s="38" t="s">
        <v>638</v>
      </c>
      <c r="B271" s="26" t="s">
        <v>639</v>
      </c>
      <c r="C271" s="39">
        <v>72.825000000000003</v>
      </c>
      <c r="D271" s="39">
        <v>197.05</v>
      </c>
      <c r="E271" s="40">
        <f t="shared" si="12"/>
        <v>14350.166250000002</v>
      </c>
      <c r="F271" s="41">
        <f t="shared" si="13"/>
        <v>4.8855000521365267E-4</v>
      </c>
      <c r="G271" s="42">
        <v>9.9467140319715805E-3</v>
      </c>
      <c r="H271" s="42">
        <f t="shared" si="14"/>
        <v>4.8594671921784277E-6</v>
      </c>
      <c r="I271" s="42">
        <v>0.105</v>
      </c>
      <c r="J271" s="43">
        <f t="shared" si="15"/>
        <v>5.129775054743353E-5</v>
      </c>
    </row>
    <row r="272" spans="1:10" ht="15" customHeight="1" x14ac:dyDescent="0.25">
      <c r="A272" s="38" t="s">
        <v>640</v>
      </c>
      <c r="B272" s="26" t="s">
        <v>641</v>
      </c>
      <c r="C272" s="39">
        <v>2629.6149999999998</v>
      </c>
      <c r="D272" s="39">
        <v>177.23</v>
      </c>
      <c r="E272" s="40">
        <f t="shared" si="12"/>
        <v>466046.66644999996</v>
      </c>
      <c r="F272" s="41">
        <f t="shared" si="13"/>
        <v>1.586651313701351E-2</v>
      </c>
      <c r="G272" s="42">
        <v>2.3923714946679459E-2</v>
      </c>
      <c r="H272" s="42">
        <f t="shared" si="14"/>
        <v>3.7958593748765613E-4</v>
      </c>
      <c r="I272" s="42">
        <v>0.08</v>
      </c>
      <c r="J272" s="43">
        <f t="shared" si="15"/>
        <v>1.269321050961081E-3</v>
      </c>
    </row>
    <row r="273" spans="1:10" ht="15" customHeight="1" x14ac:dyDescent="0.25">
      <c r="A273" s="38" t="s">
        <v>642</v>
      </c>
      <c r="B273" s="26" t="s">
        <v>643</v>
      </c>
      <c r="C273" s="39">
        <v>322.56900000000002</v>
      </c>
      <c r="D273" s="39">
        <v>37.159999999999997</v>
      </c>
      <c r="E273" s="40">
        <f t="shared" ref="E273:E336" si="16">IFERROR(C273*D273, "")</f>
        <v>11986.66404</v>
      </c>
      <c r="F273" s="41">
        <f t="shared" ref="F273:F336" si="17">IF(AND(ISNUMBER($I273)), IF(AND($I273&lt;=20%,$I273&gt;0%), $E273/SUMIFS($E$16:$E$520,$I$16:$I$520, "&gt;"&amp;0%,$I$16:$I$520, "&lt;="&amp;20%),""),"")</f>
        <v>4.080848038423459E-4</v>
      </c>
      <c r="G273" s="42">
        <v>2.2604951560818085E-2</v>
      </c>
      <c r="H273" s="42">
        <f t="shared" ref="H273:H336" si="18">IFERROR(F273*G273,"")</f>
        <v>9.2247372235621791E-6</v>
      </c>
      <c r="I273" s="42">
        <v>0.09</v>
      </c>
      <c r="J273" s="43">
        <f t="shared" ref="J273:J336" si="19">IFERROR(F273*I273,"")</f>
        <v>3.6727632345811126E-5</v>
      </c>
    </row>
    <row r="274" spans="1:10" ht="15" customHeight="1" x14ac:dyDescent="0.25">
      <c r="A274" s="38" t="s">
        <v>644</v>
      </c>
      <c r="B274" s="26" t="s">
        <v>645</v>
      </c>
      <c r="C274" s="39">
        <v>2952.8090000000002</v>
      </c>
      <c r="D274" s="39">
        <v>136.32</v>
      </c>
      <c r="E274" s="40">
        <f t="shared" si="16"/>
        <v>402526.92288000003</v>
      </c>
      <c r="F274" s="41">
        <f t="shared" si="17"/>
        <v>1.370398968525257E-2</v>
      </c>
      <c r="G274" s="42">
        <v>2.9342723004694836E-2</v>
      </c>
      <c r="H274" s="42">
        <f t="shared" si="18"/>
        <v>4.0211237339356134E-4</v>
      </c>
      <c r="I274" s="42">
        <v>7.4999999999999997E-2</v>
      </c>
      <c r="J274" s="43">
        <f t="shared" si="19"/>
        <v>1.0277992263939427E-3</v>
      </c>
    </row>
    <row r="275" spans="1:10" ht="15" customHeight="1" x14ac:dyDescent="0.25">
      <c r="A275" s="38" t="s">
        <v>646</v>
      </c>
      <c r="B275" s="26" t="s">
        <v>647</v>
      </c>
      <c r="C275" s="39">
        <v>340.15600000000001</v>
      </c>
      <c r="D275" s="39">
        <v>64.489999999999995</v>
      </c>
      <c r="E275" s="40">
        <f t="shared" si="16"/>
        <v>21936.66044</v>
      </c>
      <c r="F275" s="41">
        <f t="shared" si="17"/>
        <v>7.4683145725451972E-4</v>
      </c>
      <c r="G275" s="42">
        <v>3.5974569700728792E-2</v>
      </c>
      <c r="H275" s="42">
        <f t="shared" si="18"/>
        <v>2.6866940313699575E-5</v>
      </c>
      <c r="I275" s="42">
        <v>3.5000000000000003E-2</v>
      </c>
      <c r="J275" s="43">
        <f t="shared" si="19"/>
        <v>2.6139101003908194E-5</v>
      </c>
    </row>
    <row r="276" spans="1:10" ht="15" customHeight="1" x14ac:dyDescent="0.25">
      <c r="A276" s="38" t="s">
        <v>648</v>
      </c>
      <c r="B276" s="26" t="s">
        <v>649</v>
      </c>
      <c r="C276" s="39">
        <v>920.12900000000002</v>
      </c>
      <c r="D276" s="39">
        <v>22.38</v>
      </c>
      <c r="E276" s="40">
        <f t="shared" si="16"/>
        <v>20592.48702</v>
      </c>
      <c r="F276" s="41">
        <f t="shared" si="17"/>
        <v>7.0106920475454938E-4</v>
      </c>
      <c r="G276" s="42">
        <v>3.4852546916890083E-2</v>
      </c>
      <c r="H276" s="42">
        <f t="shared" si="18"/>
        <v>2.4434047350694753E-5</v>
      </c>
      <c r="I276" s="42">
        <v>9.5000000000000001E-2</v>
      </c>
      <c r="J276" s="43">
        <f t="shared" si="19"/>
        <v>6.6601574451682194E-5</v>
      </c>
    </row>
    <row r="277" spans="1:10" ht="15" customHeight="1" x14ac:dyDescent="0.25">
      <c r="A277" s="38" t="s">
        <v>650</v>
      </c>
      <c r="B277" s="26" t="s">
        <v>651</v>
      </c>
      <c r="C277" s="39">
        <v>181.97499999999999</v>
      </c>
      <c r="D277" s="39">
        <v>157.97</v>
      </c>
      <c r="E277" s="40">
        <f t="shared" si="16"/>
        <v>28746.590749999999</v>
      </c>
      <c r="F277" s="41">
        <f t="shared" si="17"/>
        <v>9.7867486802023893E-4</v>
      </c>
      <c r="G277" s="42" t="s">
        <v>135</v>
      </c>
      <c r="H277" s="42" t="str">
        <f t="shared" si="18"/>
        <v/>
      </c>
      <c r="I277" s="42">
        <v>0.13</v>
      </c>
      <c r="J277" s="43">
        <f t="shared" si="19"/>
        <v>1.2722773284263106E-4</v>
      </c>
    </row>
    <row r="278" spans="1:10" ht="15" customHeight="1" x14ac:dyDescent="0.25">
      <c r="A278" s="38" t="s">
        <v>652</v>
      </c>
      <c r="B278" s="26" t="s">
        <v>653</v>
      </c>
      <c r="C278" s="39">
        <v>1224.894</v>
      </c>
      <c r="D278" s="39">
        <v>39.39</v>
      </c>
      <c r="E278" s="40">
        <f t="shared" si="16"/>
        <v>48248.574659999998</v>
      </c>
      <c r="F278" s="41">
        <f t="shared" si="17"/>
        <v>1.642618001146454E-3</v>
      </c>
      <c r="G278" s="42">
        <v>4.0619446560040622E-2</v>
      </c>
      <c r="H278" s="42">
        <f t="shared" si="18"/>
        <v>6.6722234116129128E-5</v>
      </c>
      <c r="I278" s="42">
        <v>0.04</v>
      </c>
      <c r="J278" s="43">
        <f t="shared" si="19"/>
        <v>6.5704720045858163E-5</v>
      </c>
    </row>
    <row r="279" spans="1:10" ht="15" customHeight="1" x14ac:dyDescent="0.25">
      <c r="A279" s="38" t="s">
        <v>654</v>
      </c>
      <c r="B279" s="26" t="s">
        <v>655</v>
      </c>
      <c r="C279" s="39">
        <v>617.91499999999996</v>
      </c>
      <c r="D279" s="39">
        <v>24.7</v>
      </c>
      <c r="E279" s="40">
        <f t="shared" si="16"/>
        <v>15262.500499999998</v>
      </c>
      <c r="F279" s="41">
        <f t="shared" si="17"/>
        <v>5.1961033544460676E-4</v>
      </c>
      <c r="G279" s="42">
        <v>3.0769230769230771E-2</v>
      </c>
      <c r="H279" s="42">
        <f t="shared" si="18"/>
        <v>1.5988010321372517E-5</v>
      </c>
      <c r="I279" s="42">
        <v>8.5000000000000006E-2</v>
      </c>
      <c r="J279" s="43">
        <f t="shared" si="19"/>
        <v>4.4166878512791577E-5</v>
      </c>
    </row>
    <row r="280" spans="1:10" ht="15" customHeight="1" x14ac:dyDescent="0.25">
      <c r="A280" s="38" t="s">
        <v>656</v>
      </c>
      <c r="B280" s="26" t="s">
        <v>657</v>
      </c>
      <c r="C280" s="39">
        <v>150.715</v>
      </c>
      <c r="D280" s="39">
        <v>366.06</v>
      </c>
      <c r="E280" s="40">
        <f t="shared" si="16"/>
        <v>55170.732900000003</v>
      </c>
      <c r="F280" s="41" t="str">
        <f t="shared" si="17"/>
        <v/>
      </c>
      <c r="G280" s="42">
        <v>1.1473528929683658E-2</v>
      </c>
      <c r="H280" s="42" t="str">
        <f t="shared" si="18"/>
        <v/>
      </c>
      <c r="I280" s="42">
        <v>0.21</v>
      </c>
      <c r="J280" s="43" t="str">
        <f t="shared" si="19"/>
        <v/>
      </c>
    </row>
    <row r="281" spans="1:10" ht="15" customHeight="1" x14ac:dyDescent="0.25">
      <c r="A281" s="38" t="s">
        <v>658</v>
      </c>
      <c r="B281" s="26" t="s">
        <v>659</v>
      </c>
      <c r="C281" s="39">
        <v>336.928</v>
      </c>
      <c r="D281" s="39">
        <v>123.16</v>
      </c>
      <c r="E281" s="40">
        <f t="shared" si="16"/>
        <v>41496.052479999998</v>
      </c>
      <c r="F281" s="41">
        <f t="shared" si="17"/>
        <v>1.4127290445467837E-3</v>
      </c>
      <c r="G281" s="42">
        <v>3.7674569665475804E-2</v>
      </c>
      <c r="H281" s="42">
        <f t="shared" si="18"/>
        <v>5.3223958807218878E-5</v>
      </c>
      <c r="I281" s="42">
        <v>5.5E-2</v>
      </c>
      <c r="J281" s="43">
        <f t="shared" si="19"/>
        <v>7.7700097450073108E-5</v>
      </c>
    </row>
    <row r="282" spans="1:10" ht="15" customHeight="1" x14ac:dyDescent="0.25">
      <c r="A282" s="38" t="s">
        <v>660</v>
      </c>
      <c r="B282" s="26" t="s">
        <v>661</v>
      </c>
      <c r="C282" s="39">
        <v>2267.4850000000001</v>
      </c>
      <c r="D282" s="39">
        <v>18.91</v>
      </c>
      <c r="E282" s="40">
        <f t="shared" si="16"/>
        <v>42878.141350000005</v>
      </c>
      <c r="F282" s="41">
        <f t="shared" si="17"/>
        <v>1.4597821248303821E-3</v>
      </c>
      <c r="G282" s="42">
        <v>5.7112638815441569E-2</v>
      </c>
      <c r="H282" s="42">
        <f t="shared" si="18"/>
        <v>8.3372009244675447E-5</v>
      </c>
      <c r="I282" s="42">
        <v>0.19</v>
      </c>
      <c r="J282" s="43">
        <f t="shared" si="19"/>
        <v>2.7735860371777262E-4</v>
      </c>
    </row>
    <row r="283" spans="1:10" ht="15" customHeight="1" x14ac:dyDescent="0.25">
      <c r="A283" s="38" t="s">
        <v>662</v>
      </c>
      <c r="B283" s="26" t="s">
        <v>663</v>
      </c>
      <c r="C283" s="39">
        <v>161.68</v>
      </c>
      <c r="D283" s="39">
        <v>96.48</v>
      </c>
      <c r="E283" s="40">
        <f t="shared" si="16"/>
        <v>15598.886400000001</v>
      </c>
      <c r="F283" s="41">
        <f t="shared" si="17"/>
        <v>5.3106256048059206E-4</v>
      </c>
      <c r="G283" s="42" t="s">
        <v>135</v>
      </c>
      <c r="H283" s="42" t="str">
        <f t="shared" si="18"/>
        <v/>
      </c>
      <c r="I283" s="42">
        <v>0.13500000000000001</v>
      </c>
      <c r="J283" s="43">
        <f t="shared" si="19"/>
        <v>7.1693445664879938E-5</v>
      </c>
    </row>
    <row r="284" spans="1:10" ht="15" customHeight="1" x14ac:dyDescent="0.25">
      <c r="A284" s="38" t="s">
        <v>664</v>
      </c>
      <c r="B284" s="26" t="s">
        <v>665</v>
      </c>
      <c r="C284" s="39">
        <v>4334.9949999999999</v>
      </c>
      <c r="D284" s="39">
        <v>62</v>
      </c>
      <c r="E284" s="40">
        <f t="shared" si="16"/>
        <v>268769.69</v>
      </c>
      <c r="F284" s="41">
        <f t="shared" si="17"/>
        <v>9.1502377856264756E-3</v>
      </c>
      <c r="G284" s="42">
        <v>2.838709677419355E-2</v>
      </c>
      <c r="H284" s="42">
        <f t="shared" si="18"/>
        <v>2.5974868552746126E-4</v>
      </c>
      <c r="I284" s="42">
        <v>7.0000000000000007E-2</v>
      </c>
      <c r="J284" s="43">
        <f t="shared" si="19"/>
        <v>6.405166449938534E-4</v>
      </c>
    </row>
    <row r="285" spans="1:10" ht="15" customHeight="1" x14ac:dyDescent="0.25">
      <c r="A285" s="38" t="s">
        <v>666</v>
      </c>
      <c r="B285" s="26" t="s">
        <v>667</v>
      </c>
      <c r="C285" s="39">
        <v>723.30799999999999</v>
      </c>
      <c r="D285" s="39">
        <v>57.37</v>
      </c>
      <c r="E285" s="40">
        <f t="shared" si="16"/>
        <v>41496.179960000001</v>
      </c>
      <c r="F285" s="41">
        <f t="shared" si="17"/>
        <v>1.4127333845909045E-3</v>
      </c>
      <c r="G285" s="42">
        <v>1.4641798849572948E-2</v>
      </c>
      <c r="H285" s="42">
        <f t="shared" si="18"/>
        <v>2.0684958045256402E-5</v>
      </c>
      <c r="I285" s="42">
        <v>6.5000000000000002E-2</v>
      </c>
      <c r="J285" s="43">
        <f t="shared" si="19"/>
        <v>9.1827669998408791E-5</v>
      </c>
    </row>
    <row r="286" spans="1:10" ht="15" customHeight="1" x14ac:dyDescent="0.25">
      <c r="A286" s="38" t="s">
        <v>668</v>
      </c>
      <c r="B286" s="26" t="s">
        <v>669</v>
      </c>
      <c r="C286" s="39">
        <v>246.39400000000001</v>
      </c>
      <c r="D286" s="39">
        <v>64.819999999999993</v>
      </c>
      <c r="E286" s="40">
        <f t="shared" si="16"/>
        <v>15971.259079999998</v>
      </c>
      <c r="F286" s="41">
        <f t="shared" si="17"/>
        <v>5.4373995191885635E-4</v>
      </c>
      <c r="G286" s="42">
        <v>3.8568343103980258E-3</v>
      </c>
      <c r="H286" s="42">
        <f t="shared" si="18"/>
        <v>2.0971149024948179E-6</v>
      </c>
      <c r="I286" s="42">
        <v>0.125</v>
      </c>
      <c r="J286" s="43">
        <f t="shared" si="19"/>
        <v>6.7967493989857044E-5</v>
      </c>
    </row>
    <row r="287" spans="1:10" ht="15" customHeight="1" x14ac:dyDescent="0.25">
      <c r="A287" s="38" t="s">
        <v>670</v>
      </c>
      <c r="B287" s="26" t="s">
        <v>671</v>
      </c>
      <c r="C287" s="39">
        <v>136.34200000000001</v>
      </c>
      <c r="D287" s="39">
        <v>108.02</v>
      </c>
      <c r="E287" s="40">
        <f t="shared" si="16"/>
        <v>14727.662840000001</v>
      </c>
      <c r="F287" s="41">
        <f t="shared" si="17"/>
        <v>5.0140183966627689E-4</v>
      </c>
      <c r="G287" s="42">
        <v>1.3330864654693575E-2</v>
      </c>
      <c r="H287" s="42">
        <f t="shared" si="18"/>
        <v>6.6841200622055057E-6</v>
      </c>
      <c r="I287" s="42">
        <v>8.5000000000000006E-2</v>
      </c>
      <c r="J287" s="43">
        <f t="shared" si="19"/>
        <v>4.2619156371633537E-5</v>
      </c>
    </row>
    <row r="288" spans="1:10" ht="15" customHeight="1" x14ac:dyDescent="0.25">
      <c r="A288" s="38" t="s">
        <v>672</v>
      </c>
      <c r="B288" s="26" t="s">
        <v>673</v>
      </c>
      <c r="C288" s="39">
        <v>257.30599999999998</v>
      </c>
      <c r="D288" s="39">
        <v>81.17</v>
      </c>
      <c r="E288" s="40">
        <f t="shared" si="16"/>
        <v>20885.528019999998</v>
      </c>
      <c r="F288" s="41">
        <f t="shared" si="17"/>
        <v>7.1104575691315682E-4</v>
      </c>
      <c r="G288" s="42">
        <v>1.8479733891831957E-2</v>
      </c>
      <c r="H288" s="42">
        <f t="shared" si="18"/>
        <v>1.3139936372671371E-5</v>
      </c>
      <c r="I288" s="42">
        <v>8.5000000000000006E-2</v>
      </c>
      <c r="J288" s="43">
        <f t="shared" si="19"/>
        <v>6.0438889337618332E-5</v>
      </c>
    </row>
    <row r="289" spans="1:10" ht="15" customHeight="1" x14ac:dyDescent="0.25">
      <c r="A289" s="38" t="s">
        <v>674</v>
      </c>
      <c r="B289" s="26" t="s">
        <v>675</v>
      </c>
      <c r="C289" s="39">
        <v>93.4</v>
      </c>
      <c r="D289" s="39">
        <v>263.66000000000003</v>
      </c>
      <c r="E289" s="40">
        <f t="shared" si="16"/>
        <v>24625.844000000005</v>
      </c>
      <c r="F289" s="41">
        <f t="shared" si="17"/>
        <v>8.3838444830495247E-4</v>
      </c>
      <c r="G289" s="42" t="s">
        <v>135</v>
      </c>
      <c r="H289" s="42" t="str">
        <f t="shared" si="18"/>
        <v/>
      </c>
      <c r="I289" s="42">
        <v>0.06</v>
      </c>
      <c r="J289" s="43">
        <f t="shared" si="19"/>
        <v>5.0303066898297146E-5</v>
      </c>
    </row>
    <row r="290" spans="1:10" ht="15" customHeight="1" x14ac:dyDescent="0.25">
      <c r="A290" s="38" t="s">
        <v>676</v>
      </c>
      <c r="B290" s="26" t="s">
        <v>677</v>
      </c>
      <c r="C290" s="39">
        <v>193.06</v>
      </c>
      <c r="D290" s="39">
        <v>248.47</v>
      </c>
      <c r="E290" s="40">
        <f t="shared" si="16"/>
        <v>47969.618199999997</v>
      </c>
      <c r="F290" s="41" t="str">
        <f t="shared" si="17"/>
        <v/>
      </c>
      <c r="G290" s="42">
        <v>1.803034571578058E-2</v>
      </c>
      <c r="H290" s="42" t="str">
        <f t="shared" si="18"/>
        <v/>
      </c>
      <c r="I290" s="42" t="s">
        <v>135</v>
      </c>
      <c r="J290" s="43" t="str">
        <f t="shared" si="19"/>
        <v/>
      </c>
    </row>
    <row r="291" spans="1:10" ht="15" customHeight="1" x14ac:dyDescent="0.25">
      <c r="A291" s="38" t="s">
        <v>678</v>
      </c>
      <c r="B291" s="26" t="s">
        <v>679</v>
      </c>
      <c r="C291" s="39">
        <v>507.22500000000002</v>
      </c>
      <c r="D291" s="39">
        <v>319.43</v>
      </c>
      <c r="E291" s="40">
        <f t="shared" si="16"/>
        <v>162022.88175</v>
      </c>
      <c r="F291" s="41" t="str">
        <f t="shared" si="17"/>
        <v/>
      </c>
      <c r="G291" s="42">
        <v>1.4651097267006854E-2</v>
      </c>
      <c r="H291" s="42" t="str">
        <f t="shared" si="18"/>
        <v/>
      </c>
      <c r="I291" s="42" t="s">
        <v>135</v>
      </c>
      <c r="J291" s="43" t="str">
        <f t="shared" si="19"/>
        <v/>
      </c>
    </row>
    <row r="292" spans="1:10" ht="15" customHeight="1" x14ac:dyDescent="0.25">
      <c r="A292" s="38" t="s">
        <v>680</v>
      </c>
      <c r="B292" s="26" t="s">
        <v>681</v>
      </c>
      <c r="C292" s="39">
        <v>284.99</v>
      </c>
      <c r="D292" s="39">
        <v>45.41</v>
      </c>
      <c r="E292" s="40">
        <f t="shared" si="16"/>
        <v>12941.3959</v>
      </c>
      <c r="F292" s="41">
        <f t="shared" si="17"/>
        <v>4.4058855655535991E-4</v>
      </c>
      <c r="G292" s="42">
        <v>2.2021581149526539E-2</v>
      </c>
      <c r="H292" s="42">
        <f t="shared" si="18"/>
        <v>9.7024566517366216E-6</v>
      </c>
      <c r="I292" s="42">
        <v>0.14000000000000001</v>
      </c>
      <c r="J292" s="43">
        <f t="shared" si="19"/>
        <v>6.1682397917750396E-5</v>
      </c>
    </row>
    <row r="293" spans="1:10" ht="15" customHeight="1" x14ac:dyDescent="0.25">
      <c r="A293" s="38" t="s">
        <v>682</v>
      </c>
      <c r="B293" s="26" t="s">
        <v>683</v>
      </c>
      <c r="C293" s="39">
        <v>952.34699999999998</v>
      </c>
      <c r="D293" s="39">
        <v>286.37</v>
      </c>
      <c r="E293" s="40">
        <f t="shared" si="16"/>
        <v>272723.61038999999</v>
      </c>
      <c r="F293" s="41">
        <f t="shared" si="17"/>
        <v>9.2848486182465408E-3</v>
      </c>
      <c r="G293" s="42">
        <v>1.3688584698117819E-2</v>
      </c>
      <c r="H293" s="42">
        <f t="shared" si="18"/>
        <v>1.2709643672006998E-4</v>
      </c>
      <c r="I293" s="42">
        <v>0.115</v>
      </c>
      <c r="J293" s="43">
        <f t="shared" si="19"/>
        <v>1.0677575910983522E-3</v>
      </c>
    </row>
    <row r="294" spans="1:10" ht="15" customHeight="1" x14ac:dyDescent="0.25">
      <c r="A294" s="38" t="s">
        <v>684</v>
      </c>
      <c r="B294" s="26" t="s">
        <v>685</v>
      </c>
      <c r="C294" s="39">
        <v>266.53399999999999</v>
      </c>
      <c r="D294" s="39">
        <v>441.4</v>
      </c>
      <c r="E294" s="40">
        <f t="shared" si="16"/>
        <v>117648.10759999999</v>
      </c>
      <c r="F294" s="41">
        <f t="shared" si="17"/>
        <v>4.0053183064242453E-3</v>
      </c>
      <c r="G294" s="42">
        <v>2.5373810602628003E-2</v>
      </c>
      <c r="H294" s="42">
        <f t="shared" si="18"/>
        <v>1.0163018811044755E-4</v>
      </c>
      <c r="I294" s="42">
        <v>6.5000000000000002E-2</v>
      </c>
      <c r="J294" s="43">
        <f t="shared" si="19"/>
        <v>2.6034568991757597E-4</v>
      </c>
    </row>
    <row r="295" spans="1:10" ht="15" customHeight="1" x14ac:dyDescent="0.25">
      <c r="A295" s="38" t="s">
        <v>686</v>
      </c>
      <c r="B295" s="26" t="s">
        <v>687</v>
      </c>
      <c r="C295" s="39">
        <v>172.45500000000001</v>
      </c>
      <c r="D295" s="39">
        <v>65.36</v>
      </c>
      <c r="E295" s="40">
        <f t="shared" si="16"/>
        <v>11271.658800000001</v>
      </c>
      <c r="F295" s="41">
        <f t="shared" si="17"/>
        <v>3.8374252043989481E-4</v>
      </c>
      <c r="G295" s="42">
        <v>2.7539779681762546E-2</v>
      </c>
      <c r="H295" s="42">
        <f t="shared" si="18"/>
        <v>1.0568184467438963E-5</v>
      </c>
      <c r="I295" s="42">
        <v>0.115</v>
      </c>
      <c r="J295" s="43">
        <f t="shared" si="19"/>
        <v>4.4130389850587907E-5</v>
      </c>
    </row>
    <row r="296" spans="1:10" ht="15" customHeight="1" x14ac:dyDescent="0.25">
      <c r="A296" s="38" t="s">
        <v>688</v>
      </c>
      <c r="B296" s="26" t="s">
        <v>689</v>
      </c>
      <c r="C296" s="39">
        <v>250.47900000000001</v>
      </c>
      <c r="D296" s="39">
        <v>62.48</v>
      </c>
      <c r="E296" s="40">
        <f t="shared" si="16"/>
        <v>15649.92792</v>
      </c>
      <c r="F296" s="41">
        <f t="shared" si="17"/>
        <v>5.3280026403243149E-4</v>
      </c>
      <c r="G296" s="42">
        <v>2.736875800256082E-2</v>
      </c>
      <c r="H296" s="42">
        <f t="shared" si="18"/>
        <v>1.4582081490004127E-5</v>
      </c>
      <c r="I296" s="42">
        <v>4.4999999999999998E-2</v>
      </c>
      <c r="J296" s="43">
        <f t="shared" si="19"/>
        <v>2.3976011881459418E-5</v>
      </c>
    </row>
    <row r="297" spans="1:10" ht="15" customHeight="1" x14ac:dyDescent="0.25">
      <c r="A297" s="38" t="s">
        <v>690</v>
      </c>
      <c r="B297" s="26" t="s">
        <v>691</v>
      </c>
      <c r="C297" s="39">
        <v>661.56100000000004</v>
      </c>
      <c r="D297" s="39">
        <v>202.19</v>
      </c>
      <c r="E297" s="40">
        <f t="shared" si="16"/>
        <v>133761.01858999999</v>
      </c>
      <c r="F297" s="41">
        <f t="shared" si="17"/>
        <v>4.5538807837524516E-3</v>
      </c>
      <c r="G297" s="42">
        <v>1.5826697660616253E-2</v>
      </c>
      <c r="H297" s="42">
        <f t="shared" si="18"/>
        <v>7.2072894346940239E-5</v>
      </c>
      <c r="I297" s="42">
        <v>0.155</v>
      </c>
      <c r="J297" s="43">
        <f t="shared" si="19"/>
        <v>7.0585152148162997E-4</v>
      </c>
    </row>
    <row r="298" spans="1:10" ht="15" customHeight="1" x14ac:dyDescent="0.25">
      <c r="A298" s="38" t="s">
        <v>692</v>
      </c>
      <c r="B298" s="26" t="s">
        <v>693</v>
      </c>
      <c r="C298" s="39">
        <v>139.5</v>
      </c>
      <c r="D298" s="39">
        <v>537.61</v>
      </c>
      <c r="E298" s="40">
        <f t="shared" si="16"/>
        <v>74996.595000000001</v>
      </c>
      <c r="F298" s="41">
        <f t="shared" si="17"/>
        <v>2.5532517352024539E-3</v>
      </c>
      <c r="G298" s="42">
        <v>1.116050668700359E-2</v>
      </c>
      <c r="H298" s="42">
        <f t="shared" si="18"/>
        <v>2.8495583064330508E-5</v>
      </c>
      <c r="I298" s="42">
        <v>0.17</v>
      </c>
      <c r="J298" s="43">
        <f t="shared" si="19"/>
        <v>4.340527949844172E-4</v>
      </c>
    </row>
    <row r="299" spans="1:10" ht="15" customHeight="1" x14ac:dyDescent="0.25">
      <c r="A299" s="38" t="s">
        <v>694</v>
      </c>
      <c r="B299" s="26" t="s">
        <v>695</v>
      </c>
      <c r="C299" s="39">
        <v>1023.372</v>
      </c>
      <c r="D299" s="39">
        <v>11.27</v>
      </c>
      <c r="E299" s="40">
        <f t="shared" si="16"/>
        <v>11533.40244</v>
      </c>
      <c r="F299" s="41">
        <f t="shared" si="17"/>
        <v>3.9265355704106591E-4</v>
      </c>
      <c r="G299" s="42">
        <v>8.8731144631765749E-2</v>
      </c>
      <c r="H299" s="42">
        <f t="shared" si="18"/>
        <v>3.4840599559988102E-5</v>
      </c>
      <c r="I299" s="42">
        <v>3.5000000000000003E-2</v>
      </c>
      <c r="J299" s="43">
        <f t="shared" si="19"/>
        <v>1.3742874496437309E-5</v>
      </c>
    </row>
    <row r="300" spans="1:10" ht="15" customHeight="1" x14ac:dyDescent="0.25">
      <c r="A300" s="38" t="s">
        <v>696</v>
      </c>
      <c r="B300" s="26" t="s">
        <v>697</v>
      </c>
      <c r="C300" s="39">
        <v>592.34199999999998</v>
      </c>
      <c r="D300" s="39">
        <v>45.8</v>
      </c>
      <c r="E300" s="40">
        <f t="shared" si="16"/>
        <v>27129.263599999998</v>
      </c>
      <c r="F300" s="41" t="str">
        <f t="shared" si="17"/>
        <v/>
      </c>
      <c r="G300" s="42" t="s">
        <v>135</v>
      </c>
      <c r="H300" s="42" t="str">
        <f t="shared" si="18"/>
        <v/>
      </c>
      <c r="I300" s="42">
        <v>0.29499999999999998</v>
      </c>
      <c r="J300" s="43" t="str">
        <f t="shared" si="19"/>
        <v/>
      </c>
    </row>
    <row r="301" spans="1:10" ht="15" customHeight="1" x14ac:dyDescent="0.25">
      <c r="A301" s="38" t="s">
        <v>698</v>
      </c>
      <c r="B301" s="26" t="s">
        <v>699</v>
      </c>
      <c r="C301" s="39">
        <v>763.99199999999996</v>
      </c>
      <c r="D301" s="39">
        <v>38.869999999999997</v>
      </c>
      <c r="E301" s="40">
        <f t="shared" si="16"/>
        <v>29696.369039999998</v>
      </c>
      <c r="F301" s="41">
        <f t="shared" si="17"/>
        <v>1.0110099769275183E-3</v>
      </c>
      <c r="G301" s="42" t="s">
        <v>135</v>
      </c>
      <c r="H301" s="42" t="str">
        <f t="shared" si="18"/>
        <v/>
      </c>
      <c r="I301" s="42">
        <v>0.17</v>
      </c>
      <c r="J301" s="43">
        <f t="shared" si="19"/>
        <v>1.7187169607767812E-4</v>
      </c>
    </row>
    <row r="302" spans="1:10" ht="15" customHeight="1" x14ac:dyDescent="0.25">
      <c r="A302" s="38" t="s">
        <v>700</v>
      </c>
      <c r="B302" s="26" t="s">
        <v>701</v>
      </c>
      <c r="C302" s="39">
        <v>145.20400000000001</v>
      </c>
      <c r="D302" s="39">
        <v>59.91</v>
      </c>
      <c r="E302" s="40">
        <f t="shared" si="16"/>
        <v>8699.1716400000005</v>
      </c>
      <c r="F302" s="41">
        <f t="shared" si="17"/>
        <v>2.9616244690380914E-4</v>
      </c>
      <c r="G302" s="42">
        <v>1.6357870138541147E-2</v>
      </c>
      <c r="H302" s="42">
        <f t="shared" si="18"/>
        <v>4.8445868463650976E-6</v>
      </c>
      <c r="I302" s="42">
        <v>0.06</v>
      </c>
      <c r="J302" s="43">
        <f t="shared" si="19"/>
        <v>1.7769746814228547E-5</v>
      </c>
    </row>
    <row r="303" spans="1:10" ht="15" customHeight="1" x14ac:dyDescent="0.25">
      <c r="A303" s="38" t="s">
        <v>702</v>
      </c>
      <c r="B303" s="26" t="s">
        <v>703</v>
      </c>
      <c r="C303" s="39">
        <v>328.01</v>
      </c>
      <c r="D303" s="39">
        <v>102.82</v>
      </c>
      <c r="E303" s="40">
        <f t="shared" si="16"/>
        <v>33725.9882</v>
      </c>
      <c r="F303" s="41">
        <f t="shared" si="17"/>
        <v>1.1481979667619241E-3</v>
      </c>
      <c r="G303" s="42">
        <v>4.3960319004084807E-2</v>
      </c>
      <c r="H303" s="42">
        <f t="shared" si="18"/>
        <v>5.0475148898695749E-5</v>
      </c>
      <c r="I303" s="42">
        <v>5.5E-2</v>
      </c>
      <c r="J303" s="43">
        <f t="shared" si="19"/>
        <v>6.3150888171905831E-5</v>
      </c>
    </row>
    <row r="304" spans="1:10" ht="15" customHeight="1" x14ac:dyDescent="0.25">
      <c r="A304" s="38" t="s">
        <v>704</v>
      </c>
      <c r="B304" s="26" t="s">
        <v>705</v>
      </c>
      <c r="C304" s="39">
        <v>224.626</v>
      </c>
      <c r="D304" s="39">
        <v>117.64</v>
      </c>
      <c r="E304" s="40">
        <f t="shared" si="16"/>
        <v>26425.002640000002</v>
      </c>
      <c r="F304" s="41" t="str">
        <f t="shared" si="17"/>
        <v/>
      </c>
      <c r="G304" s="42" t="s">
        <v>135</v>
      </c>
      <c r="H304" s="42" t="str">
        <f t="shared" si="18"/>
        <v/>
      </c>
      <c r="I304" s="42" t="s">
        <v>135</v>
      </c>
      <c r="J304" s="43" t="str">
        <f t="shared" si="19"/>
        <v/>
      </c>
    </row>
    <row r="305" spans="1:10" ht="15" customHeight="1" x14ac:dyDescent="0.25">
      <c r="A305" s="38" t="s">
        <v>706</v>
      </c>
      <c r="B305" s="26" t="s">
        <v>707</v>
      </c>
      <c r="C305" s="39">
        <v>969.72900000000004</v>
      </c>
      <c r="D305" s="39">
        <v>357.38</v>
      </c>
      <c r="E305" s="40">
        <f t="shared" si="16"/>
        <v>346561.75002000004</v>
      </c>
      <c r="F305" s="41">
        <f t="shared" si="17"/>
        <v>1.1798660853780951E-2</v>
      </c>
      <c r="G305" s="42">
        <v>5.4843583860316753E-3</v>
      </c>
      <c r="H305" s="42">
        <f t="shared" si="18"/>
        <v>6.4708084597377204E-5</v>
      </c>
      <c r="I305" s="42">
        <v>0.13</v>
      </c>
      <c r="J305" s="43">
        <f t="shared" si="19"/>
        <v>1.5338259109915237E-3</v>
      </c>
    </row>
    <row r="306" spans="1:10" ht="15" customHeight="1" x14ac:dyDescent="0.25">
      <c r="A306" s="38" t="s">
        <v>708</v>
      </c>
      <c r="B306" s="26" t="s">
        <v>709</v>
      </c>
      <c r="C306" s="39">
        <v>115.34099999999999</v>
      </c>
      <c r="D306" s="39">
        <v>209.45</v>
      </c>
      <c r="E306" s="40">
        <f t="shared" si="16"/>
        <v>24158.172449999998</v>
      </c>
      <c r="F306" s="41">
        <f t="shared" si="17"/>
        <v>8.224626161665422E-4</v>
      </c>
      <c r="G306" s="42">
        <v>2.0768679875865361E-2</v>
      </c>
      <c r="H306" s="42">
        <f t="shared" si="18"/>
        <v>1.7081462785029643E-5</v>
      </c>
      <c r="I306" s="42">
        <v>8.5000000000000006E-2</v>
      </c>
      <c r="J306" s="43">
        <f t="shared" si="19"/>
        <v>6.9909322374156095E-5</v>
      </c>
    </row>
    <row r="307" spans="1:10" ht="15" customHeight="1" x14ac:dyDescent="0.25">
      <c r="A307" s="38" t="s">
        <v>710</v>
      </c>
      <c r="B307" s="26" t="s">
        <v>711</v>
      </c>
      <c r="C307" s="39">
        <v>327.25400000000002</v>
      </c>
      <c r="D307" s="39">
        <v>175.75</v>
      </c>
      <c r="E307" s="40">
        <f t="shared" si="16"/>
        <v>57514.890500000001</v>
      </c>
      <c r="F307" s="41">
        <f t="shared" si="17"/>
        <v>1.958088816820339E-3</v>
      </c>
      <c r="G307" s="42" t="s">
        <v>135</v>
      </c>
      <c r="H307" s="42" t="str">
        <f t="shared" si="18"/>
        <v/>
      </c>
      <c r="I307" s="42">
        <v>0.17499999999999999</v>
      </c>
      <c r="J307" s="43">
        <f t="shared" si="19"/>
        <v>3.4266554294355928E-4</v>
      </c>
    </row>
    <row r="308" spans="1:10" ht="15" customHeight="1" x14ac:dyDescent="0.25">
      <c r="A308" s="38" t="s">
        <v>712</v>
      </c>
      <c r="B308" s="26" t="s">
        <v>713</v>
      </c>
      <c r="C308" s="39">
        <v>236.524</v>
      </c>
      <c r="D308" s="39">
        <v>51</v>
      </c>
      <c r="E308" s="40">
        <f t="shared" si="16"/>
        <v>12062.724</v>
      </c>
      <c r="F308" s="41">
        <f t="shared" si="17"/>
        <v>4.1067425773487834E-4</v>
      </c>
      <c r="G308" s="42">
        <v>2.1960784313725491E-2</v>
      </c>
      <c r="H308" s="42">
        <f t="shared" si="18"/>
        <v>9.018728797314975E-6</v>
      </c>
      <c r="I308" s="42">
        <v>0.09</v>
      </c>
      <c r="J308" s="43">
        <f t="shared" si="19"/>
        <v>3.6960683196139051E-5</v>
      </c>
    </row>
    <row r="309" spans="1:10" ht="15" customHeight="1" x14ac:dyDescent="0.25">
      <c r="A309" s="38" t="s">
        <v>714</v>
      </c>
      <c r="B309" s="26" t="s">
        <v>715</v>
      </c>
      <c r="C309" s="39">
        <v>743.58500000000004</v>
      </c>
      <c r="D309" s="39">
        <v>247.28</v>
      </c>
      <c r="E309" s="40">
        <f t="shared" si="16"/>
        <v>183873.69880000001</v>
      </c>
      <c r="F309" s="41">
        <f t="shared" si="17"/>
        <v>6.2599620758674902E-3</v>
      </c>
      <c r="G309" s="42">
        <v>2.2322872856680685E-2</v>
      </c>
      <c r="H309" s="42">
        <f t="shared" si="18"/>
        <v>1.3974033750723287E-4</v>
      </c>
      <c r="I309" s="42">
        <v>0.1</v>
      </c>
      <c r="J309" s="43">
        <f t="shared" si="19"/>
        <v>6.2599620758674909E-4</v>
      </c>
    </row>
    <row r="310" spans="1:10" ht="15" customHeight="1" x14ac:dyDescent="0.25">
      <c r="A310" s="38" t="s">
        <v>716</v>
      </c>
      <c r="B310" s="26" t="s">
        <v>717</v>
      </c>
      <c r="C310" s="39">
        <v>555.99099999999999</v>
      </c>
      <c r="D310" s="39">
        <v>75.14</v>
      </c>
      <c r="E310" s="40">
        <f t="shared" si="16"/>
        <v>41777.163739999996</v>
      </c>
      <c r="F310" s="41">
        <f t="shared" si="17"/>
        <v>1.422299449874918E-3</v>
      </c>
      <c r="G310" s="42">
        <v>1.3468192706947033E-2</v>
      </c>
      <c r="H310" s="42">
        <f t="shared" si="18"/>
        <v>1.9155803077900148E-5</v>
      </c>
      <c r="I310" s="42">
        <v>0.1</v>
      </c>
      <c r="J310" s="43">
        <f t="shared" si="19"/>
        <v>1.422299449874918E-4</v>
      </c>
    </row>
    <row r="311" spans="1:10" ht="15" customHeight="1" x14ac:dyDescent="0.25">
      <c r="A311" s="38" t="s">
        <v>718</v>
      </c>
      <c r="B311" s="26" t="s">
        <v>719</v>
      </c>
      <c r="C311" s="39">
        <v>149.798</v>
      </c>
      <c r="D311" s="39">
        <v>306.13</v>
      </c>
      <c r="E311" s="40">
        <f t="shared" si="16"/>
        <v>45857.661740000003</v>
      </c>
      <c r="F311" s="41">
        <f t="shared" si="17"/>
        <v>1.5612196048364888E-3</v>
      </c>
      <c r="G311" s="42">
        <v>6.1411818508476787E-3</v>
      </c>
      <c r="H311" s="42">
        <f t="shared" si="18"/>
        <v>9.5877335024094306E-6</v>
      </c>
      <c r="I311" s="42">
        <v>0.1</v>
      </c>
      <c r="J311" s="43">
        <f t="shared" si="19"/>
        <v>1.5612196048364889E-4</v>
      </c>
    </row>
    <row r="312" spans="1:10" ht="15" customHeight="1" x14ac:dyDescent="0.25">
      <c r="A312" s="38" t="s">
        <v>720</v>
      </c>
      <c r="B312" s="26" t="s">
        <v>721</v>
      </c>
      <c r="C312" s="39">
        <v>185.37700000000001</v>
      </c>
      <c r="D312" s="39">
        <v>337.41</v>
      </c>
      <c r="E312" s="40">
        <f t="shared" si="16"/>
        <v>62548.053570000011</v>
      </c>
      <c r="F312" s="41">
        <f t="shared" si="17"/>
        <v>2.1294423608316962E-3</v>
      </c>
      <c r="G312" s="42">
        <v>8.2985092320915204E-3</v>
      </c>
      <c r="H312" s="42">
        <f t="shared" si="18"/>
        <v>1.7671197090568594E-5</v>
      </c>
      <c r="I312" s="42">
        <v>0.09</v>
      </c>
      <c r="J312" s="43">
        <f t="shared" si="19"/>
        <v>1.9164981247485265E-4</v>
      </c>
    </row>
    <row r="313" spans="1:10" ht="15" customHeight="1" x14ac:dyDescent="0.25">
      <c r="A313" s="38" t="s">
        <v>722</v>
      </c>
      <c r="B313" s="26" t="s">
        <v>723</v>
      </c>
      <c r="C313" s="39">
        <v>1388.328</v>
      </c>
      <c r="D313" s="39">
        <v>62.78</v>
      </c>
      <c r="E313" s="40">
        <f t="shared" si="16"/>
        <v>87159.231839999993</v>
      </c>
      <c r="F313" s="41">
        <f t="shared" si="17"/>
        <v>2.9673275157944567E-3</v>
      </c>
      <c r="G313" s="42">
        <v>2.2300095571838163E-2</v>
      </c>
      <c r="H313" s="42">
        <f t="shared" si="18"/>
        <v>6.6171687195161493E-5</v>
      </c>
      <c r="I313" s="42">
        <v>0.08</v>
      </c>
      <c r="J313" s="43">
        <f t="shared" si="19"/>
        <v>2.3738620126355654E-4</v>
      </c>
    </row>
    <row r="314" spans="1:10" ht="15" customHeight="1" x14ac:dyDescent="0.25">
      <c r="A314" s="38" t="s">
        <v>724</v>
      </c>
      <c r="B314" s="26" t="s">
        <v>725</v>
      </c>
      <c r="C314" s="39">
        <v>1341.539</v>
      </c>
      <c r="D314" s="39">
        <v>110.95</v>
      </c>
      <c r="E314" s="40">
        <f t="shared" si="16"/>
        <v>148843.75205000001</v>
      </c>
      <c r="F314" s="41">
        <f t="shared" si="17"/>
        <v>5.0673709679180286E-3</v>
      </c>
      <c r="G314" s="42">
        <v>2.2712933753943218E-2</v>
      </c>
      <c r="H314" s="42">
        <f t="shared" si="18"/>
        <v>1.1509486110097731E-4</v>
      </c>
      <c r="I314" s="42">
        <v>8.5000000000000006E-2</v>
      </c>
      <c r="J314" s="43">
        <f t="shared" si="19"/>
        <v>4.3072653227303244E-4</v>
      </c>
    </row>
    <row r="315" spans="1:10" ht="15" customHeight="1" x14ac:dyDescent="0.25">
      <c r="A315" s="38" t="s">
        <v>726</v>
      </c>
      <c r="B315" s="26" t="s">
        <v>727</v>
      </c>
      <c r="C315" s="39">
        <v>825.07799999999997</v>
      </c>
      <c r="D315" s="39">
        <v>70.28</v>
      </c>
      <c r="E315" s="40">
        <f t="shared" si="16"/>
        <v>57986.48184</v>
      </c>
      <c r="F315" s="41">
        <f t="shared" si="17"/>
        <v>1.9741440978255824E-3</v>
      </c>
      <c r="G315" s="42">
        <v>2.7319294251565165E-2</v>
      </c>
      <c r="H315" s="42">
        <f t="shared" si="18"/>
        <v>5.3932223503487735E-5</v>
      </c>
      <c r="I315" s="42">
        <v>7.4999999999999997E-2</v>
      </c>
      <c r="J315" s="43">
        <f t="shared" si="19"/>
        <v>1.4806080733691869E-4</v>
      </c>
    </row>
    <row r="316" spans="1:10" ht="15" customHeight="1" x14ac:dyDescent="0.25">
      <c r="A316" s="38" t="s">
        <v>728</v>
      </c>
      <c r="B316" s="26" t="s">
        <v>729</v>
      </c>
      <c r="C316" s="39">
        <v>435.33300000000003</v>
      </c>
      <c r="D316" s="39">
        <v>41.94</v>
      </c>
      <c r="E316" s="40">
        <f t="shared" si="16"/>
        <v>18257.866020000001</v>
      </c>
      <c r="F316" s="41" t="str">
        <f t="shared" si="17"/>
        <v/>
      </c>
      <c r="G316" s="42">
        <v>2.3843586075345734E-4</v>
      </c>
      <c r="H316" s="42" t="str">
        <f t="shared" si="18"/>
        <v/>
      </c>
      <c r="I316" s="42">
        <v>0.25</v>
      </c>
      <c r="J316" s="43" t="str">
        <f t="shared" si="19"/>
        <v/>
      </c>
    </row>
    <row r="317" spans="1:10" ht="15" customHeight="1" x14ac:dyDescent="0.25">
      <c r="A317" s="38" t="s">
        <v>730</v>
      </c>
      <c r="B317" s="26" t="s">
        <v>731</v>
      </c>
      <c r="C317" s="39">
        <v>65.070999999999998</v>
      </c>
      <c r="D317" s="39">
        <v>124.2</v>
      </c>
      <c r="E317" s="40">
        <f t="shared" si="16"/>
        <v>8081.8181999999997</v>
      </c>
      <c r="F317" s="41">
        <f t="shared" si="17"/>
        <v>2.7514470947302038E-4</v>
      </c>
      <c r="G317" s="42" t="s">
        <v>135</v>
      </c>
      <c r="H317" s="42" t="str">
        <f t="shared" si="18"/>
        <v/>
      </c>
      <c r="I317" s="42">
        <v>0.105</v>
      </c>
      <c r="J317" s="43">
        <f t="shared" si="19"/>
        <v>2.889019449466714E-5</v>
      </c>
    </row>
    <row r="318" spans="1:10" ht="15" customHeight="1" x14ac:dyDescent="0.25">
      <c r="A318" s="38" t="s">
        <v>732</v>
      </c>
      <c r="B318" s="26" t="s">
        <v>733</v>
      </c>
      <c r="C318" s="39">
        <v>250.226</v>
      </c>
      <c r="D318" s="39">
        <v>99.8</v>
      </c>
      <c r="E318" s="40">
        <f t="shared" si="16"/>
        <v>24972.554799999998</v>
      </c>
      <c r="F318" s="41">
        <f t="shared" si="17"/>
        <v>8.501881835507114E-4</v>
      </c>
      <c r="G318" s="42">
        <v>1.4829659318637275E-2</v>
      </c>
      <c r="H318" s="42">
        <f t="shared" si="18"/>
        <v>1.2608001118788105E-5</v>
      </c>
      <c r="I318" s="42">
        <v>0.06</v>
      </c>
      <c r="J318" s="43">
        <f t="shared" si="19"/>
        <v>5.101129101304268E-5</v>
      </c>
    </row>
    <row r="319" spans="1:10" ht="15" customHeight="1" x14ac:dyDescent="0.25">
      <c r="A319" s="38" t="s">
        <v>734</v>
      </c>
      <c r="B319" s="26" t="s">
        <v>735</v>
      </c>
      <c r="C319" s="39">
        <v>37.835000000000001</v>
      </c>
      <c r="D319" s="39">
        <v>340.2</v>
      </c>
      <c r="E319" s="40">
        <f t="shared" si="16"/>
        <v>12871.467000000001</v>
      </c>
      <c r="F319" s="41">
        <f t="shared" si="17"/>
        <v>4.3820783400034532E-4</v>
      </c>
      <c r="G319" s="42">
        <v>8.2304526748971183E-3</v>
      </c>
      <c r="H319" s="42">
        <f t="shared" si="18"/>
        <v>3.6066488395090144E-6</v>
      </c>
      <c r="I319" s="42">
        <v>0.14000000000000001</v>
      </c>
      <c r="J319" s="43">
        <f t="shared" si="19"/>
        <v>6.134909676004835E-5</v>
      </c>
    </row>
    <row r="320" spans="1:10" ht="15" customHeight="1" x14ac:dyDescent="0.25">
      <c r="A320" s="38" t="s">
        <v>736</v>
      </c>
      <c r="B320" s="26" t="s">
        <v>737</v>
      </c>
      <c r="C320" s="39">
        <v>62.395000000000003</v>
      </c>
      <c r="D320" s="39">
        <v>384.89</v>
      </c>
      <c r="E320" s="40">
        <f t="shared" si="16"/>
        <v>24015.21155</v>
      </c>
      <c r="F320" s="41">
        <f t="shared" si="17"/>
        <v>8.1759552632078183E-4</v>
      </c>
      <c r="G320" s="42">
        <v>6.3394736158382918E-3</v>
      </c>
      <c r="H320" s="42">
        <f t="shared" si="18"/>
        <v>5.1831252675380182E-6</v>
      </c>
      <c r="I320" s="42">
        <v>8.5000000000000006E-2</v>
      </c>
      <c r="J320" s="43">
        <f t="shared" si="19"/>
        <v>6.9495619737266467E-5</v>
      </c>
    </row>
    <row r="321" spans="1:10" ht="15" customHeight="1" x14ac:dyDescent="0.25">
      <c r="A321" s="38" t="s">
        <v>738</v>
      </c>
      <c r="B321" s="26" t="s">
        <v>739</v>
      </c>
      <c r="C321" s="39">
        <v>502.76600000000002</v>
      </c>
      <c r="D321" s="39">
        <v>170.42</v>
      </c>
      <c r="E321" s="40">
        <f t="shared" si="16"/>
        <v>85681.38171999999</v>
      </c>
      <c r="F321" s="41">
        <f t="shared" si="17"/>
        <v>2.9170142531288763E-3</v>
      </c>
      <c r="G321" s="42">
        <v>1.2557211594883232E-2</v>
      </c>
      <c r="H321" s="42">
        <f t="shared" si="18"/>
        <v>3.6629565201829578E-5</v>
      </c>
      <c r="I321" s="42">
        <v>0.12</v>
      </c>
      <c r="J321" s="43">
        <f t="shared" si="19"/>
        <v>3.5004171037546515E-4</v>
      </c>
    </row>
    <row r="322" spans="1:10" ht="15" customHeight="1" x14ac:dyDescent="0.25">
      <c r="A322" s="38" t="s">
        <v>740</v>
      </c>
      <c r="B322" s="26" t="s">
        <v>741</v>
      </c>
      <c r="C322" s="39">
        <v>569.17200000000003</v>
      </c>
      <c r="D322" s="39">
        <v>148.88</v>
      </c>
      <c r="E322" s="40">
        <f t="shared" si="16"/>
        <v>84738.327359999996</v>
      </c>
      <c r="F322" s="41">
        <f t="shared" si="17"/>
        <v>2.8849080597602274E-3</v>
      </c>
      <c r="G322" s="42">
        <v>4.0032240730789898E-2</v>
      </c>
      <c r="H322" s="42">
        <f t="shared" si="18"/>
        <v>1.1548933393451743E-4</v>
      </c>
      <c r="I322" s="42">
        <v>0.06</v>
      </c>
      <c r="J322" s="43">
        <f t="shared" si="19"/>
        <v>1.7309448358561363E-4</v>
      </c>
    </row>
    <row r="323" spans="1:10" ht="15" customHeight="1" x14ac:dyDescent="0.25">
      <c r="A323" s="38" t="s">
        <v>742</v>
      </c>
      <c r="B323" s="26" t="s">
        <v>743</v>
      </c>
      <c r="C323" s="39">
        <v>529.35900000000004</v>
      </c>
      <c r="D323" s="39">
        <v>79.900000000000006</v>
      </c>
      <c r="E323" s="40">
        <f t="shared" si="16"/>
        <v>42295.784100000004</v>
      </c>
      <c r="F323" s="41">
        <f t="shared" si="17"/>
        <v>1.4399558292622935E-3</v>
      </c>
      <c r="G323" s="42" t="s">
        <v>135</v>
      </c>
      <c r="H323" s="42" t="str">
        <f t="shared" si="18"/>
        <v/>
      </c>
      <c r="I323" s="42">
        <v>0.13</v>
      </c>
      <c r="J323" s="43">
        <f t="shared" si="19"/>
        <v>1.8719425780409818E-4</v>
      </c>
    </row>
    <row r="324" spans="1:10" ht="15" customHeight="1" x14ac:dyDescent="0.25">
      <c r="A324" s="38" t="s">
        <v>744</v>
      </c>
      <c r="B324" s="26" t="s">
        <v>745</v>
      </c>
      <c r="C324" s="39">
        <v>1817.2570000000001</v>
      </c>
      <c r="D324" s="39">
        <v>52.25</v>
      </c>
      <c r="E324" s="40">
        <f t="shared" si="16"/>
        <v>94951.678249999997</v>
      </c>
      <c r="F324" s="41">
        <f t="shared" si="17"/>
        <v>3.2326205910041331E-3</v>
      </c>
      <c r="G324" s="42">
        <v>6.8899521531100474E-2</v>
      </c>
      <c r="H324" s="42">
        <f t="shared" si="18"/>
        <v>2.2272601201176801E-4</v>
      </c>
      <c r="I324" s="42">
        <v>5.5E-2</v>
      </c>
      <c r="J324" s="43">
        <f t="shared" si="19"/>
        <v>1.7779413250522733E-4</v>
      </c>
    </row>
    <row r="325" spans="1:10" ht="15" customHeight="1" x14ac:dyDescent="0.25">
      <c r="A325" s="38" t="s">
        <v>746</v>
      </c>
      <c r="B325" s="26" t="s">
        <v>747</v>
      </c>
      <c r="C325" s="39">
        <v>58.673999999999999</v>
      </c>
      <c r="D325" s="39">
        <v>333.59</v>
      </c>
      <c r="E325" s="40">
        <f t="shared" si="16"/>
        <v>19573.059659999999</v>
      </c>
      <c r="F325" s="41">
        <f t="shared" si="17"/>
        <v>6.6636290007721219E-4</v>
      </c>
      <c r="G325" s="42" t="s">
        <v>135</v>
      </c>
      <c r="H325" s="42" t="str">
        <f t="shared" si="18"/>
        <v/>
      </c>
      <c r="I325" s="42">
        <v>0.11</v>
      </c>
      <c r="J325" s="43">
        <f t="shared" si="19"/>
        <v>7.3299919008493346E-5</v>
      </c>
    </row>
    <row r="326" spans="1:10" ht="15" customHeight="1" x14ac:dyDescent="0.25">
      <c r="A326" s="38" t="s">
        <v>748</v>
      </c>
      <c r="B326" s="26" t="s">
        <v>749</v>
      </c>
      <c r="C326" s="39">
        <v>368.30900000000003</v>
      </c>
      <c r="D326" s="39">
        <v>66.5</v>
      </c>
      <c r="E326" s="40">
        <f t="shared" si="16"/>
        <v>24492.548500000001</v>
      </c>
      <c r="F326" s="41" t="str">
        <f t="shared" si="17"/>
        <v/>
      </c>
      <c r="G326" s="42">
        <v>6.7669172932330827E-3</v>
      </c>
      <c r="H326" s="42" t="str">
        <f t="shared" si="18"/>
        <v/>
      </c>
      <c r="I326" s="42">
        <v>0.56499999999999995</v>
      </c>
      <c r="J326" s="43" t="str">
        <f t="shared" si="19"/>
        <v/>
      </c>
    </row>
    <row r="327" spans="1:10" ht="15" customHeight="1" x14ac:dyDescent="0.25">
      <c r="A327" s="38" t="s">
        <v>750</v>
      </c>
      <c r="B327" s="26" t="s">
        <v>751</v>
      </c>
      <c r="C327" s="39">
        <v>558.57399999999996</v>
      </c>
      <c r="D327" s="39">
        <v>85.5</v>
      </c>
      <c r="E327" s="40">
        <f t="shared" si="16"/>
        <v>47758.076999999997</v>
      </c>
      <c r="F327" s="41" t="str">
        <f t="shared" si="17"/>
        <v/>
      </c>
      <c r="G327" s="42">
        <v>2.7134502923976605E-2</v>
      </c>
      <c r="H327" s="42" t="str">
        <f t="shared" si="18"/>
        <v/>
      </c>
      <c r="I327" s="42" t="s">
        <v>135</v>
      </c>
      <c r="J327" s="43" t="str">
        <f t="shared" si="19"/>
        <v/>
      </c>
    </row>
    <row r="328" spans="1:10" ht="15" customHeight="1" x14ac:dyDescent="0.25">
      <c r="A328" s="38" t="s">
        <v>752</v>
      </c>
      <c r="B328" s="26" t="s">
        <v>753</v>
      </c>
      <c r="C328" s="39">
        <v>46.509</v>
      </c>
      <c r="D328" s="39">
        <v>485.68</v>
      </c>
      <c r="E328" s="40">
        <f t="shared" si="16"/>
        <v>22588.491119999999</v>
      </c>
      <c r="F328" s="41">
        <f t="shared" si="17"/>
        <v>7.6902296894605974E-4</v>
      </c>
      <c r="G328" s="42">
        <v>6.1769066051721297E-3</v>
      </c>
      <c r="H328" s="42">
        <f t="shared" si="18"/>
        <v>4.7501830564119979E-6</v>
      </c>
      <c r="I328" s="42">
        <v>0.18</v>
      </c>
      <c r="J328" s="43">
        <f t="shared" si="19"/>
        <v>1.3842413441029076E-4</v>
      </c>
    </row>
    <row r="329" spans="1:10" ht="15" customHeight="1" x14ac:dyDescent="0.25">
      <c r="A329" s="38" t="s">
        <v>754</v>
      </c>
      <c r="B329" s="26" t="s">
        <v>755</v>
      </c>
      <c r="C329" s="39">
        <v>2527.7339999999999</v>
      </c>
      <c r="D329" s="39">
        <v>82.05</v>
      </c>
      <c r="E329" s="40">
        <f t="shared" si="16"/>
        <v>207400.5747</v>
      </c>
      <c r="F329" s="41">
        <f t="shared" si="17"/>
        <v>7.0609322627882129E-3</v>
      </c>
      <c r="G329" s="42">
        <v>3.3638025594149905E-2</v>
      </c>
      <c r="H329" s="42">
        <f t="shared" si="18"/>
        <v>2.3751582017422871E-4</v>
      </c>
      <c r="I329" s="42">
        <v>0.08</v>
      </c>
      <c r="J329" s="43">
        <f t="shared" si="19"/>
        <v>5.6487458102305707E-4</v>
      </c>
    </row>
    <row r="330" spans="1:10" ht="15" customHeight="1" x14ac:dyDescent="0.25">
      <c r="A330" s="38" t="s">
        <v>756</v>
      </c>
      <c r="B330" s="26" t="s">
        <v>757</v>
      </c>
      <c r="C330" s="39">
        <v>403.02</v>
      </c>
      <c r="D330" s="39">
        <v>172.26</v>
      </c>
      <c r="E330" s="40">
        <f t="shared" si="16"/>
        <v>69424.225199999986</v>
      </c>
      <c r="F330" s="41" t="str">
        <f t="shared" si="17"/>
        <v/>
      </c>
      <c r="G330" s="42" t="s">
        <v>135</v>
      </c>
      <c r="H330" s="42" t="str">
        <f t="shared" si="18"/>
        <v/>
      </c>
      <c r="I330" s="42" t="s">
        <v>135</v>
      </c>
      <c r="J330" s="43" t="str">
        <f t="shared" si="19"/>
        <v/>
      </c>
    </row>
    <row r="331" spans="1:10" ht="15" customHeight="1" x14ac:dyDescent="0.25">
      <c r="A331" s="38" t="s">
        <v>758</v>
      </c>
      <c r="B331" s="26" t="s">
        <v>759</v>
      </c>
      <c r="C331" s="39">
        <v>730.76499999999999</v>
      </c>
      <c r="D331" s="39">
        <v>25.11</v>
      </c>
      <c r="E331" s="40">
        <f t="shared" si="16"/>
        <v>18349.509149999998</v>
      </c>
      <c r="F331" s="41" t="str">
        <f t="shared" si="17"/>
        <v/>
      </c>
      <c r="G331" s="42">
        <v>1.1150935882118679E-2</v>
      </c>
      <c r="H331" s="42" t="str">
        <f t="shared" si="18"/>
        <v/>
      </c>
      <c r="I331" s="42" t="s">
        <v>135</v>
      </c>
      <c r="J331" s="43" t="str">
        <f t="shared" si="19"/>
        <v/>
      </c>
    </row>
    <row r="332" spans="1:10" ht="15" customHeight="1" x14ac:dyDescent="0.25">
      <c r="A332" s="38" t="s">
        <v>760</v>
      </c>
      <c r="B332" s="26" t="s">
        <v>761</v>
      </c>
      <c r="C332" s="39">
        <v>1781.299</v>
      </c>
      <c r="D332" s="39">
        <v>87.4</v>
      </c>
      <c r="E332" s="40">
        <f t="shared" si="16"/>
        <v>155685.53260000001</v>
      </c>
      <c r="F332" s="41">
        <f t="shared" si="17"/>
        <v>5.3002987169866612E-3</v>
      </c>
      <c r="G332" s="42">
        <v>3.2036613272311207E-2</v>
      </c>
      <c r="H332" s="42">
        <f t="shared" si="18"/>
        <v>1.6980362022382892E-4</v>
      </c>
      <c r="I332" s="42">
        <v>0.105</v>
      </c>
      <c r="J332" s="43">
        <f t="shared" si="19"/>
        <v>5.5653136528359935E-4</v>
      </c>
    </row>
    <row r="333" spans="1:10" ht="15" customHeight="1" x14ac:dyDescent="0.25">
      <c r="A333" s="38" t="s">
        <v>762</v>
      </c>
      <c r="B333" s="26" t="s">
        <v>763</v>
      </c>
      <c r="C333" s="39">
        <v>81.268000000000001</v>
      </c>
      <c r="D333" s="39">
        <v>502.88</v>
      </c>
      <c r="E333" s="40">
        <f t="shared" si="16"/>
        <v>40868.05184</v>
      </c>
      <c r="F333" s="41">
        <f t="shared" si="17"/>
        <v>1.3913488242342715E-3</v>
      </c>
      <c r="G333" s="42">
        <v>8.2723512567610558E-3</v>
      </c>
      <c r="H333" s="42">
        <f t="shared" si="18"/>
        <v>1.1509726194747393E-5</v>
      </c>
      <c r="I333" s="42">
        <v>0.155</v>
      </c>
      <c r="J333" s="43">
        <f t="shared" si="19"/>
        <v>2.1565906775631208E-4</v>
      </c>
    </row>
    <row r="334" spans="1:10" ht="15" customHeight="1" x14ac:dyDescent="0.25">
      <c r="A334" s="38" t="s">
        <v>764</v>
      </c>
      <c r="B334" s="26" t="s">
        <v>765</v>
      </c>
      <c r="C334" s="39">
        <v>7496.866</v>
      </c>
      <c r="D334" s="39">
        <v>308.31</v>
      </c>
      <c r="E334" s="40">
        <f t="shared" si="16"/>
        <v>2311358.7564599998</v>
      </c>
      <c r="F334" s="41">
        <f t="shared" si="17"/>
        <v>7.8689982599968455E-2</v>
      </c>
      <c r="G334" s="42">
        <v>8.0438519671758944E-3</v>
      </c>
      <c r="H334" s="42">
        <f t="shared" si="18"/>
        <v>6.3297057133379316E-4</v>
      </c>
      <c r="I334" s="42">
        <v>0.17499999999999999</v>
      </c>
      <c r="J334" s="43">
        <f t="shared" si="19"/>
        <v>1.3770746954994478E-2</v>
      </c>
    </row>
    <row r="335" spans="1:10" ht="15" customHeight="1" x14ac:dyDescent="0.25">
      <c r="A335" s="38" t="s">
        <v>766</v>
      </c>
      <c r="B335" s="26" t="s">
        <v>767</v>
      </c>
      <c r="C335" s="39">
        <v>167.44800000000001</v>
      </c>
      <c r="D335" s="39">
        <v>242.2</v>
      </c>
      <c r="E335" s="40">
        <f t="shared" si="16"/>
        <v>40555.905599999998</v>
      </c>
      <c r="F335" s="41">
        <f t="shared" si="17"/>
        <v>1.3807218360501155E-3</v>
      </c>
      <c r="G335" s="42">
        <v>1.3047068538398019E-2</v>
      </c>
      <c r="H335" s="42">
        <f t="shared" si="18"/>
        <v>1.8014372427408612E-5</v>
      </c>
      <c r="I335" s="42">
        <v>0.08</v>
      </c>
      <c r="J335" s="43">
        <f t="shared" si="19"/>
        <v>1.1045774688400925E-4</v>
      </c>
    </row>
    <row r="336" spans="1:10" ht="15" customHeight="1" x14ac:dyDescent="0.25">
      <c r="A336" s="38" t="s">
        <v>768</v>
      </c>
      <c r="B336" s="26" t="s">
        <v>769</v>
      </c>
      <c r="C336" s="39">
        <v>129.05600000000001</v>
      </c>
      <c r="D336" s="39">
        <v>169.5</v>
      </c>
      <c r="E336" s="40">
        <f t="shared" si="16"/>
        <v>21874.992000000002</v>
      </c>
      <c r="F336" s="41">
        <f t="shared" si="17"/>
        <v>7.4473196125157161E-4</v>
      </c>
      <c r="G336" s="42">
        <v>2.831858407079646E-2</v>
      </c>
      <c r="H336" s="42">
        <f t="shared" si="18"/>
        <v>2.1089754654911763E-5</v>
      </c>
      <c r="I336" s="42">
        <v>0.08</v>
      </c>
      <c r="J336" s="43">
        <f t="shared" si="19"/>
        <v>5.957855690012573E-5</v>
      </c>
    </row>
    <row r="337" spans="1:10" ht="15" customHeight="1" x14ac:dyDescent="0.25">
      <c r="A337" s="38" t="s">
        <v>770</v>
      </c>
      <c r="B337" s="26" t="s">
        <v>771</v>
      </c>
      <c r="C337" s="39">
        <v>285.14800000000002</v>
      </c>
      <c r="D337" s="39">
        <v>108.74</v>
      </c>
      <c r="E337" s="40">
        <f t="shared" ref="E337:E400" si="20">IFERROR(C337*D337, "")</f>
        <v>31006.99352</v>
      </c>
      <c r="F337" s="41">
        <f t="shared" ref="F337:F400" si="21">IF(AND(ISNUMBER($I337)), IF(AND($I337&lt;=20%,$I337&gt;0%), $E337/SUMIFS($E$16:$E$520,$I$16:$I$520, "&gt;"&amp;0%,$I$16:$I$520, "&lt;="&amp;20%),""),"")</f>
        <v>1.0556300590493642E-3</v>
      </c>
      <c r="G337" s="42" t="s">
        <v>135</v>
      </c>
      <c r="H337" s="42" t="str">
        <f t="shared" ref="H337:H400" si="22">IFERROR(F337*G337,"")</f>
        <v/>
      </c>
      <c r="I337" s="42">
        <v>0.185</v>
      </c>
      <c r="J337" s="43">
        <f t="shared" ref="J337:J400" si="23">IFERROR(F337*I337,"")</f>
        <v>1.9529156092413239E-4</v>
      </c>
    </row>
    <row r="338" spans="1:10" ht="15" customHeight="1" x14ac:dyDescent="0.25">
      <c r="A338" s="38" t="s">
        <v>772</v>
      </c>
      <c r="B338" s="26" t="s">
        <v>773</v>
      </c>
      <c r="C338" s="39">
        <v>22.736000000000001</v>
      </c>
      <c r="D338" s="39">
        <v>1373.19</v>
      </c>
      <c r="E338" s="40">
        <f t="shared" si="20"/>
        <v>31220.847840000002</v>
      </c>
      <c r="F338" s="41">
        <f t="shared" si="21"/>
        <v>1.0629107084391203E-3</v>
      </c>
      <c r="G338" s="42" t="s">
        <v>135</v>
      </c>
      <c r="H338" s="42" t="str">
        <f t="shared" si="22"/>
        <v/>
      </c>
      <c r="I338" s="42">
        <v>0.13500000000000001</v>
      </c>
      <c r="J338" s="43">
        <f t="shared" si="23"/>
        <v>1.4349294563928126E-4</v>
      </c>
    </row>
    <row r="339" spans="1:10" ht="15" customHeight="1" x14ac:dyDescent="0.25">
      <c r="A339" s="38" t="s">
        <v>774</v>
      </c>
      <c r="B339" s="26" t="s">
        <v>775</v>
      </c>
      <c r="C339" s="39">
        <v>1116.6669999999999</v>
      </c>
      <c r="D339" s="39">
        <v>77.89</v>
      </c>
      <c r="E339" s="40">
        <f t="shared" si="20"/>
        <v>86977.19262999999</v>
      </c>
      <c r="F339" s="41" t="str">
        <f t="shared" si="21"/>
        <v/>
      </c>
      <c r="G339" s="42">
        <v>5.1354474258569777E-3</v>
      </c>
      <c r="H339" s="42" t="str">
        <f t="shared" si="22"/>
        <v/>
      </c>
      <c r="I339" s="42">
        <v>0.24</v>
      </c>
      <c r="J339" s="43" t="str">
        <f t="shared" si="23"/>
        <v/>
      </c>
    </row>
    <row r="340" spans="1:10" ht="15" customHeight="1" x14ac:dyDescent="0.25">
      <c r="A340" s="38" t="s">
        <v>776</v>
      </c>
      <c r="B340" s="26" t="s">
        <v>777</v>
      </c>
      <c r="C340" s="39">
        <v>417.08600000000001</v>
      </c>
      <c r="D340" s="39">
        <v>21.88</v>
      </c>
      <c r="E340" s="40">
        <f t="shared" si="20"/>
        <v>9125.8416799999995</v>
      </c>
      <c r="F340" s="41" t="str">
        <f t="shared" si="21"/>
        <v/>
      </c>
      <c r="G340" s="42" t="s">
        <v>135</v>
      </c>
      <c r="H340" s="42" t="str">
        <f t="shared" si="22"/>
        <v/>
      </c>
      <c r="I340" s="42" t="s">
        <v>135</v>
      </c>
      <c r="J340" s="43" t="str">
        <f t="shared" si="23"/>
        <v/>
      </c>
    </row>
    <row r="341" spans="1:10" ht="15" customHeight="1" x14ac:dyDescent="0.25">
      <c r="A341" s="38" t="s">
        <v>778</v>
      </c>
      <c r="B341" s="26" t="s">
        <v>779</v>
      </c>
      <c r="C341" s="39">
        <v>164.41200000000001</v>
      </c>
      <c r="D341" s="39">
        <v>178.2</v>
      </c>
      <c r="E341" s="40">
        <f t="shared" si="20"/>
        <v>29298.218399999998</v>
      </c>
      <c r="F341" s="41">
        <f t="shared" si="21"/>
        <v>9.9745497736451185E-4</v>
      </c>
      <c r="G341" s="42">
        <v>1.2121212121212123E-2</v>
      </c>
      <c r="H341" s="42">
        <f t="shared" si="22"/>
        <v>1.2090363361994085E-5</v>
      </c>
      <c r="I341" s="42">
        <v>6.5000000000000002E-2</v>
      </c>
      <c r="J341" s="43">
        <f t="shared" si="23"/>
        <v>6.483457352869327E-5</v>
      </c>
    </row>
    <row r="342" spans="1:10" ht="15" customHeight="1" x14ac:dyDescent="0.25">
      <c r="A342" s="38" t="s">
        <v>780</v>
      </c>
      <c r="B342" s="26" t="s">
        <v>781</v>
      </c>
      <c r="C342" s="39">
        <v>57.941000000000003</v>
      </c>
      <c r="D342" s="39">
        <v>227.08</v>
      </c>
      <c r="E342" s="40">
        <f t="shared" si="20"/>
        <v>13157.24228</v>
      </c>
      <c r="F342" s="41">
        <f t="shared" si="21"/>
        <v>4.4793702543280921E-4</v>
      </c>
      <c r="G342" s="42">
        <v>8.9836181081557158E-3</v>
      </c>
      <c r="H342" s="42">
        <f t="shared" si="22"/>
        <v>4.0240951729915918E-6</v>
      </c>
      <c r="I342" s="42">
        <v>0.13500000000000001</v>
      </c>
      <c r="J342" s="43">
        <f t="shared" si="23"/>
        <v>6.0471498433429246E-5</v>
      </c>
    </row>
    <row r="343" spans="1:10" ht="15" customHeight="1" x14ac:dyDescent="0.25">
      <c r="A343" s="38" t="s">
        <v>782</v>
      </c>
      <c r="B343" s="26" t="s">
        <v>783</v>
      </c>
      <c r="C343" s="39">
        <v>1962.7449999999999</v>
      </c>
      <c r="D343" s="39">
        <v>84.71</v>
      </c>
      <c r="E343" s="40">
        <f t="shared" si="20"/>
        <v>166264.12894999998</v>
      </c>
      <c r="F343" s="41">
        <f t="shared" si="21"/>
        <v>5.6604459941616289E-3</v>
      </c>
      <c r="G343" s="42">
        <v>2.0068468893873214E-2</v>
      </c>
      <c r="H343" s="42">
        <f t="shared" si="22"/>
        <v>1.1359648435928189E-4</v>
      </c>
      <c r="I343" s="42">
        <v>0.11</v>
      </c>
      <c r="J343" s="43">
        <f t="shared" si="23"/>
        <v>6.2264905935777918E-4</v>
      </c>
    </row>
    <row r="344" spans="1:10" ht="15" customHeight="1" x14ac:dyDescent="0.25">
      <c r="A344" s="38" t="s">
        <v>784</v>
      </c>
      <c r="B344" s="26" t="s">
        <v>785</v>
      </c>
      <c r="C344" s="39">
        <v>792.54899999999998</v>
      </c>
      <c r="D344" s="39">
        <v>79.45</v>
      </c>
      <c r="E344" s="40">
        <f t="shared" si="20"/>
        <v>62968.018049999999</v>
      </c>
      <c r="F344" s="41">
        <f t="shared" si="21"/>
        <v>2.1437400104421002E-3</v>
      </c>
      <c r="G344" s="42">
        <v>2.7690371302706105E-2</v>
      </c>
      <c r="H344" s="42">
        <f t="shared" si="22"/>
        <v>5.9360956865608816E-5</v>
      </c>
      <c r="I344" s="42">
        <v>9.5000000000000001E-2</v>
      </c>
      <c r="J344" s="43">
        <f t="shared" si="23"/>
        <v>2.0365530099199951E-4</v>
      </c>
    </row>
    <row r="345" spans="1:10" ht="15" customHeight="1" x14ac:dyDescent="0.25">
      <c r="A345" s="38" t="s">
        <v>786</v>
      </c>
      <c r="B345" s="26" t="s">
        <v>787</v>
      </c>
      <c r="C345" s="39">
        <v>443.96300000000002</v>
      </c>
      <c r="D345" s="39">
        <v>374.59</v>
      </c>
      <c r="E345" s="40">
        <f t="shared" si="20"/>
        <v>166304.10016999999</v>
      </c>
      <c r="F345" s="41" t="str">
        <f t="shared" si="21"/>
        <v/>
      </c>
      <c r="G345" s="42" t="s">
        <v>135</v>
      </c>
      <c r="H345" s="42" t="str">
        <f t="shared" si="22"/>
        <v/>
      </c>
      <c r="I345" s="42">
        <v>0.23499999999999999</v>
      </c>
      <c r="J345" s="43" t="str">
        <f t="shared" si="23"/>
        <v/>
      </c>
    </row>
    <row r="346" spans="1:10" ht="15" customHeight="1" x14ac:dyDescent="0.25">
      <c r="A346" s="38" t="s">
        <v>788</v>
      </c>
      <c r="B346" s="26" t="s">
        <v>54</v>
      </c>
      <c r="C346" s="39">
        <v>405.38499999999999</v>
      </c>
      <c r="D346" s="39">
        <v>31.8</v>
      </c>
      <c r="E346" s="40">
        <f t="shared" si="20"/>
        <v>12891.243</v>
      </c>
      <c r="F346" s="41">
        <f t="shared" si="21"/>
        <v>4.3888110598443159E-4</v>
      </c>
      <c r="G346" s="42">
        <v>2.9559748427672953E-2</v>
      </c>
      <c r="H346" s="42">
        <f t="shared" si="22"/>
        <v>1.2973215082558667E-5</v>
      </c>
      <c r="I346" s="42">
        <v>0.105</v>
      </c>
      <c r="J346" s="43">
        <f t="shared" si="23"/>
        <v>4.6082516128365317E-5</v>
      </c>
    </row>
    <row r="347" spans="1:10" ht="15" customHeight="1" x14ac:dyDescent="0.25">
      <c r="A347" s="38" t="s">
        <v>789</v>
      </c>
      <c r="B347" s="26" t="s">
        <v>790</v>
      </c>
      <c r="C347" s="39">
        <v>1276.288</v>
      </c>
      <c r="D347" s="39">
        <v>134.56</v>
      </c>
      <c r="E347" s="40">
        <f t="shared" si="20"/>
        <v>171737.31328</v>
      </c>
      <c r="F347" s="41" t="str">
        <f t="shared" si="21"/>
        <v/>
      </c>
      <c r="G347" s="42">
        <v>9.0665873959571933E-3</v>
      </c>
      <c r="H347" s="42" t="str">
        <f t="shared" si="22"/>
        <v/>
      </c>
      <c r="I347" s="42">
        <v>0.27</v>
      </c>
      <c r="J347" s="43" t="str">
        <f t="shared" si="23"/>
        <v/>
      </c>
    </row>
    <row r="348" spans="1:10" ht="15" customHeight="1" x14ac:dyDescent="0.25">
      <c r="A348" s="38" t="s">
        <v>791</v>
      </c>
      <c r="B348" s="26" t="s">
        <v>792</v>
      </c>
      <c r="C348" s="39">
        <v>582.274</v>
      </c>
      <c r="D348" s="39">
        <v>26.52</v>
      </c>
      <c r="E348" s="40">
        <f t="shared" si="20"/>
        <v>15441.90648</v>
      </c>
      <c r="F348" s="41">
        <f t="shared" si="21"/>
        <v>5.2571819447128261E-4</v>
      </c>
      <c r="G348" s="42">
        <v>1.8853695324283559E-2</v>
      </c>
      <c r="H348" s="42">
        <f t="shared" si="22"/>
        <v>9.9117306649940158E-6</v>
      </c>
      <c r="I348" s="42">
        <v>0.11</v>
      </c>
      <c r="J348" s="43">
        <f t="shared" si="23"/>
        <v>5.7829001391841088E-5</v>
      </c>
    </row>
    <row r="349" spans="1:10" ht="15" customHeight="1" x14ac:dyDescent="0.25">
      <c r="A349" s="38" t="s">
        <v>793</v>
      </c>
      <c r="B349" s="26" t="s">
        <v>794</v>
      </c>
      <c r="C349" s="39">
        <v>359.48500000000001</v>
      </c>
      <c r="D349" s="39">
        <v>27.24</v>
      </c>
      <c r="E349" s="40">
        <f t="shared" si="20"/>
        <v>9792.3714</v>
      </c>
      <c r="F349" s="41" t="str">
        <f t="shared" si="21"/>
        <v/>
      </c>
      <c r="G349" s="42">
        <v>8.8105726872246704E-3</v>
      </c>
      <c r="H349" s="42" t="str">
        <f t="shared" si="22"/>
        <v/>
      </c>
      <c r="I349" s="42" t="s">
        <v>135</v>
      </c>
      <c r="J349" s="43" t="str">
        <f t="shared" si="23"/>
        <v/>
      </c>
    </row>
    <row r="350" spans="1:10" ht="15" customHeight="1" x14ac:dyDescent="0.25">
      <c r="A350" s="38" t="s">
        <v>795</v>
      </c>
      <c r="B350" s="26" t="s">
        <v>796</v>
      </c>
      <c r="C350" s="39">
        <v>156.102</v>
      </c>
      <c r="D350" s="39">
        <v>447.22</v>
      </c>
      <c r="E350" s="40">
        <f t="shared" si="20"/>
        <v>69811.936440000005</v>
      </c>
      <c r="F350" s="41">
        <f t="shared" si="21"/>
        <v>2.3767405420642555E-3</v>
      </c>
      <c r="G350" s="42">
        <v>1.4042305800277268E-2</v>
      </c>
      <c r="H350" s="42">
        <f t="shared" si="22"/>
        <v>3.3374917499583032E-5</v>
      </c>
      <c r="I350" s="42">
        <v>8.5000000000000006E-2</v>
      </c>
      <c r="J350" s="43">
        <f t="shared" si="23"/>
        <v>2.0202294607546173E-4</v>
      </c>
    </row>
    <row r="351" spans="1:10" ht="15" customHeight="1" x14ac:dyDescent="0.25">
      <c r="A351" s="38" t="s">
        <v>797</v>
      </c>
      <c r="B351" s="26" t="s">
        <v>798</v>
      </c>
      <c r="C351" s="39">
        <v>200</v>
      </c>
      <c r="D351" s="39">
        <v>556.89</v>
      </c>
      <c r="E351" s="40">
        <f t="shared" si="20"/>
        <v>111378</v>
      </c>
      <c r="F351" s="41" t="str">
        <f t="shared" si="21"/>
        <v/>
      </c>
      <c r="G351" s="42" t="s">
        <v>135</v>
      </c>
      <c r="H351" s="42" t="str">
        <f t="shared" si="22"/>
        <v/>
      </c>
      <c r="I351" s="42">
        <v>0.44500000000000001</v>
      </c>
      <c r="J351" s="43" t="str">
        <f t="shared" si="23"/>
        <v/>
      </c>
    </row>
    <row r="352" spans="1:10" ht="15" customHeight="1" x14ac:dyDescent="0.25">
      <c r="A352" s="38" t="s">
        <v>799</v>
      </c>
      <c r="B352" s="26" t="s">
        <v>800</v>
      </c>
      <c r="C352" s="39">
        <v>242.154</v>
      </c>
      <c r="D352" s="39">
        <v>38.36</v>
      </c>
      <c r="E352" s="40">
        <f t="shared" si="20"/>
        <v>9289.0274399999998</v>
      </c>
      <c r="F352" s="41" t="str">
        <f t="shared" si="21"/>
        <v/>
      </c>
      <c r="G352" s="42">
        <v>3.6496350364963501E-2</v>
      </c>
      <c r="H352" s="42" t="str">
        <f t="shared" si="22"/>
        <v/>
      </c>
      <c r="I352" s="42">
        <v>-0.105</v>
      </c>
      <c r="J352" s="43" t="str">
        <f t="shared" si="23"/>
        <v/>
      </c>
    </row>
    <row r="353" spans="1:10" ht="15" customHeight="1" x14ac:dyDescent="0.25">
      <c r="A353" s="38" t="s">
        <v>801</v>
      </c>
      <c r="B353" s="26" t="s">
        <v>802</v>
      </c>
      <c r="C353" s="39">
        <v>239.77699999999999</v>
      </c>
      <c r="D353" s="39">
        <v>285.22000000000003</v>
      </c>
      <c r="E353" s="40">
        <f t="shared" si="20"/>
        <v>68389.195940000005</v>
      </c>
      <c r="F353" s="41">
        <f t="shared" si="21"/>
        <v>2.3283034810167801E-3</v>
      </c>
      <c r="G353" s="42">
        <v>1.7390084846784937E-2</v>
      </c>
      <c r="H353" s="42">
        <f t="shared" si="22"/>
        <v>4.0489395083946527E-5</v>
      </c>
      <c r="I353" s="42">
        <v>0.1</v>
      </c>
      <c r="J353" s="43">
        <f t="shared" si="23"/>
        <v>2.3283034810167802E-4</v>
      </c>
    </row>
    <row r="354" spans="1:10" ht="15" customHeight="1" x14ac:dyDescent="0.25">
      <c r="A354" s="38" t="s">
        <v>803</v>
      </c>
      <c r="B354" s="26" t="s">
        <v>804</v>
      </c>
      <c r="C354" s="39">
        <v>222.536</v>
      </c>
      <c r="D354" s="39">
        <v>83</v>
      </c>
      <c r="E354" s="40">
        <f t="shared" si="20"/>
        <v>18470.488000000001</v>
      </c>
      <c r="F354" s="41">
        <f t="shared" si="21"/>
        <v>6.2882595584554351E-4</v>
      </c>
      <c r="G354" s="42">
        <v>2.4096385542168676E-2</v>
      </c>
      <c r="H354" s="42">
        <f t="shared" si="22"/>
        <v>1.5152432670976953E-5</v>
      </c>
      <c r="I354" s="42">
        <v>0.08</v>
      </c>
      <c r="J354" s="43">
        <f t="shared" si="23"/>
        <v>5.0306076467643485E-5</v>
      </c>
    </row>
    <row r="355" spans="1:10" ht="15" customHeight="1" x14ac:dyDescent="0.25">
      <c r="A355" s="38" t="s">
        <v>805</v>
      </c>
      <c r="B355" s="26" t="s">
        <v>806</v>
      </c>
      <c r="C355" s="39">
        <v>207.94399999999999</v>
      </c>
      <c r="D355" s="39">
        <v>116.45</v>
      </c>
      <c r="E355" s="40">
        <f t="shared" si="20"/>
        <v>24215.078799999999</v>
      </c>
      <c r="F355" s="41">
        <f t="shared" si="21"/>
        <v>8.2439998728161136E-4</v>
      </c>
      <c r="G355" s="42">
        <v>2.4044654358093602E-2</v>
      </c>
      <c r="H355" s="42">
        <f t="shared" si="22"/>
        <v>1.9822412747003108E-5</v>
      </c>
      <c r="I355" s="42">
        <v>0.08</v>
      </c>
      <c r="J355" s="43">
        <f t="shared" si="23"/>
        <v>6.5951998982528907E-5</v>
      </c>
    </row>
    <row r="356" spans="1:10" ht="15" customHeight="1" x14ac:dyDescent="0.25">
      <c r="A356" s="38" t="s">
        <v>807</v>
      </c>
      <c r="B356" s="26" t="s">
        <v>808</v>
      </c>
      <c r="C356" s="39">
        <v>268.40499999999997</v>
      </c>
      <c r="D356" s="39">
        <v>148.65</v>
      </c>
      <c r="E356" s="40">
        <f t="shared" si="20"/>
        <v>39898.403249999996</v>
      </c>
      <c r="F356" s="41">
        <f t="shared" si="21"/>
        <v>1.3583372329086371E-3</v>
      </c>
      <c r="G356" s="42">
        <v>1.3454423141607804E-2</v>
      </c>
      <c r="H356" s="42">
        <f t="shared" si="22"/>
        <v>1.8275643900553475E-5</v>
      </c>
      <c r="I356" s="42">
        <v>0.12</v>
      </c>
      <c r="J356" s="43">
        <f t="shared" si="23"/>
        <v>1.6300046794903643E-4</v>
      </c>
    </row>
    <row r="357" spans="1:10" ht="15" customHeight="1" x14ac:dyDescent="0.25">
      <c r="A357" s="38" t="s">
        <v>809</v>
      </c>
      <c r="B357" s="26" t="s">
        <v>810</v>
      </c>
      <c r="C357" s="39">
        <v>2510</v>
      </c>
      <c r="D357" s="39">
        <v>272.86</v>
      </c>
      <c r="E357" s="40">
        <f t="shared" si="20"/>
        <v>684878.6</v>
      </c>
      <c r="F357" s="41" t="str">
        <f t="shared" si="21"/>
        <v/>
      </c>
      <c r="G357" s="42">
        <v>5.8638129443670741E-4</v>
      </c>
      <c r="H357" s="42" t="str">
        <f t="shared" si="22"/>
        <v/>
      </c>
      <c r="I357" s="42">
        <v>0.215</v>
      </c>
      <c r="J357" s="43" t="str">
        <f t="shared" si="23"/>
        <v/>
      </c>
    </row>
    <row r="358" spans="1:10" ht="15" customHeight="1" x14ac:dyDescent="0.25">
      <c r="A358" s="38" t="s">
        <v>811</v>
      </c>
      <c r="B358" s="26" t="s">
        <v>812</v>
      </c>
      <c r="C358" s="39">
        <v>3.36</v>
      </c>
      <c r="D358" s="39">
        <v>4467.2700000000004</v>
      </c>
      <c r="E358" s="40">
        <f t="shared" si="20"/>
        <v>15010.0272</v>
      </c>
      <c r="F358" s="41">
        <f t="shared" si="21"/>
        <v>5.1101490666124289E-4</v>
      </c>
      <c r="G358" s="42" t="s">
        <v>135</v>
      </c>
      <c r="H358" s="42" t="str">
        <f t="shared" si="22"/>
        <v/>
      </c>
      <c r="I358" s="42">
        <v>5.5E-2</v>
      </c>
      <c r="J358" s="43">
        <f t="shared" si="23"/>
        <v>2.8105819866368358E-5</v>
      </c>
    </row>
    <row r="359" spans="1:10" ht="15" customHeight="1" x14ac:dyDescent="0.25">
      <c r="A359" s="38" t="s">
        <v>813</v>
      </c>
      <c r="B359" s="26" t="s">
        <v>814</v>
      </c>
      <c r="C359" s="39">
        <v>415.80599999999998</v>
      </c>
      <c r="D359" s="39">
        <v>21.41</v>
      </c>
      <c r="E359" s="40">
        <f t="shared" si="20"/>
        <v>8902.4064600000002</v>
      </c>
      <c r="F359" s="41" t="str">
        <f t="shared" si="21"/>
        <v/>
      </c>
      <c r="G359" s="42">
        <v>4.2970574497898179E-2</v>
      </c>
      <c r="H359" s="42" t="str">
        <f t="shared" si="22"/>
        <v/>
      </c>
      <c r="I359" s="42" t="s">
        <v>135</v>
      </c>
      <c r="J359" s="43" t="str">
        <f t="shared" si="23"/>
        <v/>
      </c>
    </row>
    <row r="360" spans="1:10" ht="15" customHeight="1" x14ac:dyDescent="0.25">
      <c r="A360" s="38" t="s">
        <v>815</v>
      </c>
      <c r="B360" s="26" t="s">
        <v>816</v>
      </c>
      <c r="C360" s="39">
        <v>198.483</v>
      </c>
      <c r="D360" s="39">
        <v>22.52</v>
      </c>
      <c r="E360" s="40">
        <f t="shared" si="20"/>
        <v>4469.83716</v>
      </c>
      <c r="F360" s="41" t="str">
        <f t="shared" si="21"/>
        <v/>
      </c>
      <c r="G360" s="42">
        <v>8.8809946714031984E-3</v>
      </c>
      <c r="H360" s="42" t="str">
        <f t="shared" si="22"/>
        <v/>
      </c>
      <c r="I360" s="42" t="s">
        <v>135</v>
      </c>
      <c r="J360" s="43" t="str">
        <f t="shared" si="23"/>
        <v/>
      </c>
    </row>
    <row r="361" spans="1:10" ht="15" customHeight="1" x14ac:dyDescent="0.25">
      <c r="A361" s="38" t="s">
        <v>815</v>
      </c>
      <c r="B361" s="26" t="s">
        <v>817</v>
      </c>
      <c r="C361" s="39">
        <v>390.87400000000002</v>
      </c>
      <c r="D361" s="39">
        <v>22.15</v>
      </c>
      <c r="E361" s="40">
        <f t="shared" si="20"/>
        <v>8657.8590999999997</v>
      </c>
      <c r="F361" s="41" t="str">
        <f t="shared" si="21"/>
        <v/>
      </c>
      <c r="G361" s="42">
        <v>9.0293453724604976E-3</v>
      </c>
      <c r="H361" s="42" t="str">
        <f t="shared" si="22"/>
        <v/>
      </c>
      <c r="I361" s="42" t="s">
        <v>135</v>
      </c>
      <c r="J361" s="43" t="str">
        <f t="shared" si="23"/>
        <v/>
      </c>
    </row>
    <row r="362" spans="1:10" ht="15" customHeight="1" x14ac:dyDescent="0.25">
      <c r="A362" s="38" t="s">
        <v>818</v>
      </c>
      <c r="B362" s="26" t="s">
        <v>819</v>
      </c>
      <c r="C362" s="39">
        <v>262.53800000000001</v>
      </c>
      <c r="D362" s="39">
        <v>185.08</v>
      </c>
      <c r="E362" s="40">
        <f t="shared" si="20"/>
        <v>48590.533040000002</v>
      </c>
      <c r="F362" s="41">
        <f t="shared" si="21"/>
        <v>1.6542599407185377E-3</v>
      </c>
      <c r="G362" s="42">
        <v>1.8262373027879832E-2</v>
      </c>
      <c r="H362" s="42">
        <f t="shared" si="22"/>
        <v>3.0210712122480315E-5</v>
      </c>
      <c r="I362" s="42">
        <v>0.12</v>
      </c>
      <c r="J362" s="43">
        <f t="shared" si="23"/>
        <v>1.9851119288622453E-4</v>
      </c>
    </row>
    <row r="363" spans="1:10" ht="15" customHeight="1" x14ac:dyDescent="0.25">
      <c r="A363" s="38" t="s">
        <v>820</v>
      </c>
      <c r="B363" s="26" t="s">
        <v>821</v>
      </c>
      <c r="C363" s="39">
        <v>597.90099999999995</v>
      </c>
      <c r="D363" s="39">
        <v>69.3</v>
      </c>
      <c r="E363" s="40">
        <f t="shared" si="20"/>
        <v>41434.539299999997</v>
      </c>
      <c r="F363" s="41">
        <f t="shared" si="21"/>
        <v>1.4106348343553366E-3</v>
      </c>
      <c r="G363" s="42">
        <v>4.2770562770562771E-2</v>
      </c>
      <c r="H363" s="42">
        <f t="shared" si="22"/>
        <v>6.0333645729137343E-5</v>
      </c>
      <c r="I363" s="42">
        <v>3.5000000000000003E-2</v>
      </c>
      <c r="J363" s="43">
        <f t="shared" si="23"/>
        <v>4.9372219202436782E-5</v>
      </c>
    </row>
    <row r="364" spans="1:10" ht="15" customHeight="1" x14ac:dyDescent="0.25">
      <c r="A364" s="38" t="s">
        <v>822</v>
      </c>
      <c r="B364" s="26" t="s">
        <v>823</v>
      </c>
      <c r="C364" s="39">
        <v>114.864</v>
      </c>
      <c r="D364" s="39">
        <v>298.68</v>
      </c>
      <c r="E364" s="40">
        <f t="shared" si="20"/>
        <v>34307.579519999999</v>
      </c>
      <c r="F364" s="41">
        <f t="shared" si="21"/>
        <v>1.1679981863181412E-3</v>
      </c>
      <c r="G364" s="42">
        <v>4.017677782241864E-3</v>
      </c>
      <c r="H364" s="42">
        <f t="shared" si="22"/>
        <v>4.6926403628691891E-6</v>
      </c>
      <c r="I364" s="42">
        <v>0.12</v>
      </c>
      <c r="J364" s="43">
        <f t="shared" si="23"/>
        <v>1.4015978235817694E-4</v>
      </c>
    </row>
    <row r="365" spans="1:10" ht="15" customHeight="1" x14ac:dyDescent="0.25">
      <c r="A365" s="38" t="s">
        <v>824</v>
      </c>
      <c r="B365" s="26" t="s">
        <v>825</v>
      </c>
      <c r="C365" s="39">
        <v>253.637</v>
      </c>
      <c r="D365" s="39">
        <v>34.93</v>
      </c>
      <c r="E365" s="40">
        <f t="shared" si="20"/>
        <v>8859.5404099999996</v>
      </c>
      <c r="F365" s="41" t="str">
        <f t="shared" si="21"/>
        <v/>
      </c>
      <c r="G365" s="42">
        <v>3.206412825651303E-2</v>
      </c>
      <c r="H365" s="42" t="str">
        <f t="shared" si="22"/>
        <v/>
      </c>
      <c r="I365" s="42" t="s">
        <v>135</v>
      </c>
      <c r="J365" s="43" t="str">
        <f t="shared" si="23"/>
        <v/>
      </c>
    </row>
    <row r="366" spans="1:10" ht="15" customHeight="1" x14ac:dyDescent="0.25">
      <c r="A366" s="38" t="s">
        <v>826</v>
      </c>
      <c r="B366" s="26" t="s">
        <v>827</v>
      </c>
      <c r="C366" s="39">
        <v>446.21300000000002</v>
      </c>
      <c r="D366" s="39">
        <v>70.63</v>
      </c>
      <c r="E366" s="40">
        <f t="shared" si="20"/>
        <v>31516.02419</v>
      </c>
      <c r="F366" s="41">
        <f t="shared" si="21"/>
        <v>1.072959958379444E-3</v>
      </c>
      <c r="G366" s="42">
        <v>5.2952003397989528E-2</v>
      </c>
      <c r="H366" s="42">
        <f t="shared" si="22"/>
        <v>5.6815379362015025E-5</v>
      </c>
      <c r="I366" s="42">
        <v>0.12</v>
      </c>
      <c r="J366" s="43">
        <f t="shared" si="23"/>
        <v>1.2875519500553327E-4</v>
      </c>
    </row>
    <row r="367" spans="1:10" ht="15" customHeight="1" x14ac:dyDescent="0.25">
      <c r="A367" s="38" t="s">
        <v>828</v>
      </c>
      <c r="B367" s="26" t="s">
        <v>829</v>
      </c>
      <c r="C367" s="39">
        <v>206.94800000000001</v>
      </c>
      <c r="D367" s="39">
        <v>84.88</v>
      </c>
      <c r="E367" s="40">
        <f t="shared" si="20"/>
        <v>17565.74624</v>
      </c>
      <c r="F367" s="41">
        <f t="shared" si="21"/>
        <v>5.9802411119339461E-4</v>
      </c>
      <c r="G367" s="42">
        <v>3.2987747408105561E-2</v>
      </c>
      <c r="H367" s="42">
        <f t="shared" si="22"/>
        <v>1.9727468324004535E-5</v>
      </c>
      <c r="I367" s="42">
        <v>0.06</v>
      </c>
      <c r="J367" s="43">
        <f t="shared" si="23"/>
        <v>3.5881446671603673E-5</v>
      </c>
    </row>
    <row r="368" spans="1:10" ht="15" customHeight="1" x14ac:dyDescent="0.25">
      <c r="A368" s="38" t="s">
        <v>830</v>
      </c>
      <c r="B368" s="26" t="s">
        <v>831</v>
      </c>
      <c r="C368" s="39">
        <v>2668.1570000000002</v>
      </c>
      <c r="D368" s="39">
        <v>82.73</v>
      </c>
      <c r="E368" s="40">
        <f t="shared" si="20"/>
        <v>220736.62861000001</v>
      </c>
      <c r="F368" s="41">
        <f t="shared" si="21"/>
        <v>7.5149569126601303E-3</v>
      </c>
      <c r="G368" s="42">
        <v>1.5472017406019582E-2</v>
      </c>
      <c r="H368" s="42">
        <f t="shared" si="22"/>
        <v>1.1627154415816472E-4</v>
      </c>
      <c r="I368" s="42">
        <v>0.1</v>
      </c>
      <c r="J368" s="43">
        <f t="shared" si="23"/>
        <v>7.514956912660131E-4</v>
      </c>
    </row>
    <row r="369" spans="1:10" ht="15" customHeight="1" x14ac:dyDescent="0.25">
      <c r="A369" s="38" t="s">
        <v>832</v>
      </c>
      <c r="B369" s="26" t="s">
        <v>833</v>
      </c>
      <c r="C369" s="39">
        <v>66.296000000000006</v>
      </c>
      <c r="D369" s="39">
        <v>684.96</v>
      </c>
      <c r="E369" s="40">
        <f t="shared" si="20"/>
        <v>45410.108160000003</v>
      </c>
      <c r="F369" s="41">
        <f t="shared" si="21"/>
        <v>1.5459826870173389E-3</v>
      </c>
      <c r="G369" s="42" t="s">
        <v>135</v>
      </c>
      <c r="H369" s="42" t="str">
        <f t="shared" si="22"/>
        <v/>
      </c>
      <c r="I369" s="42">
        <v>0.13</v>
      </c>
      <c r="J369" s="43">
        <f t="shared" si="23"/>
        <v>2.0097774931225406E-4</v>
      </c>
    </row>
    <row r="370" spans="1:10" ht="15" customHeight="1" x14ac:dyDescent="0.25">
      <c r="A370" s="38" t="s">
        <v>834</v>
      </c>
      <c r="B370" s="26" t="s">
        <v>835</v>
      </c>
      <c r="C370" s="39">
        <v>424.96199999999999</v>
      </c>
      <c r="D370" s="39">
        <v>76.95</v>
      </c>
      <c r="E370" s="40">
        <f t="shared" si="20"/>
        <v>32700.8259</v>
      </c>
      <c r="F370" s="41" t="str">
        <f t="shared" si="21"/>
        <v/>
      </c>
      <c r="G370" s="42">
        <v>1.2475633528265107E-2</v>
      </c>
      <c r="H370" s="42" t="str">
        <f t="shared" si="22"/>
        <v/>
      </c>
      <c r="I370" s="42" t="s">
        <v>135</v>
      </c>
      <c r="J370" s="43" t="str">
        <f t="shared" si="23"/>
        <v/>
      </c>
    </row>
    <row r="371" spans="1:10" ht="15" customHeight="1" x14ac:dyDescent="0.25">
      <c r="A371" s="38" t="s">
        <v>836</v>
      </c>
      <c r="B371" s="26" t="s">
        <v>837</v>
      </c>
      <c r="C371" s="39">
        <v>936.90899999999999</v>
      </c>
      <c r="D371" s="39">
        <v>56.74</v>
      </c>
      <c r="E371" s="40">
        <f t="shared" si="20"/>
        <v>53160.216659999998</v>
      </c>
      <c r="F371" s="41" t="str">
        <f t="shared" si="21"/>
        <v/>
      </c>
      <c r="G371" s="42">
        <v>9.1646105040535785E-3</v>
      </c>
      <c r="H371" s="42" t="str">
        <f t="shared" si="22"/>
        <v/>
      </c>
      <c r="I371" s="42">
        <v>0.30499999999999999</v>
      </c>
      <c r="J371" s="43" t="str">
        <f t="shared" si="23"/>
        <v/>
      </c>
    </row>
    <row r="372" spans="1:10" ht="15" customHeight="1" x14ac:dyDescent="0.25">
      <c r="A372" s="38" t="s">
        <v>838</v>
      </c>
      <c r="B372" s="26" t="s">
        <v>839</v>
      </c>
      <c r="C372" s="39">
        <v>607.87699999999995</v>
      </c>
      <c r="D372" s="39">
        <v>37.81</v>
      </c>
      <c r="E372" s="40">
        <f t="shared" si="20"/>
        <v>22983.829369999999</v>
      </c>
      <c r="F372" s="41">
        <f t="shared" si="21"/>
        <v>7.824822209668269E-4</v>
      </c>
      <c r="G372" s="42">
        <v>2.5390108436921448E-2</v>
      </c>
      <c r="H372" s="42">
        <f t="shared" si="22"/>
        <v>1.9867308440310864E-5</v>
      </c>
      <c r="I372" s="42">
        <v>7.0000000000000007E-2</v>
      </c>
      <c r="J372" s="43">
        <f t="shared" si="23"/>
        <v>5.4773755467677889E-5</v>
      </c>
    </row>
    <row r="373" spans="1:10" ht="15" customHeight="1" x14ac:dyDescent="0.25">
      <c r="A373" s="38" t="s">
        <v>840</v>
      </c>
      <c r="B373" s="26" t="s">
        <v>841</v>
      </c>
      <c r="C373" s="39">
        <v>60.213999999999999</v>
      </c>
      <c r="D373" s="39">
        <v>346.38</v>
      </c>
      <c r="E373" s="40">
        <f t="shared" si="20"/>
        <v>20856.925319999998</v>
      </c>
      <c r="F373" s="41">
        <f t="shared" si="21"/>
        <v>7.1007198079163459E-4</v>
      </c>
      <c r="G373" s="42" t="s">
        <v>135</v>
      </c>
      <c r="H373" s="42" t="str">
        <f t="shared" si="22"/>
        <v/>
      </c>
      <c r="I373" s="42">
        <v>0.2</v>
      </c>
      <c r="J373" s="43">
        <f t="shared" si="23"/>
        <v>1.4201439615832691E-4</v>
      </c>
    </row>
    <row r="374" spans="1:10" ht="15" customHeight="1" x14ac:dyDescent="0.25">
      <c r="A374" s="38" t="s">
        <v>842</v>
      </c>
      <c r="B374" s="26" t="s">
        <v>843</v>
      </c>
      <c r="C374" s="39">
        <v>361.017</v>
      </c>
      <c r="D374" s="39">
        <v>136.47</v>
      </c>
      <c r="E374" s="40">
        <f t="shared" si="20"/>
        <v>49267.989990000002</v>
      </c>
      <c r="F374" s="41">
        <f t="shared" si="21"/>
        <v>1.677323896263619E-3</v>
      </c>
      <c r="G374" s="42">
        <v>1.9344910969443834E-2</v>
      </c>
      <c r="H374" s="42">
        <f t="shared" si="22"/>
        <v>3.2447681440140355E-5</v>
      </c>
      <c r="I374" s="42">
        <v>0.09</v>
      </c>
      <c r="J374" s="43">
        <f t="shared" si="23"/>
        <v>1.5095915066372571E-4</v>
      </c>
    </row>
    <row r="375" spans="1:10" ht="15" customHeight="1" x14ac:dyDescent="0.25">
      <c r="A375" s="38" t="s">
        <v>844</v>
      </c>
      <c r="B375" s="26" t="s">
        <v>845</v>
      </c>
      <c r="C375" s="39">
        <v>429.67099999999999</v>
      </c>
      <c r="D375" s="39">
        <v>19.989999999999998</v>
      </c>
      <c r="E375" s="40">
        <f t="shared" si="20"/>
        <v>8589.1232899999995</v>
      </c>
      <c r="F375" s="41">
        <f t="shared" si="21"/>
        <v>2.9241586160092079E-4</v>
      </c>
      <c r="G375" s="42">
        <v>3.6518259129564787E-2</v>
      </c>
      <c r="H375" s="42">
        <f t="shared" si="22"/>
        <v>1.0678518207537379E-5</v>
      </c>
      <c r="I375" s="42">
        <v>2.5000000000000001E-2</v>
      </c>
      <c r="J375" s="43">
        <f t="shared" si="23"/>
        <v>7.3103965400230199E-6</v>
      </c>
    </row>
    <row r="376" spans="1:10" ht="15" customHeight="1" x14ac:dyDescent="0.25">
      <c r="A376" s="38" t="s">
        <v>846</v>
      </c>
      <c r="B376" s="26" t="s">
        <v>847</v>
      </c>
      <c r="C376" s="39">
        <v>347.67500000000001</v>
      </c>
      <c r="D376" s="39">
        <v>88.07</v>
      </c>
      <c r="E376" s="40">
        <f t="shared" si="20"/>
        <v>30619.737249999998</v>
      </c>
      <c r="F376" s="41">
        <f t="shared" si="21"/>
        <v>1.0424459572465352E-3</v>
      </c>
      <c r="G376" s="42">
        <v>1.5442261837174974E-2</v>
      </c>
      <c r="H376" s="42">
        <f t="shared" si="22"/>
        <v>1.6097723422905505E-5</v>
      </c>
      <c r="I376" s="42">
        <v>0.05</v>
      </c>
      <c r="J376" s="43">
        <f t="shared" si="23"/>
        <v>5.2122297862326763E-5</v>
      </c>
    </row>
    <row r="377" spans="1:10" ht="15" customHeight="1" x14ac:dyDescent="0.25">
      <c r="A377" s="38" t="s">
        <v>848</v>
      </c>
      <c r="B377" s="26" t="s">
        <v>849</v>
      </c>
      <c r="C377" s="39">
        <v>539.5</v>
      </c>
      <c r="D377" s="39">
        <v>34.33</v>
      </c>
      <c r="E377" s="40">
        <f t="shared" si="20"/>
        <v>18521.035</v>
      </c>
      <c r="F377" s="41" t="str">
        <f t="shared" si="21"/>
        <v/>
      </c>
      <c r="G377" s="42">
        <v>3.4954849985435479E-2</v>
      </c>
      <c r="H377" s="42" t="str">
        <f t="shared" si="22"/>
        <v/>
      </c>
      <c r="I377" s="42">
        <v>-7.4999999999999997E-2</v>
      </c>
      <c r="J377" s="43" t="str">
        <f t="shared" si="23"/>
        <v/>
      </c>
    </row>
    <row r="378" spans="1:10" ht="15" customHeight="1" x14ac:dyDescent="0.25">
      <c r="A378" s="38" t="s">
        <v>850</v>
      </c>
      <c r="B378" s="26" t="s">
        <v>851</v>
      </c>
      <c r="C378" s="39">
        <v>502.07799999999997</v>
      </c>
      <c r="D378" s="39">
        <v>70</v>
      </c>
      <c r="E378" s="40">
        <f t="shared" si="20"/>
        <v>35145.46</v>
      </c>
      <c r="F378" s="41">
        <f t="shared" si="21"/>
        <v>1.1965237452378796E-3</v>
      </c>
      <c r="G378" s="42">
        <v>3.0857142857142861E-2</v>
      </c>
      <c r="H378" s="42">
        <f t="shared" si="22"/>
        <v>3.6921304138768858E-5</v>
      </c>
      <c r="I378" s="42">
        <v>0.04</v>
      </c>
      <c r="J378" s="43">
        <f t="shared" si="23"/>
        <v>4.7860949809515183E-5</v>
      </c>
    </row>
    <row r="379" spans="1:10" ht="15" customHeight="1" x14ac:dyDescent="0.25">
      <c r="A379" s="38" t="s">
        <v>852</v>
      </c>
      <c r="B379" s="26" t="s">
        <v>853</v>
      </c>
      <c r="C379" s="39">
        <v>168.32300000000001</v>
      </c>
      <c r="D379" s="39">
        <v>42.42</v>
      </c>
      <c r="E379" s="40">
        <f t="shared" si="20"/>
        <v>7140.261660000001</v>
      </c>
      <c r="F379" s="41" t="str">
        <f t="shared" si="21"/>
        <v/>
      </c>
      <c r="G379" s="42" t="s">
        <v>135</v>
      </c>
      <c r="H379" s="42" t="str">
        <f t="shared" si="22"/>
        <v/>
      </c>
      <c r="I379" s="42">
        <v>0.28000000000000003</v>
      </c>
      <c r="J379" s="43" t="str">
        <f t="shared" si="23"/>
        <v/>
      </c>
    </row>
    <row r="380" spans="1:10" ht="15" customHeight="1" x14ac:dyDescent="0.25">
      <c r="A380" s="38" t="s">
        <v>854</v>
      </c>
      <c r="B380" s="26" t="s">
        <v>855</v>
      </c>
      <c r="C380" s="39">
        <v>1383.249</v>
      </c>
      <c r="D380" s="39">
        <v>167.38</v>
      </c>
      <c r="E380" s="40">
        <f t="shared" si="20"/>
        <v>231528.21762000001</v>
      </c>
      <c r="F380" s="41">
        <f t="shared" si="21"/>
        <v>7.8823555040945046E-3</v>
      </c>
      <c r="G380" s="42">
        <v>2.5690046600549646E-2</v>
      </c>
      <c r="H380" s="42">
        <f t="shared" si="22"/>
        <v>2.0249808022228681E-4</v>
      </c>
      <c r="I380" s="42">
        <v>6.5000000000000002E-2</v>
      </c>
      <c r="J380" s="43">
        <f t="shared" si="23"/>
        <v>5.123531077661428E-4</v>
      </c>
    </row>
    <row r="381" spans="1:10" ht="15" customHeight="1" x14ac:dyDescent="0.25">
      <c r="A381" s="38" t="s">
        <v>856</v>
      </c>
      <c r="B381" s="26" t="s">
        <v>857</v>
      </c>
      <c r="C381" s="39">
        <v>5647.7740000000003</v>
      </c>
      <c r="D381" s="39">
        <v>51.77</v>
      </c>
      <c r="E381" s="40">
        <f t="shared" si="20"/>
        <v>292385.25998000003</v>
      </c>
      <c r="F381" s="41">
        <f t="shared" si="21"/>
        <v>9.9542275538183535E-3</v>
      </c>
      <c r="G381" s="42">
        <v>3.0905930075333203E-2</v>
      </c>
      <c r="H381" s="42">
        <f t="shared" si="22"/>
        <v>3.0764466073226511E-4</v>
      </c>
      <c r="I381" s="42">
        <v>6.5000000000000002E-2</v>
      </c>
      <c r="J381" s="43">
        <f t="shared" si="23"/>
        <v>6.47024790998193E-4</v>
      </c>
    </row>
    <row r="382" spans="1:10" ht="15" customHeight="1" x14ac:dyDescent="0.25">
      <c r="A382" s="38" t="s">
        <v>858</v>
      </c>
      <c r="B382" s="26" t="s">
        <v>859</v>
      </c>
      <c r="C382" s="39">
        <v>261.22800000000001</v>
      </c>
      <c r="D382" s="39">
        <v>73.41</v>
      </c>
      <c r="E382" s="40">
        <f t="shared" si="20"/>
        <v>19176.747479999998</v>
      </c>
      <c r="F382" s="41">
        <f t="shared" si="21"/>
        <v>6.5287049070493508E-4</v>
      </c>
      <c r="G382" s="42">
        <v>3.4872633156245746E-2</v>
      </c>
      <c r="H382" s="42">
        <f t="shared" si="22"/>
        <v>2.2767313120891348E-5</v>
      </c>
      <c r="I382" s="42">
        <v>0.06</v>
      </c>
      <c r="J382" s="43">
        <f t="shared" si="23"/>
        <v>3.9172229442296106E-5</v>
      </c>
    </row>
    <row r="383" spans="1:10" ht="15" customHeight="1" x14ac:dyDescent="0.25">
      <c r="A383" s="38" t="s">
        <v>860</v>
      </c>
      <c r="B383" s="26" t="s">
        <v>861</v>
      </c>
      <c r="C383" s="39">
        <v>2397.0659999999998</v>
      </c>
      <c r="D383" s="39">
        <v>152.80000000000001</v>
      </c>
      <c r="E383" s="40">
        <f t="shared" si="20"/>
        <v>366271.68479999999</v>
      </c>
      <c r="F383" s="41">
        <f t="shared" si="21"/>
        <v>1.2469683653919572E-2</v>
      </c>
      <c r="G383" s="42">
        <v>2.2769633507853403E-2</v>
      </c>
      <c r="H383" s="42">
        <f t="shared" si="22"/>
        <v>2.8393012675861896E-4</v>
      </c>
      <c r="I383" s="42">
        <v>6.5000000000000002E-2</v>
      </c>
      <c r="J383" s="43">
        <f t="shared" si="23"/>
        <v>8.1052943750477215E-4</v>
      </c>
    </row>
    <row r="384" spans="1:10" ht="15" customHeight="1" x14ac:dyDescent="0.25">
      <c r="A384" s="38" t="s">
        <v>862</v>
      </c>
      <c r="B384" s="26" t="s">
        <v>863</v>
      </c>
      <c r="C384" s="39">
        <v>584.87900000000002</v>
      </c>
      <c r="D384" s="39">
        <v>113.99</v>
      </c>
      <c r="E384" s="40">
        <f t="shared" si="20"/>
        <v>66670.357210000002</v>
      </c>
      <c r="F384" s="41">
        <f t="shared" si="21"/>
        <v>2.2697857847146252E-3</v>
      </c>
      <c r="G384" s="42">
        <v>3.5090797438371789E-3</v>
      </c>
      <c r="H384" s="42">
        <f t="shared" si="22"/>
        <v>7.9648593199916665E-6</v>
      </c>
      <c r="I384" s="42">
        <v>4.4999999999999998E-2</v>
      </c>
      <c r="J384" s="43">
        <f t="shared" si="23"/>
        <v>1.0214036031215813E-4</v>
      </c>
    </row>
    <row r="385" spans="1:10" ht="15" customHeight="1" x14ac:dyDescent="0.25">
      <c r="A385" s="38" t="s">
        <v>864</v>
      </c>
      <c r="B385" s="26" t="s">
        <v>865</v>
      </c>
      <c r="C385" s="39">
        <v>128.47800000000001</v>
      </c>
      <c r="D385" s="39">
        <v>283.76</v>
      </c>
      <c r="E385" s="40">
        <f t="shared" si="20"/>
        <v>36456.917280000001</v>
      </c>
      <c r="F385" s="41">
        <f t="shared" si="21"/>
        <v>1.2411721799542011E-3</v>
      </c>
      <c r="G385" s="42">
        <v>1.451931209472794E-2</v>
      </c>
      <c r="H385" s="42">
        <f t="shared" si="22"/>
        <v>1.8020966244048877E-5</v>
      </c>
      <c r="I385" s="42">
        <v>0.13500000000000001</v>
      </c>
      <c r="J385" s="43">
        <f t="shared" si="23"/>
        <v>1.6755824429381716E-4</v>
      </c>
    </row>
    <row r="386" spans="1:10" ht="15" customHeight="1" x14ac:dyDescent="0.25">
      <c r="A386" s="38" t="s">
        <v>866</v>
      </c>
      <c r="B386" s="26" t="s">
        <v>867</v>
      </c>
      <c r="C386" s="39">
        <v>241.42500000000001</v>
      </c>
      <c r="D386" s="39">
        <v>41.9</v>
      </c>
      <c r="E386" s="40">
        <f t="shared" si="20"/>
        <v>10115.7075</v>
      </c>
      <c r="F386" s="41">
        <f t="shared" si="21"/>
        <v>3.4438827158986989E-4</v>
      </c>
      <c r="G386" s="42">
        <v>1.4319809069212411E-2</v>
      </c>
      <c r="H386" s="42">
        <f t="shared" si="22"/>
        <v>4.9315742948430058E-6</v>
      </c>
      <c r="I386" s="42">
        <v>9.5000000000000001E-2</v>
      </c>
      <c r="J386" s="43">
        <f t="shared" si="23"/>
        <v>3.2716885801037639E-5</v>
      </c>
    </row>
    <row r="387" spans="1:10" ht="15" customHeight="1" x14ac:dyDescent="0.25">
      <c r="A387" s="38" t="s">
        <v>868</v>
      </c>
      <c r="B387" s="26" t="s">
        <v>869</v>
      </c>
      <c r="C387" s="39">
        <v>93.703999999999994</v>
      </c>
      <c r="D387" s="39">
        <v>156.11000000000001</v>
      </c>
      <c r="E387" s="40">
        <f t="shared" si="20"/>
        <v>14628.131440000001</v>
      </c>
      <c r="F387" s="41">
        <f t="shared" si="21"/>
        <v>4.9801330289661247E-4</v>
      </c>
      <c r="G387" s="42">
        <v>2.5622958170520783E-2</v>
      </c>
      <c r="H387" s="42">
        <f t="shared" si="22"/>
        <v>1.2760574028482797E-5</v>
      </c>
      <c r="I387" s="42">
        <v>0.09</v>
      </c>
      <c r="J387" s="43">
        <f t="shared" si="23"/>
        <v>4.482119726069512E-5</v>
      </c>
    </row>
    <row r="388" spans="1:10" ht="15" customHeight="1" x14ac:dyDescent="0.25">
      <c r="A388" s="38" t="s">
        <v>870</v>
      </c>
      <c r="B388" s="26" t="s">
        <v>871</v>
      </c>
      <c r="C388" s="39">
        <v>126.157</v>
      </c>
      <c r="D388" s="39">
        <v>174.46</v>
      </c>
      <c r="E388" s="40">
        <f t="shared" si="20"/>
        <v>22009.35022</v>
      </c>
      <c r="F388" s="41">
        <f t="shared" si="21"/>
        <v>7.4930617369886609E-4</v>
      </c>
      <c r="G388" s="42">
        <v>1.6049524246245558E-3</v>
      </c>
      <c r="H388" s="42">
        <f t="shared" si="22"/>
        <v>1.2026007602641438E-6</v>
      </c>
      <c r="I388" s="42">
        <v>0.1</v>
      </c>
      <c r="J388" s="43">
        <f t="shared" si="23"/>
        <v>7.493061736988662E-5</v>
      </c>
    </row>
    <row r="389" spans="1:10" ht="15" customHeight="1" x14ac:dyDescent="0.25">
      <c r="A389" s="38" t="s">
        <v>872</v>
      </c>
      <c r="B389" s="26" t="s">
        <v>873</v>
      </c>
      <c r="C389" s="39">
        <v>739.745</v>
      </c>
      <c r="D389" s="39">
        <v>161.47999999999999</v>
      </c>
      <c r="E389" s="40">
        <f t="shared" si="20"/>
        <v>119454.0226</v>
      </c>
      <c r="F389" s="41">
        <f t="shared" si="21"/>
        <v>4.0668005058144725E-3</v>
      </c>
      <c r="G389" s="42">
        <v>1.9568986871439188E-2</v>
      </c>
      <c r="H389" s="42">
        <f t="shared" si="22"/>
        <v>7.958316570704566E-5</v>
      </c>
      <c r="I389" s="42">
        <v>0.06</v>
      </c>
      <c r="J389" s="43">
        <f t="shared" si="23"/>
        <v>2.4400803034886834E-4</v>
      </c>
    </row>
    <row r="390" spans="1:10" ht="15" customHeight="1" x14ac:dyDescent="0.25">
      <c r="A390" s="38" t="s">
        <v>874</v>
      </c>
      <c r="B390" s="26" t="s">
        <v>875</v>
      </c>
      <c r="C390" s="39">
        <v>1550.0820000000001</v>
      </c>
      <c r="D390" s="39">
        <v>93.94</v>
      </c>
      <c r="E390" s="40">
        <f t="shared" si="20"/>
        <v>145614.70308000001</v>
      </c>
      <c r="F390" s="41">
        <f t="shared" si="21"/>
        <v>4.9574383118326923E-3</v>
      </c>
      <c r="G390" s="42">
        <v>5.3225463061528637E-2</v>
      </c>
      <c r="H390" s="42">
        <f t="shared" si="22"/>
        <v>2.6386194974625782E-4</v>
      </c>
      <c r="I390" s="42">
        <v>7.0000000000000007E-2</v>
      </c>
      <c r="J390" s="43">
        <f t="shared" si="23"/>
        <v>3.4702068182828851E-4</v>
      </c>
    </row>
    <row r="391" spans="1:10" ht="15" customHeight="1" x14ac:dyDescent="0.25">
      <c r="A391" s="38" t="s">
        <v>876</v>
      </c>
      <c r="B391" s="26" t="s">
        <v>877</v>
      </c>
      <c r="C391" s="39">
        <v>418.56</v>
      </c>
      <c r="D391" s="39">
        <v>184.45</v>
      </c>
      <c r="E391" s="40">
        <f t="shared" si="20"/>
        <v>77203.391999999993</v>
      </c>
      <c r="F391" s="41">
        <f t="shared" si="21"/>
        <v>2.6283819230395094E-3</v>
      </c>
      <c r="G391" s="42">
        <v>2.7107617240444568E-2</v>
      </c>
      <c r="H391" s="42">
        <f t="shared" si="22"/>
        <v>7.1249171131458649E-5</v>
      </c>
      <c r="I391" s="42">
        <v>0.115</v>
      </c>
      <c r="J391" s="43">
        <f t="shared" si="23"/>
        <v>3.0226392114954357E-4</v>
      </c>
    </row>
    <row r="392" spans="1:10" ht="15" customHeight="1" x14ac:dyDescent="0.25">
      <c r="A392" s="38" t="s">
        <v>878</v>
      </c>
      <c r="B392" s="26" t="s">
        <v>879</v>
      </c>
      <c r="C392" s="39">
        <v>165.09899999999999</v>
      </c>
      <c r="D392" s="39">
        <v>54.21</v>
      </c>
      <c r="E392" s="40">
        <f t="shared" si="20"/>
        <v>8950.0167899999997</v>
      </c>
      <c r="F392" s="41">
        <f t="shared" si="21"/>
        <v>3.0470244547980605E-4</v>
      </c>
      <c r="G392" s="42">
        <v>1.5495296070835638E-2</v>
      </c>
      <c r="H392" s="42">
        <f t="shared" si="22"/>
        <v>4.721454606217249E-6</v>
      </c>
      <c r="I392" s="42">
        <v>0.14000000000000001</v>
      </c>
      <c r="J392" s="43">
        <f t="shared" si="23"/>
        <v>4.2658342367172851E-5</v>
      </c>
    </row>
    <row r="393" spans="1:10" ht="15" customHeight="1" x14ac:dyDescent="0.25">
      <c r="A393" s="38" t="s">
        <v>880</v>
      </c>
      <c r="B393" s="26" t="s">
        <v>881</v>
      </c>
      <c r="C393" s="39">
        <v>112.932</v>
      </c>
      <c r="D393" s="39">
        <v>78.099999999999994</v>
      </c>
      <c r="E393" s="40">
        <f t="shared" si="20"/>
        <v>8819.9892</v>
      </c>
      <c r="F393" s="41" t="str">
        <f t="shared" si="21"/>
        <v/>
      </c>
      <c r="G393" s="42">
        <v>4.353393085787452E-2</v>
      </c>
      <c r="H393" s="42" t="str">
        <f t="shared" si="22"/>
        <v/>
      </c>
      <c r="I393" s="42">
        <v>0</v>
      </c>
      <c r="J393" s="43" t="str">
        <f t="shared" si="23"/>
        <v/>
      </c>
    </row>
    <row r="394" spans="1:10" ht="15" customHeight="1" x14ac:dyDescent="0.25">
      <c r="A394" s="38" t="s">
        <v>882</v>
      </c>
      <c r="B394" s="26" t="s">
        <v>883</v>
      </c>
      <c r="C394" s="39">
        <v>40.125999999999998</v>
      </c>
      <c r="D394" s="39">
        <v>422.85</v>
      </c>
      <c r="E394" s="40">
        <f t="shared" si="20"/>
        <v>16967.2791</v>
      </c>
      <c r="F394" s="41">
        <f t="shared" si="21"/>
        <v>5.7764935599728673E-4</v>
      </c>
      <c r="G394" s="42">
        <v>7.5676954002601394E-3</v>
      </c>
      <c r="H394" s="42">
        <f t="shared" si="22"/>
        <v>4.3714743743438988E-6</v>
      </c>
      <c r="I394" s="42">
        <v>0.17</v>
      </c>
      <c r="J394" s="43">
        <f t="shared" si="23"/>
        <v>9.8200390519538746E-5</v>
      </c>
    </row>
    <row r="395" spans="1:10" ht="15" customHeight="1" x14ac:dyDescent="0.25">
      <c r="A395" s="38" t="s">
        <v>884</v>
      </c>
      <c r="B395" s="26" t="s">
        <v>885</v>
      </c>
      <c r="C395" s="39">
        <v>236.148</v>
      </c>
      <c r="D395" s="39">
        <v>131.07</v>
      </c>
      <c r="E395" s="40">
        <f t="shared" si="20"/>
        <v>30951.91836</v>
      </c>
      <c r="F395" s="41">
        <f t="shared" si="21"/>
        <v>1.053755030618586E-3</v>
      </c>
      <c r="G395" s="42">
        <v>1.8005645838101776E-2</v>
      </c>
      <c r="H395" s="42">
        <f t="shared" si="22"/>
        <v>1.8973539881436353E-5</v>
      </c>
      <c r="I395" s="42">
        <v>0.1</v>
      </c>
      <c r="J395" s="43">
        <f t="shared" si="23"/>
        <v>1.0537550306185861E-4</v>
      </c>
    </row>
    <row r="396" spans="1:10" ht="15" customHeight="1" x14ac:dyDescent="0.25">
      <c r="A396" s="38" t="s">
        <v>886</v>
      </c>
      <c r="B396" s="26" t="s">
        <v>887</v>
      </c>
      <c r="C396" s="39">
        <v>735.36199999999997</v>
      </c>
      <c r="D396" s="39">
        <v>28.56</v>
      </c>
      <c r="E396" s="40">
        <f t="shared" si="20"/>
        <v>21001.938719999998</v>
      </c>
      <c r="F396" s="41" t="str">
        <f t="shared" si="21"/>
        <v/>
      </c>
      <c r="G396" s="42">
        <v>2.8011204481792718E-2</v>
      </c>
      <c r="H396" s="42" t="str">
        <f t="shared" si="22"/>
        <v/>
      </c>
      <c r="I396" s="42" t="s">
        <v>135</v>
      </c>
      <c r="J396" s="43" t="str">
        <f t="shared" si="23"/>
        <v/>
      </c>
    </row>
    <row r="397" spans="1:10" ht="15" customHeight="1" x14ac:dyDescent="0.25">
      <c r="A397" s="38" t="s">
        <v>888</v>
      </c>
      <c r="B397" s="26" t="s">
        <v>889</v>
      </c>
      <c r="C397" s="39">
        <v>376.42599999999999</v>
      </c>
      <c r="D397" s="39">
        <v>118.17</v>
      </c>
      <c r="E397" s="40">
        <f t="shared" si="20"/>
        <v>44482.260419999999</v>
      </c>
      <c r="F397" s="41">
        <f t="shared" si="21"/>
        <v>1.5143942015379823E-3</v>
      </c>
      <c r="G397" s="42">
        <v>4.0619446560040615E-2</v>
      </c>
      <c r="H397" s="42">
        <f t="shared" si="22"/>
        <v>6.1513854340207444E-5</v>
      </c>
      <c r="I397" s="42">
        <v>5.5E-2</v>
      </c>
      <c r="J397" s="43">
        <f t="shared" si="23"/>
        <v>8.3291681084589036E-5</v>
      </c>
    </row>
    <row r="398" spans="1:10" ht="15" customHeight="1" x14ac:dyDescent="0.25">
      <c r="A398" s="38" t="s">
        <v>890</v>
      </c>
      <c r="B398" s="26" t="s">
        <v>891</v>
      </c>
      <c r="C398" s="39">
        <v>175.357</v>
      </c>
      <c r="D398" s="39">
        <v>390.28</v>
      </c>
      <c r="E398" s="40">
        <f t="shared" si="20"/>
        <v>68438.329959999988</v>
      </c>
      <c r="F398" s="41">
        <f t="shared" si="21"/>
        <v>2.3299762439178483E-3</v>
      </c>
      <c r="G398" s="42">
        <v>2.0498103925386903E-2</v>
      </c>
      <c r="H398" s="42">
        <f t="shared" si="22"/>
        <v>4.7760095191510677E-5</v>
      </c>
      <c r="I398" s="42">
        <v>0.08</v>
      </c>
      <c r="J398" s="43">
        <f t="shared" si="23"/>
        <v>1.8639809951342785E-4</v>
      </c>
    </row>
    <row r="399" spans="1:10" ht="15" customHeight="1" x14ac:dyDescent="0.25">
      <c r="A399" s="38" t="s">
        <v>892</v>
      </c>
      <c r="B399" s="26" t="s">
        <v>893</v>
      </c>
      <c r="C399" s="39">
        <v>438.46199999999999</v>
      </c>
      <c r="D399" s="39">
        <v>86.39</v>
      </c>
      <c r="E399" s="40">
        <f t="shared" si="20"/>
        <v>37878.732179999999</v>
      </c>
      <c r="F399" s="41">
        <f t="shared" si="21"/>
        <v>1.2895777290402855E-3</v>
      </c>
      <c r="G399" s="42">
        <v>4.2597522861442298E-2</v>
      </c>
      <c r="H399" s="42">
        <f t="shared" si="22"/>
        <v>5.4932816794400401E-5</v>
      </c>
      <c r="I399" s="42">
        <v>0.17</v>
      </c>
      <c r="J399" s="43">
        <f t="shared" si="23"/>
        <v>2.1922821393684854E-4</v>
      </c>
    </row>
    <row r="400" spans="1:10" ht="15" customHeight="1" x14ac:dyDescent="0.25">
      <c r="A400" s="38" t="s">
        <v>894</v>
      </c>
      <c r="B400" s="26" t="s">
        <v>895</v>
      </c>
      <c r="C400" s="39">
        <v>116.952</v>
      </c>
      <c r="D400" s="39">
        <v>107.72</v>
      </c>
      <c r="E400" s="40">
        <f t="shared" si="20"/>
        <v>12598.069439999999</v>
      </c>
      <c r="F400" s="41" t="str">
        <f t="shared" si="21"/>
        <v/>
      </c>
      <c r="G400" s="42" t="s">
        <v>135</v>
      </c>
      <c r="H400" s="42" t="str">
        <f t="shared" si="22"/>
        <v/>
      </c>
      <c r="I400" s="42" t="s">
        <v>135</v>
      </c>
      <c r="J400" s="43" t="str">
        <f t="shared" si="23"/>
        <v/>
      </c>
    </row>
    <row r="401" spans="1:10" ht="15" customHeight="1" x14ac:dyDescent="0.25">
      <c r="A401" s="38" t="s">
        <v>896</v>
      </c>
      <c r="B401" s="26" t="s">
        <v>897</v>
      </c>
      <c r="C401" s="39">
        <v>68.007000000000005</v>
      </c>
      <c r="D401" s="39">
        <v>76.61</v>
      </c>
      <c r="E401" s="40">
        <f t="shared" ref="E401:E464" si="24">IFERROR(C401*D401, "")</f>
        <v>5210.0162700000001</v>
      </c>
      <c r="F401" s="41">
        <f t="shared" ref="F401:F464" si="25">IF(AND(ISNUMBER($I401)), IF(AND($I401&lt;=20%,$I401&gt;0%), $E401/SUMIFS($E$16:$E$520,$I$16:$I$520, "&gt;"&amp;0%,$I$16:$I$520, "&lt;="&amp;20%),""),"")</f>
        <v>1.7737449389282963E-4</v>
      </c>
      <c r="G401" s="42">
        <v>1.9579689335595873E-3</v>
      </c>
      <c r="H401" s="42">
        <f t="shared" ref="H401:H464" si="26">IFERROR(F401*G401,"")</f>
        <v>3.4729374864801517E-7</v>
      </c>
      <c r="I401" s="42">
        <v>0.14000000000000001</v>
      </c>
      <c r="J401" s="43">
        <f t="shared" ref="J401:J464" si="27">IFERROR(F401*I401,"")</f>
        <v>2.4832429144996149E-5</v>
      </c>
    </row>
    <row r="402" spans="1:10" ht="15" customHeight="1" x14ac:dyDescent="0.25">
      <c r="A402" s="38" t="s">
        <v>898</v>
      </c>
      <c r="B402" s="26" t="s">
        <v>899</v>
      </c>
      <c r="C402" s="39">
        <v>142.69</v>
      </c>
      <c r="D402" s="39">
        <v>131.61000000000001</v>
      </c>
      <c r="E402" s="40">
        <f t="shared" si="24"/>
        <v>18779.430900000003</v>
      </c>
      <c r="F402" s="41">
        <f t="shared" si="25"/>
        <v>6.3934388663298102E-4</v>
      </c>
      <c r="G402" s="42">
        <v>2.1274979104931235E-3</v>
      </c>
      <c r="H402" s="42">
        <f t="shared" si="26"/>
        <v>1.3602027828982196E-6</v>
      </c>
      <c r="I402" s="42">
        <v>0.16500000000000001</v>
      </c>
      <c r="J402" s="43">
        <f t="shared" si="27"/>
        <v>1.0549174129444187E-4</v>
      </c>
    </row>
    <row r="403" spans="1:10" ht="15" customHeight="1" x14ac:dyDescent="0.25">
      <c r="A403" s="38" t="s">
        <v>900</v>
      </c>
      <c r="B403" s="26" t="s">
        <v>901</v>
      </c>
      <c r="C403" s="39">
        <v>242.88399999999999</v>
      </c>
      <c r="D403" s="39">
        <v>250.03</v>
      </c>
      <c r="E403" s="40">
        <f t="shared" si="24"/>
        <v>60728.286519999994</v>
      </c>
      <c r="F403" s="41" t="str">
        <f t="shared" si="25"/>
        <v/>
      </c>
      <c r="G403" s="42">
        <v>6.0472743270807497E-2</v>
      </c>
      <c r="H403" s="42" t="str">
        <f t="shared" si="26"/>
        <v/>
      </c>
      <c r="I403" s="42">
        <v>0.23</v>
      </c>
      <c r="J403" s="43" t="str">
        <f t="shared" si="27"/>
        <v/>
      </c>
    </row>
    <row r="404" spans="1:10" ht="15" customHeight="1" x14ac:dyDescent="0.25">
      <c r="A404" s="38" t="s">
        <v>902</v>
      </c>
      <c r="B404" s="26" t="s">
        <v>903</v>
      </c>
      <c r="C404" s="39">
        <v>1165.0050000000001</v>
      </c>
      <c r="D404" s="39">
        <v>115.65</v>
      </c>
      <c r="E404" s="40">
        <f t="shared" si="24"/>
        <v>134732.82825000002</v>
      </c>
      <c r="F404" s="41">
        <f t="shared" si="25"/>
        <v>4.5869659484946848E-3</v>
      </c>
      <c r="G404" s="42" t="s">
        <v>135</v>
      </c>
      <c r="H404" s="42" t="str">
        <f t="shared" si="26"/>
        <v/>
      </c>
      <c r="I404" s="42">
        <v>0.16</v>
      </c>
      <c r="J404" s="43">
        <f t="shared" si="27"/>
        <v>7.3391455175914955E-4</v>
      </c>
    </row>
    <row r="405" spans="1:10" ht="15" customHeight="1" x14ac:dyDescent="0.25">
      <c r="A405" s="38" t="s">
        <v>904</v>
      </c>
      <c r="B405" s="26" t="s">
        <v>905</v>
      </c>
      <c r="C405" s="39">
        <v>1127</v>
      </c>
      <c r="D405" s="39">
        <v>152.82</v>
      </c>
      <c r="E405" s="40">
        <f t="shared" si="24"/>
        <v>172228.13999999998</v>
      </c>
      <c r="F405" s="41">
        <f t="shared" si="25"/>
        <v>5.863490166529442E-3</v>
      </c>
      <c r="G405" s="42">
        <v>1.7798717445360553E-2</v>
      </c>
      <c r="H405" s="42">
        <f t="shared" si="26"/>
        <v>1.0436260471770763E-4</v>
      </c>
      <c r="I405" s="42">
        <v>0.19</v>
      </c>
      <c r="J405" s="43">
        <f t="shared" si="27"/>
        <v>1.114063131640594E-3</v>
      </c>
    </row>
    <row r="406" spans="1:10" ht="15" customHeight="1" x14ac:dyDescent="0.25">
      <c r="A406" s="38" t="s">
        <v>906</v>
      </c>
      <c r="B406" s="26" t="s">
        <v>907</v>
      </c>
      <c r="C406" s="39">
        <v>108.432</v>
      </c>
      <c r="D406" s="39">
        <v>124.1</v>
      </c>
      <c r="E406" s="40">
        <f t="shared" si="24"/>
        <v>13456.4112</v>
      </c>
      <c r="F406" s="41">
        <f t="shared" si="25"/>
        <v>4.5812220202794189E-4</v>
      </c>
      <c r="G406" s="42" t="s">
        <v>135</v>
      </c>
      <c r="H406" s="42" t="str">
        <f t="shared" si="26"/>
        <v/>
      </c>
      <c r="I406" s="42">
        <v>0.14499999999999999</v>
      </c>
      <c r="J406" s="43">
        <f t="shared" si="27"/>
        <v>6.6427719294051573E-5</v>
      </c>
    </row>
    <row r="407" spans="1:10" ht="15" customHeight="1" x14ac:dyDescent="0.25">
      <c r="A407" s="38" t="s">
        <v>908</v>
      </c>
      <c r="B407" s="26" t="s">
        <v>909</v>
      </c>
      <c r="C407" s="39">
        <v>255.00299999999999</v>
      </c>
      <c r="D407" s="39">
        <v>83.78</v>
      </c>
      <c r="E407" s="40">
        <f t="shared" si="24"/>
        <v>21364.15134</v>
      </c>
      <c r="F407" s="41" t="str">
        <f t="shared" si="25"/>
        <v/>
      </c>
      <c r="G407" s="42" t="s">
        <v>135</v>
      </c>
      <c r="H407" s="42" t="str">
        <f t="shared" si="26"/>
        <v/>
      </c>
      <c r="I407" s="42" t="s">
        <v>135</v>
      </c>
      <c r="J407" s="43" t="str">
        <f t="shared" si="27"/>
        <v/>
      </c>
    </row>
    <row r="408" spans="1:10" ht="15" customHeight="1" x14ac:dyDescent="0.25">
      <c r="A408" s="38" t="s">
        <v>910</v>
      </c>
      <c r="B408" s="26" t="s">
        <v>911</v>
      </c>
      <c r="C408" s="39">
        <v>39.271999999999998</v>
      </c>
      <c r="D408" s="39">
        <v>301.38</v>
      </c>
      <c r="E408" s="40">
        <f t="shared" si="24"/>
        <v>11835.79536</v>
      </c>
      <c r="F408" s="41">
        <f t="shared" si="25"/>
        <v>4.029484944005945E-4</v>
      </c>
      <c r="G408" s="42">
        <v>2.0572035304267038E-2</v>
      </c>
      <c r="H408" s="42">
        <f t="shared" si="26"/>
        <v>8.2894706526102786E-6</v>
      </c>
      <c r="I408" s="42">
        <v>0.11</v>
      </c>
      <c r="J408" s="43">
        <f t="shared" si="27"/>
        <v>4.4324334384065397E-5</v>
      </c>
    </row>
    <row r="409" spans="1:10" ht="15" customHeight="1" x14ac:dyDescent="0.25">
      <c r="A409" s="38" t="s">
        <v>912</v>
      </c>
      <c r="B409" s="26" t="s">
        <v>913</v>
      </c>
      <c r="C409" s="39">
        <v>171.37299999999999</v>
      </c>
      <c r="D409" s="39">
        <v>71.34</v>
      </c>
      <c r="E409" s="40">
        <f t="shared" si="24"/>
        <v>12225.749819999999</v>
      </c>
      <c r="F409" s="41">
        <f t="shared" si="25"/>
        <v>4.1622445581784194E-4</v>
      </c>
      <c r="G409" s="42">
        <v>3.5043453882814692E-2</v>
      </c>
      <c r="H409" s="42">
        <f t="shared" si="26"/>
        <v>1.4585942522352185E-5</v>
      </c>
      <c r="I409" s="42">
        <v>0.125</v>
      </c>
      <c r="J409" s="43">
        <f t="shared" si="27"/>
        <v>5.2028056977230243E-5</v>
      </c>
    </row>
    <row r="410" spans="1:10" ht="15" customHeight="1" x14ac:dyDescent="0.25">
      <c r="A410" s="38" t="s">
        <v>914</v>
      </c>
      <c r="B410" s="26" t="s">
        <v>915</v>
      </c>
      <c r="C410" s="39">
        <v>106.71599999999999</v>
      </c>
      <c r="D410" s="39">
        <v>698.42</v>
      </c>
      <c r="E410" s="40">
        <f t="shared" si="24"/>
        <v>74532.588719999985</v>
      </c>
      <c r="F410" s="41">
        <f t="shared" si="25"/>
        <v>2.5374546868223925E-3</v>
      </c>
      <c r="G410" s="42" t="s">
        <v>135</v>
      </c>
      <c r="H410" s="42" t="str">
        <f t="shared" si="26"/>
        <v/>
      </c>
      <c r="I410" s="42">
        <v>0.125</v>
      </c>
      <c r="J410" s="43">
        <f t="shared" si="27"/>
        <v>3.1718183585279907E-4</v>
      </c>
    </row>
    <row r="411" spans="1:10" ht="15" customHeight="1" x14ac:dyDescent="0.25">
      <c r="A411" s="38" t="s">
        <v>916</v>
      </c>
      <c r="B411" s="26" t="s">
        <v>917</v>
      </c>
      <c r="C411" s="39">
        <v>937.14599999999996</v>
      </c>
      <c r="D411" s="39">
        <v>22.26</v>
      </c>
      <c r="E411" s="40">
        <f t="shared" si="24"/>
        <v>20860.86996</v>
      </c>
      <c r="F411" s="41">
        <f t="shared" si="25"/>
        <v>7.102062756742856E-4</v>
      </c>
      <c r="G411" s="42">
        <v>3.0548068283917342E-2</v>
      </c>
      <c r="H411" s="42">
        <f t="shared" si="26"/>
        <v>2.1695429804964702E-5</v>
      </c>
      <c r="I411" s="42">
        <v>0.105</v>
      </c>
      <c r="J411" s="43">
        <f t="shared" si="27"/>
        <v>7.4571658945799985E-5</v>
      </c>
    </row>
    <row r="412" spans="1:10" ht="15" customHeight="1" x14ac:dyDescent="0.25">
      <c r="A412" s="38" t="s">
        <v>918</v>
      </c>
      <c r="B412" s="26" t="s">
        <v>919</v>
      </c>
      <c r="C412" s="39">
        <v>110.68600000000001</v>
      </c>
      <c r="D412" s="39">
        <v>114.18</v>
      </c>
      <c r="E412" s="40">
        <f t="shared" si="24"/>
        <v>12638.127480000001</v>
      </c>
      <c r="F412" s="41">
        <f t="shared" si="25"/>
        <v>4.3026381288403586E-4</v>
      </c>
      <c r="G412" s="42">
        <v>1.5063934139078647E-2</v>
      </c>
      <c r="H412" s="42">
        <f t="shared" si="26"/>
        <v>6.4814657397139751E-6</v>
      </c>
      <c r="I412" s="42">
        <v>7.4999999999999997E-2</v>
      </c>
      <c r="J412" s="43">
        <f t="shared" si="27"/>
        <v>3.2269785966302687E-5</v>
      </c>
    </row>
    <row r="413" spans="1:10" ht="15" customHeight="1" x14ac:dyDescent="0.25">
      <c r="A413" s="38" t="s">
        <v>920</v>
      </c>
      <c r="B413" s="26" t="s">
        <v>921</v>
      </c>
      <c r="C413" s="39">
        <v>207.602</v>
      </c>
      <c r="D413" s="39">
        <v>109.91</v>
      </c>
      <c r="E413" s="40">
        <f t="shared" si="24"/>
        <v>22817.535820000001</v>
      </c>
      <c r="F413" s="41">
        <f t="shared" si="25"/>
        <v>7.7682077333589815E-4</v>
      </c>
      <c r="G413" s="42">
        <v>1.2373760349376765E-2</v>
      </c>
      <c r="H413" s="42">
        <f t="shared" si="26"/>
        <v>9.6121940836759313E-6</v>
      </c>
      <c r="I413" s="42">
        <v>0.105</v>
      </c>
      <c r="J413" s="43">
        <f t="shared" si="27"/>
        <v>8.1566181200269305E-5</v>
      </c>
    </row>
    <row r="414" spans="1:10" ht="15" customHeight="1" x14ac:dyDescent="0.25">
      <c r="A414" s="38" t="s">
        <v>922</v>
      </c>
      <c r="B414" s="26" t="s">
        <v>923</v>
      </c>
      <c r="C414" s="39">
        <v>46.286000000000001</v>
      </c>
      <c r="D414" s="39">
        <v>113.44</v>
      </c>
      <c r="E414" s="40">
        <f t="shared" si="24"/>
        <v>5250.6838399999997</v>
      </c>
      <c r="F414" s="41">
        <f t="shared" si="25"/>
        <v>1.7875901733244666E-4</v>
      </c>
      <c r="G414" s="42">
        <v>2.4241889985895628E-2</v>
      </c>
      <c r="H414" s="42">
        <f t="shared" si="26"/>
        <v>4.3334564321599821E-6</v>
      </c>
      <c r="I414" s="42">
        <v>0.125</v>
      </c>
      <c r="J414" s="43">
        <f t="shared" si="27"/>
        <v>2.2344877166555833E-5</v>
      </c>
    </row>
    <row r="415" spans="1:10" ht="15" customHeight="1" x14ac:dyDescent="0.25">
      <c r="A415" s="38" t="s">
        <v>924</v>
      </c>
      <c r="B415" s="26" t="s">
        <v>925</v>
      </c>
      <c r="C415" s="39">
        <v>146.23400000000001</v>
      </c>
      <c r="D415" s="39">
        <v>242.51</v>
      </c>
      <c r="E415" s="40">
        <f t="shared" si="24"/>
        <v>35463.207340000001</v>
      </c>
      <c r="F415" s="41">
        <f t="shared" si="25"/>
        <v>1.2073414223232322E-3</v>
      </c>
      <c r="G415" s="42">
        <v>6.927549379407036E-3</v>
      </c>
      <c r="H415" s="42">
        <f t="shared" si="26"/>
        <v>8.3639173209477153E-6</v>
      </c>
      <c r="I415" s="42">
        <v>8.5000000000000006E-2</v>
      </c>
      <c r="J415" s="43">
        <f t="shared" si="27"/>
        <v>1.0262402089747475E-4</v>
      </c>
    </row>
    <row r="416" spans="1:10" ht="15" customHeight="1" x14ac:dyDescent="0.25">
      <c r="A416" s="38" t="s">
        <v>926</v>
      </c>
      <c r="B416" s="26" t="s">
        <v>927</v>
      </c>
      <c r="C416" s="39">
        <v>116.196</v>
      </c>
      <c r="D416" s="39">
        <v>280.02999999999997</v>
      </c>
      <c r="E416" s="40">
        <f t="shared" si="24"/>
        <v>32538.365879999998</v>
      </c>
      <c r="F416" s="41">
        <f t="shared" si="25"/>
        <v>1.1077654811363412E-3</v>
      </c>
      <c r="G416" s="42">
        <v>1.5998285897939508E-2</v>
      </c>
      <c r="H416" s="42">
        <f t="shared" si="26"/>
        <v>1.7722348875087701E-5</v>
      </c>
      <c r="I416" s="42">
        <v>0.1</v>
      </c>
      <c r="J416" s="43">
        <f t="shared" si="27"/>
        <v>1.1077654811363412E-4</v>
      </c>
    </row>
    <row r="417" spans="1:10" ht="15" customHeight="1" x14ac:dyDescent="0.25">
      <c r="A417" s="38" t="s">
        <v>928</v>
      </c>
      <c r="B417" s="26" t="s">
        <v>929</v>
      </c>
      <c r="C417" s="39">
        <v>492.46</v>
      </c>
      <c r="D417" s="39">
        <v>35.049999999999997</v>
      </c>
      <c r="E417" s="40">
        <f t="shared" si="24"/>
        <v>17260.722999999998</v>
      </c>
      <c r="F417" s="41">
        <f t="shared" si="25"/>
        <v>5.8763962484695341E-4</v>
      </c>
      <c r="G417" s="42">
        <v>1.1412268188302427E-2</v>
      </c>
      <c r="H417" s="42">
        <f t="shared" si="26"/>
        <v>6.7063009968268586E-6</v>
      </c>
      <c r="I417" s="42">
        <v>0.105</v>
      </c>
      <c r="J417" s="43">
        <f t="shared" si="27"/>
        <v>6.1702160608930099E-5</v>
      </c>
    </row>
    <row r="418" spans="1:10" ht="15" customHeight="1" x14ac:dyDescent="0.25">
      <c r="A418" s="38" t="s">
        <v>930</v>
      </c>
      <c r="B418" s="26" t="s">
        <v>931</v>
      </c>
      <c r="C418" s="39">
        <v>105.60299999999999</v>
      </c>
      <c r="D418" s="39">
        <v>472.23</v>
      </c>
      <c r="E418" s="40">
        <f t="shared" si="24"/>
        <v>49868.904689999996</v>
      </c>
      <c r="F418" s="41">
        <f t="shared" si="25"/>
        <v>1.6977819784003299E-3</v>
      </c>
      <c r="G418" s="42">
        <v>5.2516782076530502E-3</v>
      </c>
      <c r="H418" s="42">
        <f t="shared" si="26"/>
        <v>8.9162046173110936E-6</v>
      </c>
      <c r="I418" s="42">
        <v>8.5000000000000006E-2</v>
      </c>
      <c r="J418" s="43">
        <f t="shared" si="27"/>
        <v>1.4431146816402805E-4</v>
      </c>
    </row>
    <row r="419" spans="1:10" ht="15" customHeight="1" x14ac:dyDescent="0.25">
      <c r="A419" s="38" t="s">
        <v>932</v>
      </c>
      <c r="B419" s="26" t="s">
        <v>933</v>
      </c>
      <c r="C419" s="39">
        <v>350.892</v>
      </c>
      <c r="D419" s="39">
        <v>90.46</v>
      </c>
      <c r="E419" s="40">
        <f t="shared" si="24"/>
        <v>31741.690319999998</v>
      </c>
      <c r="F419" s="41">
        <f t="shared" si="25"/>
        <v>1.0806427396843675E-3</v>
      </c>
      <c r="G419" s="42">
        <v>1.3707716117621048E-2</v>
      </c>
      <c r="H419" s="42">
        <f t="shared" si="26"/>
        <v>1.4813143900161571E-5</v>
      </c>
      <c r="I419" s="42">
        <v>0.14000000000000001</v>
      </c>
      <c r="J419" s="43">
        <f t="shared" si="27"/>
        <v>1.5128998355581146E-4</v>
      </c>
    </row>
    <row r="420" spans="1:10" ht="15" customHeight="1" x14ac:dyDescent="0.25">
      <c r="A420" s="38" t="s">
        <v>934</v>
      </c>
      <c r="B420" s="26" t="s">
        <v>935</v>
      </c>
      <c r="C420" s="39">
        <v>315.786</v>
      </c>
      <c r="D420" s="39">
        <v>132.5</v>
      </c>
      <c r="E420" s="40">
        <f t="shared" si="24"/>
        <v>41841.644999999997</v>
      </c>
      <c r="F420" s="41">
        <f t="shared" si="25"/>
        <v>1.4244947080594135E-3</v>
      </c>
      <c r="G420" s="42">
        <v>1.3886792452830187E-2</v>
      </c>
      <c r="H420" s="42">
        <f t="shared" si="26"/>
        <v>1.9781662360976003E-5</v>
      </c>
      <c r="I420" s="42">
        <v>0.105</v>
      </c>
      <c r="J420" s="43">
        <f t="shared" si="27"/>
        <v>1.4957194434623842E-4</v>
      </c>
    </row>
    <row r="421" spans="1:10" ht="15" customHeight="1" x14ac:dyDescent="0.25">
      <c r="A421" s="38" t="s">
        <v>936</v>
      </c>
      <c r="B421" s="26" t="s">
        <v>937</v>
      </c>
      <c r="C421" s="39">
        <v>1490.268</v>
      </c>
      <c r="D421" s="39">
        <v>99.07</v>
      </c>
      <c r="E421" s="40">
        <f t="shared" si="24"/>
        <v>147640.85076</v>
      </c>
      <c r="F421" s="41">
        <f t="shared" si="25"/>
        <v>5.0264183112544852E-3</v>
      </c>
      <c r="G421" s="42">
        <v>2.059150095891794E-2</v>
      </c>
      <c r="H421" s="42">
        <f t="shared" si="26"/>
        <v>1.0350149747611943E-4</v>
      </c>
      <c r="I421" s="42">
        <v>7.4999999999999997E-2</v>
      </c>
      <c r="J421" s="43">
        <f t="shared" si="27"/>
        <v>3.7698137334408636E-4</v>
      </c>
    </row>
    <row r="422" spans="1:10" ht="15" customHeight="1" x14ac:dyDescent="0.25">
      <c r="A422" s="38" t="s">
        <v>938</v>
      </c>
      <c r="B422" s="26" t="s">
        <v>939</v>
      </c>
      <c r="C422" s="39">
        <v>108.017</v>
      </c>
      <c r="D422" s="39">
        <v>344.1</v>
      </c>
      <c r="E422" s="40">
        <f t="shared" si="24"/>
        <v>37168.649700000002</v>
      </c>
      <c r="F422" s="41" t="str">
        <f t="shared" si="25"/>
        <v/>
      </c>
      <c r="G422" s="42">
        <v>8.2534147050276081E-3</v>
      </c>
      <c r="H422" s="42" t="str">
        <f t="shared" si="26"/>
        <v/>
      </c>
      <c r="I422" s="42">
        <v>0.42499999999999999</v>
      </c>
      <c r="J422" s="43" t="str">
        <f t="shared" si="27"/>
        <v/>
      </c>
    </row>
    <row r="423" spans="1:10" ht="15" customHeight="1" x14ac:dyDescent="0.25">
      <c r="A423" s="38" t="s">
        <v>940</v>
      </c>
      <c r="B423" s="26" t="s">
        <v>941</v>
      </c>
      <c r="C423" s="39">
        <v>62.569000000000003</v>
      </c>
      <c r="D423" s="39">
        <v>293.49</v>
      </c>
      <c r="E423" s="40">
        <f t="shared" si="24"/>
        <v>18363.375810000001</v>
      </c>
      <c r="F423" s="41">
        <f t="shared" si="25"/>
        <v>6.2517933182242838E-4</v>
      </c>
      <c r="G423" s="42">
        <v>7.6322873011005488E-3</v>
      </c>
      <c r="H423" s="42">
        <f t="shared" si="26"/>
        <v>4.7715482751788466E-6</v>
      </c>
      <c r="I423" s="42">
        <v>0.12</v>
      </c>
      <c r="J423" s="43">
        <f t="shared" si="27"/>
        <v>7.50215198186914E-5</v>
      </c>
    </row>
    <row r="424" spans="1:10" ht="15" customHeight="1" x14ac:dyDescent="0.25">
      <c r="A424" s="38" t="s">
        <v>942</v>
      </c>
      <c r="B424" s="26" t="s">
        <v>943</v>
      </c>
      <c r="C424" s="39">
        <v>1150.3</v>
      </c>
      <c r="D424" s="39">
        <v>90.97</v>
      </c>
      <c r="E424" s="40">
        <f t="shared" si="24"/>
        <v>104642.791</v>
      </c>
      <c r="F424" s="41">
        <f t="shared" si="25"/>
        <v>3.5625535758947156E-3</v>
      </c>
      <c r="G424" s="42">
        <v>2.1545564471803891E-2</v>
      </c>
      <c r="H424" s="42">
        <f t="shared" si="26"/>
        <v>7.6757227753695092E-5</v>
      </c>
      <c r="I424" s="42">
        <v>0.16500000000000001</v>
      </c>
      <c r="J424" s="43">
        <f t="shared" si="27"/>
        <v>5.8782134002262809E-4</v>
      </c>
    </row>
    <row r="425" spans="1:10" ht="15" customHeight="1" x14ac:dyDescent="0.25">
      <c r="A425" s="38" t="s">
        <v>944</v>
      </c>
      <c r="B425" s="26" t="s">
        <v>945</v>
      </c>
      <c r="C425" s="39">
        <v>1814.6210000000001</v>
      </c>
      <c r="D425" s="39">
        <v>84.31</v>
      </c>
      <c r="E425" s="40">
        <f t="shared" si="24"/>
        <v>152990.69651000001</v>
      </c>
      <c r="F425" s="41">
        <f t="shared" si="25"/>
        <v>5.2085532861057167E-3</v>
      </c>
      <c r="G425" s="42">
        <v>9.4887913651998581E-3</v>
      </c>
      <c r="H425" s="42">
        <f t="shared" si="26"/>
        <v>4.9422875446383269E-5</v>
      </c>
      <c r="I425" s="42">
        <v>7.0000000000000007E-2</v>
      </c>
      <c r="J425" s="43">
        <f t="shared" si="27"/>
        <v>3.6459873002740018E-4</v>
      </c>
    </row>
    <row r="426" spans="1:10" ht="15" customHeight="1" x14ac:dyDescent="0.25">
      <c r="A426" s="38" t="s">
        <v>946</v>
      </c>
      <c r="B426" s="26" t="s">
        <v>947</v>
      </c>
      <c r="C426" s="39">
        <v>55.115000000000002</v>
      </c>
      <c r="D426" s="39">
        <v>322.37</v>
      </c>
      <c r="E426" s="40">
        <f t="shared" si="24"/>
        <v>17767.422549999999</v>
      </c>
      <c r="F426" s="41">
        <f t="shared" si="25"/>
        <v>6.0489016142483147E-4</v>
      </c>
      <c r="G426" s="42" t="s">
        <v>135</v>
      </c>
      <c r="H426" s="42" t="str">
        <f t="shared" si="26"/>
        <v/>
      </c>
      <c r="I426" s="42">
        <v>0.19500000000000001</v>
      </c>
      <c r="J426" s="43">
        <f t="shared" si="27"/>
        <v>1.1795358147784214E-4</v>
      </c>
    </row>
    <row r="427" spans="1:10" ht="15" customHeight="1" x14ac:dyDescent="0.25">
      <c r="A427" s="38" t="s">
        <v>948</v>
      </c>
      <c r="B427" s="26" t="s">
        <v>949</v>
      </c>
      <c r="C427" s="39">
        <v>148.15799999999999</v>
      </c>
      <c r="D427" s="39">
        <v>66.959999999999994</v>
      </c>
      <c r="E427" s="40">
        <f t="shared" si="24"/>
        <v>9920.6596799999988</v>
      </c>
      <c r="F427" s="41">
        <f t="shared" si="25"/>
        <v>3.377478876516063E-4</v>
      </c>
      <c r="G427" s="42">
        <v>1.1947431302270014E-2</v>
      </c>
      <c r="H427" s="42">
        <f t="shared" si="26"/>
        <v>4.0352196852043773E-6</v>
      </c>
      <c r="I427" s="42">
        <v>0.13500000000000001</v>
      </c>
      <c r="J427" s="43">
        <f t="shared" si="27"/>
        <v>4.5595964832966851E-5</v>
      </c>
    </row>
    <row r="428" spans="1:10" ht="15" customHeight="1" x14ac:dyDescent="0.25">
      <c r="A428" s="38" t="s">
        <v>950</v>
      </c>
      <c r="B428" s="26" t="s">
        <v>951</v>
      </c>
      <c r="C428" s="39">
        <v>260.548</v>
      </c>
      <c r="D428" s="39">
        <v>249.62</v>
      </c>
      <c r="E428" s="40">
        <f t="shared" si="24"/>
        <v>65037.991760000004</v>
      </c>
      <c r="F428" s="41">
        <f t="shared" si="25"/>
        <v>2.2142120627650216E-3</v>
      </c>
      <c r="G428" s="42">
        <v>9.6146142136046778E-3</v>
      </c>
      <c r="H428" s="42">
        <f t="shared" si="26"/>
        <v>2.128879477059551E-5</v>
      </c>
      <c r="I428" s="42">
        <v>0.115</v>
      </c>
      <c r="J428" s="43">
        <f t="shared" si="27"/>
        <v>2.5463438721797752E-4</v>
      </c>
    </row>
    <row r="429" spans="1:10" ht="15" customHeight="1" x14ac:dyDescent="0.25">
      <c r="A429" s="38" t="s">
        <v>952</v>
      </c>
      <c r="B429" s="26" t="s">
        <v>953</v>
      </c>
      <c r="C429" s="39">
        <v>58.81</v>
      </c>
      <c r="D429" s="39">
        <v>559.45000000000005</v>
      </c>
      <c r="E429" s="40">
        <f t="shared" si="24"/>
        <v>32901.254500000003</v>
      </c>
      <c r="F429" s="41">
        <f t="shared" si="25"/>
        <v>1.1201199886803203E-3</v>
      </c>
      <c r="G429" s="42" t="s">
        <v>135</v>
      </c>
      <c r="H429" s="42" t="str">
        <f t="shared" si="26"/>
        <v/>
      </c>
      <c r="I429" s="42">
        <v>0.05</v>
      </c>
      <c r="J429" s="43">
        <f t="shared" si="27"/>
        <v>5.6005999434016019E-5</v>
      </c>
    </row>
    <row r="430" spans="1:10" ht="15" customHeight="1" x14ac:dyDescent="0.25">
      <c r="A430" s="38" t="s">
        <v>954</v>
      </c>
      <c r="B430" s="26" t="s">
        <v>955</v>
      </c>
      <c r="C430" s="39">
        <v>108.458</v>
      </c>
      <c r="D430" s="39">
        <v>135.41</v>
      </c>
      <c r="E430" s="40">
        <f t="shared" si="24"/>
        <v>14686.297779999999</v>
      </c>
      <c r="F430" s="41">
        <f t="shared" si="25"/>
        <v>4.9999357024788852E-4</v>
      </c>
      <c r="G430" s="42">
        <v>2.924451665312754E-2</v>
      </c>
      <c r="H430" s="42">
        <f t="shared" si="26"/>
        <v>1.462207029157107E-5</v>
      </c>
      <c r="I430" s="42">
        <v>0.04</v>
      </c>
      <c r="J430" s="43">
        <f t="shared" si="27"/>
        <v>1.9999742809915543E-5</v>
      </c>
    </row>
    <row r="431" spans="1:10" ht="15" customHeight="1" x14ac:dyDescent="0.25">
      <c r="A431" s="38" t="s">
        <v>956</v>
      </c>
      <c r="B431" s="26" t="s">
        <v>957</v>
      </c>
      <c r="C431" s="39">
        <v>1413.019</v>
      </c>
      <c r="D431" s="39">
        <v>41.31</v>
      </c>
      <c r="E431" s="40">
        <f t="shared" si="24"/>
        <v>58371.814890000001</v>
      </c>
      <c r="F431" s="41">
        <f t="shared" si="25"/>
        <v>1.9872627237917796E-3</v>
      </c>
      <c r="G431" s="42">
        <v>1.2103606874848705E-2</v>
      </c>
      <c r="H431" s="42">
        <f t="shared" si="26"/>
        <v>2.4053046765816746E-5</v>
      </c>
      <c r="I431" s="42">
        <v>0.115</v>
      </c>
      <c r="J431" s="43">
        <f t="shared" si="27"/>
        <v>2.2853521323605466E-4</v>
      </c>
    </row>
    <row r="432" spans="1:10" ht="15" customHeight="1" x14ac:dyDescent="0.25">
      <c r="A432" s="38" t="s">
        <v>958</v>
      </c>
      <c r="B432" s="26" t="s">
        <v>959</v>
      </c>
      <c r="C432" s="39">
        <v>53.417000000000002</v>
      </c>
      <c r="D432" s="39">
        <v>205.48</v>
      </c>
      <c r="E432" s="40">
        <f t="shared" si="24"/>
        <v>10976.12516</v>
      </c>
      <c r="F432" s="41">
        <f t="shared" si="25"/>
        <v>3.7368110659649699E-4</v>
      </c>
      <c r="G432" s="42">
        <v>2.7642592953085458E-2</v>
      </c>
      <c r="H432" s="42">
        <f t="shared" si="26"/>
        <v>1.0329514723905504E-5</v>
      </c>
      <c r="I432" s="42">
        <v>4.4999999999999998E-2</v>
      </c>
      <c r="J432" s="43">
        <f t="shared" si="27"/>
        <v>1.6815649796842365E-5</v>
      </c>
    </row>
    <row r="433" spans="1:10" ht="15" customHeight="1" x14ac:dyDescent="0.25">
      <c r="A433" s="38" t="s">
        <v>960</v>
      </c>
      <c r="B433" s="26" t="s">
        <v>961</v>
      </c>
      <c r="C433" s="39">
        <v>153.09899999999999</v>
      </c>
      <c r="D433" s="39">
        <v>333.27</v>
      </c>
      <c r="E433" s="40">
        <f t="shared" si="24"/>
        <v>51023.303729999992</v>
      </c>
      <c r="F433" s="41">
        <f t="shared" si="25"/>
        <v>1.7370833807106086E-3</v>
      </c>
      <c r="G433" s="42" t="s">
        <v>135</v>
      </c>
      <c r="H433" s="42" t="str">
        <f t="shared" si="26"/>
        <v/>
      </c>
      <c r="I433" s="42">
        <v>0.14000000000000001</v>
      </c>
      <c r="J433" s="43">
        <f t="shared" si="27"/>
        <v>2.4319167329948523E-4</v>
      </c>
    </row>
    <row r="434" spans="1:10" ht="15" customHeight="1" x14ac:dyDescent="0.25">
      <c r="A434" s="38" t="s">
        <v>962</v>
      </c>
      <c r="B434" s="26" t="s">
        <v>963</v>
      </c>
      <c r="C434" s="39">
        <v>1059.8040000000001</v>
      </c>
      <c r="D434" s="39">
        <v>72.510000000000005</v>
      </c>
      <c r="E434" s="40">
        <f t="shared" si="24"/>
        <v>76846.388040000005</v>
      </c>
      <c r="F434" s="41">
        <f t="shared" si="25"/>
        <v>2.616227758169169E-3</v>
      </c>
      <c r="G434" s="42">
        <v>3.6408771203971867E-2</v>
      </c>
      <c r="H434" s="42">
        <f t="shared" si="26"/>
        <v>9.5253637864661512E-5</v>
      </c>
      <c r="I434" s="42">
        <v>5.5E-2</v>
      </c>
      <c r="J434" s="43">
        <f t="shared" si="27"/>
        <v>1.438925266993043E-4</v>
      </c>
    </row>
    <row r="435" spans="1:10" ht="15" customHeight="1" x14ac:dyDescent="0.25">
      <c r="A435" s="38" t="s">
        <v>964</v>
      </c>
      <c r="B435" s="26" t="s">
        <v>965</v>
      </c>
      <c r="C435" s="39">
        <v>328.34199999999998</v>
      </c>
      <c r="D435" s="39">
        <v>131.56</v>
      </c>
      <c r="E435" s="40">
        <f t="shared" si="24"/>
        <v>43196.673519999997</v>
      </c>
      <c r="F435" s="41">
        <f t="shared" si="25"/>
        <v>1.4706265213762556E-3</v>
      </c>
      <c r="G435" s="42">
        <v>5.0167224080267553E-2</v>
      </c>
      <c r="H435" s="42">
        <f t="shared" si="26"/>
        <v>7.3777250236266992E-5</v>
      </c>
      <c r="I435" s="42">
        <v>2.5000000000000001E-2</v>
      </c>
      <c r="J435" s="43">
        <f t="shared" si="27"/>
        <v>3.6765663034406395E-5</v>
      </c>
    </row>
    <row r="436" spans="1:10" ht="15" customHeight="1" x14ac:dyDescent="0.25">
      <c r="A436" s="38" t="s">
        <v>966</v>
      </c>
      <c r="B436" s="26" t="s">
        <v>967</v>
      </c>
      <c r="C436" s="39">
        <v>347.02699999999999</v>
      </c>
      <c r="D436" s="39">
        <v>410.18</v>
      </c>
      <c r="E436" s="40">
        <f t="shared" si="24"/>
        <v>142343.53485999999</v>
      </c>
      <c r="F436" s="41">
        <f t="shared" si="25"/>
        <v>4.8460717100042468E-3</v>
      </c>
      <c r="G436" s="42">
        <v>8.2890438344141587E-3</v>
      </c>
      <c r="H436" s="42">
        <f t="shared" si="26"/>
        <v>4.016930082893958E-5</v>
      </c>
      <c r="I436" s="42">
        <v>0.105</v>
      </c>
      <c r="J436" s="43">
        <f t="shared" si="27"/>
        <v>5.0883752955044586E-4</v>
      </c>
    </row>
    <row r="437" spans="1:10" ht="15" customHeight="1" x14ac:dyDescent="0.25">
      <c r="A437" s="38" t="s">
        <v>968</v>
      </c>
      <c r="B437" s="26" t="s">
        <v>969</v>
      </c>
      <c r="C437" s="39">
        <v>315.77199999999999</v>
      </c>
      <c r="D437" s="39">
        <v>168.12</v>
      </c>
      <c r="E437" s="40">
        <f t="shared" si="24"/>
        <v>53087.588640000002</v>
      </c>
      <c r="F437" s="41">
        <f t="shared" si="25"/>
        <v>1.807361758394419E-3</v>
      </c>
      <c r="G437" s="42">
        <v>2.7242445871996195E-2</v>
      </c>
      <c r="H437" s="42">
        <f t="shared" si="26"/>
        <v>4.9236954874175824E-5</v>
      </c>
      <c r="I437" s="42">
        <v>0.1</v>
      </c>
      <c r="J437" s="43">
        <f t="shared" si="27"/>
        <v>1.8073617583944191E-4</v>
      </c>
    </row>
    <row r="438" spans="1:10" ht="15" customHeight="1" x14ac:dyDescent="0.25">
      <c r="A438" s="38" t="s">
        <v>970</v>
      </c>
      <c r="B438" s="26" t="s">
        <v>971</v>
      </c>
      <c r="C438" s="39">
        <v>100.127</v>
      </c>
      <c r="D438" s="39">
        <v>241.77</v>
      </c>
      <c r="E438" s="40">
        <f t="shared" si="24"/>
        <v>24207.70479</v>
      </c>
      <c r="F438" s="41">
        <f t="shared" si="25"/>
        <v>8.2414893983301851E-4</v>
      </c>
      <c r="G438" s="42">
        <v>7.1141994457542285E-3</v>
      </c>
      <c r="H438" s="42">
        <f t="shared" si="26"/>
        <v>5.8631599309789949E-6</v>
      </c>
      <c r="I438" s="42">
        <v>0.115</v>
      </c>
      <c r="J438" s="43">
        <f t="shared" si="27"/>
        <v>9.4777128080797139E-5</v>
      </c>
    </row>
    <row r="439" spans="1:10" ht="15" customHeight="1" x14ac:dyDescent="0.25">
      <c r="A439" s="38" t="s">
        <v>972</v>
      </c>
      <c r="B439" s="26" t="s">
        <v>973</v>
      </c>
      <c r="C439" s="39">
        <v>366.06700000000001</v>
      </c>
      <c r="D439" s="39">
        <v>87.12</v>
      </c>
      <c r="E439" s="40">
        <f t="shared" si="24"/>
        <v>31891.757040000004</v>
      </c>
      <c r="F439" s="41">
        <f t="shared" si="25"/>
        <v>1.0857517464764245E-3</v>
      </c>
      <c r="G439" s="42">
        <v>2.6170798898071626E-2</v>
      </c>
      <c r="H439" s="42">
        <f t="shared" si="26"/>
        <v>2.8414990610264556E-5</v>
      </c>
      <c r="I439" s="42">
        <v>0.08</v>
      </c>
      <c r="J439" s="43">
        <f t="shared" si="27"/>
        <v>8.6860139718113969E-5</v>
      </c>
    </row>
    <row r="440" spans="1:10" ht="15" customHeight="1" x14ac:dyDescent="0.25">
      <c r="A440" s="38" t="s">
        <v>974</v>
      </c>
      <c r="B440" s="26" t="s">
        <v>975</v>
      </c>
      <c r="C440" s="39">
        <v>218.898</v>
      </c>
      <c r="D440" s="39">
        <v>89.9</v>
      </c>
      <c r="E440" s="40">
        <f t="shared" si="24"/>
        <v>19678.930200000003</v>
      </c>
      <c r="F440" s="41">
        <f t="shared" si="25"/>
        <v>6.6996725224762518E-4</v>
      </c>
      <c r="G440" s="42">
        <v>3.1145717463848716E-2</v>
      </c>
      <c r="H440" s="42">
        <f t="shared" si="26"/>
        <v>2.0866610748535597E-5</v>
      </c>
      <c r="I440" s="42">
        <v>0.16</v>
      </c>
      <c r="J440" s="43">
        <f t="shared" si="27"/>
        <v>1.0719476035962002E-4</v>
      </c>
    </row>
    <row r="441" spans="1:10" ht="15" customHeight="1" x14ac:dyDescent="0.25">
      <c r="A441" s="38" t="s">
        <v>976</v>
      </c>
      <c r="B441" s="26" t="s">
        <v>977</v>
      </c>
      <c r="C441" s="39">
        <v>164.339</v>
      </c>
      <c r="D441" s="39">
        <v>230.32</v>
      </c>
      <c r="E441" s="40">
        <f t="shared" si="24"/>
        <v>37850.55848</v>
      </c>
      <c r="F441" s="41">
        <f t="shared" si="25"/>
        <v>1.2886185581817676E-3</v>
      </c>
      <c r="G441" s="42">
        <v>1.3199027440083362E-2</v>
      </c>
      <c r="H441" s="42">
        <f t="shared" si="26"/>
        <v>1.700851170924181E-5</v>
      </c>
      <c r="I441" s="42">
        <v>5.5E-2</v>
      </c>
      <c r="J441" s="43">
        <f t="shared" si="27"/>
        <v>7.0874020699997217E-5</v>
      </c>
    </row>
    <row r="442" spans="1:10" ht="15" customHeight="1" x14ac:dyDescent="0.25">
      <c r="A442" s="38" t="s">
        <v>978</v>
      </c>
      <c r="B442" s="26" t="s">
        <v>979</v>
      </c>
      <c r="C442" s="39">
        <v>163.411</v>
      </c>
      <c r="D442" s="39">
        <v>139.79</v>
      </c>
      <c r="E442" s="40">
        <f t="shared" si="24"/>
        <v>22843.223689999999</v>
      </c>
      <c r="F442" s="41">
        <f t="shared" si="25"/>
        <v>7.7769531435540912E-4</v>
      </c>
      <c r="G442" s="42">
        <v>2.2605336576293013E-2</v>
      </c>
      <c r="H442" s="42">
        <f t="shared" si="26"/>
        <v>1.7580064334810023E-5</v>
      </c>
      <c r="I442" s="42">
        <v>0.06</v>
      </c>
      <c r="J442" s="43">
        <f t="shared" si="27"/>
        <v>4.6661718861324545E-5</v>
      </c>
    </row>
    <row r="443" spans="1:10" ht="15" customHeight="1" x14ac:dyDescent="0.25">
      <c r="A443" s="38" t="s">
        <v>980</v>
      </c>
      <c r="B443" s="26" t="s">
        <v>981</v>
      </c>
      <c r="C443" s="39">
        <v>161.67099999999999</v>
      </c>
      <c r="D443" s="39">
        <v>133.28</v>
      </c>
      <c r="E443" s="40">
        <f t="shared" si="24"/>
        <v>21547.510879999998</v>
      </c>
      <c r="F443" s="41">
        <f t="shared" si="25"/>
        <v>7.335828985789789E-4</v>
      </c>
      <c r="G443" s="42">
        <v>1.6806722689075633E-2</v>
      </c>
      <c r="H443" s="42">
        <f t="shared" si="26"/>
        <v>1.2329124345865193E-5</v>
      </c>
      <c r="I443" s="42">
        <v>0.155</v>
      </c>
      <c r="J443" s="43">
        <f t="shared" si="27"/>
        <v>1.1370534927974172E-4</v>
      </c>
    </row>
    <row r="444" spans="1:10" ht="15" customHeight="1" x14ac:dyDescent="0.25">
      <c r="A444" s="38" t="s">
        <v>982</v>
      </c>
      <c r="B444" s="26" t="s">
        <v>983</v>
      </c>
      <c r="C444" s="39">
        <v>521.27200000000005</v>
      </c>
      <c r="D444" s="39">
        <v>34.81</v>
      </c>
      <c r="E444" s="40">
        <f t="shared" si="24"/>
        <v>18145.478320000002</v>
      </c>
      <c r="F444" s="41">
        <f t="shared" si="25"/>
        <v>6.1776103310581657E-4</v>
      </c>
      <c r="G444" s="42">
        <v>2.528009192760701E-2</v>
      </c>
      <c r="H444" s="42">
        <f t="shared" si="26"/>
        <v>1.5617055706208519E-5</v>
      </c>
      <c r="I444" s="42">
        <v>9.5000000000000001E-2</v>
      </c>
      <c r="J444" s="43">
        <f t="shared" si="27"/>
        <v>5.8687298145052574E-5</v>
      </c>
    </row>
    <row r="445" spans="1:10" ht="15" customHeight="1" x14ac:dyDescent="0.25">
      <c r="A445" s="38" t="s">
        <v>984</v>
      </c>
      <c r="B445" s="26" t="s">
        <v>985</v>
      </c>
      <c r="C445" s="39">
        <v>377.7</v>
      </c>
      <c r="D445" s="39">
        <v>267.35000000000002</v>
      </c>
      <c r="E445" s="40">
        <f t="shared" si="24"/>
        <v>100978.095</v>
      </c>
      <c r="F445" s="41">
        <f t="shared" si="25"/>
        <v>3.4377893593194233E-3</v>
      </c>
      <c r="G445" s="42">
        <v>1.0398354217318122E-2</v>
      </c>
      <c r="H445" s="42">
        <f t="shared" si="26"/>
        <v>3.5747351482730489E-5</v>
      </c>
      <c r="I445" s="42">
        <v>8.5000000000000006E-2</v>
      </c>
      <c r="J445" s="43">
        <f t="shared" si="27"/>
        <v>2.9221209554215099E-4</v>
      </c>
    </row>
    <row r="446" spans="1:10" ht="15" customHeight="1" x14ac:dyDescent="0.25">
      <c r="A446" s="38" t="s">
        <v>986</v>
      </c>
      <c r="B446" s="26" t="s">
        <v>987</v>
      </c>
      <c r="C446" s="39">
        <v>507.447</v>
      </c>
      <c r="D446" s="39">
        <v>81.650000000000006</v>
      </c>
      <c r="E446" s="40">
        <f t="shared" si="24"/>
        <v>41433.047550000003</v>
      </c>
      <c r="F446" s="41">
        <f t="shared" si="25"/>
        <v>1.4105840478726174E-3</v>
      </c>
      <c r="G446" s="42">
        <v>2.3025107164727492E-2</v>
      </c>
      <c r="H446" s="42">
        <f t="shared" si="26"/>
        <v>3.2478848867122112E-5</v>
      </c>
      <c r="I446" s="42">
        <v>0.17499999999999999</v>
      </c>
      <c r="J446" s="43">
        <f t="shared" si="27"/>
        <v>2.4685220837770803E-4</v>
      </c>
    </row>
    <row r="447" spans="1:10" ht="15" customHeight="1" x14ac:dyDescent="0.25">
      <c r="A447" s="38" t="s">
        <v>988</v>
      </c>
      <c r="B447" s="26" t="s">
        <v>989</v>
      </c>
      <c r="C447" s="39">
        <v>7142.893</v>
      </c>
      <c r="D447" s="39">
        <v>23.63</v>
      </c>
      <c r="E447" s="40">
        <f t="shared" si="24"/>
        <v>168786.56159</v>
      </c>
      <c r="F447" s="41">
        <f t="shared" si="25"/>
        <v>5.7463219664642554E-3</v>
      </c>
      <c r="G447" s="42">
        <v>4.6974185357596281E-2</v>
      </c>
      <c r="H447" s="42">
        <f t="shared" si="26"/>
        <v>2.699287931771191E-4</v>
      </c>
      <c r="I447" s="42">
        <v>0.03</v>
      </c>
      <c r="J447" s="43">
        <f t="shared" si="27"/>
        <v>1.7238965899392766E-4</v>
      </c>
    </row>
    <row r="448" spans="1:10" ht="15" customHeight="1" x14ac:dyDescent="0.25">
      <c r="A448" s="38" t="s">
        <v>990</v>
      </c>
      <c r="B448" s="26" t="s">
        <v>991</v>
      </c>
      <c r="C448" s="39">
        <v>200.59899999999999</v>
      </c>
      <c r="D448" s="39">
        <v>53.38</v>
      </c>
      <c r="E448" s="40">
        <f t="shared" si="24"/>
        <v>10707.974619999999</v>
      </c>
      <c r="F448" s="41" t="str">
        <f t="shared" si="25"/>
        <v/>
      </c>
      <c r="G448" s="42">
        <v>2.8475084301236415E-2</v>
      </c>
      <c r="H448" s="42" t="str">
        <f t="shared" si="26"/>
        <v/>
      </c>
      <c r="I448" s="42">
        <v>0.41</v>
      </c>
      <c r="J448" s="43" t="str">
        <f t="shared" si="27"/>
        <v/>
      </c>
    </row>
    <row r="449" spans="1:10" ht="15" customHeight="1" x14ac:dyDescent="0.25">
      <c r="A449" s="38" t="s">
        <v>992</v>
      </c>
      <c r="B449" s="26" t="s">
        <v>993</v>
      </c>
      <c r="C449" s="39">
        <v>55.462000000000003</v>
      </c>
      <c r="D449" s="39">
        <v>651.54</v>
      </c>
      <c r="E449" s="40">
        <f t="shared" si="24"/>
        <v>36135.711479999998</v>
      </c>
      <c r="F449" s="41">
        <f t="shared" si="25"/>
        <v>1.2302367599367043E-3</v>
      </c>
      <c r="G449" s="42" t="s">
        <v>135</v>
      </c>
      <c r="H449" s="42" t="str">
        <f t="shared" si="26"/>
        <v/>
      </c>
      <c r="I449" s="42">
        <v>0.16500000000000001</v>
      </c>
      <c r="J449" s="43">
        <f t="shared" si="27"/>
        <v>2.0298906538955623E-4</v>
      </c>
    </row>
    <row r="450" spans="1:10" ht="15" customHeight="1" x14ac:dyDescent="0.25">
      <c r="A450" s="38" t="s">
        <v>994</v>
      </c>
      <c r="B450" s="26" t="s">
        <v>995</v>
      </c>
      <c r="C450" s="39">
        <v>46.765999999999998</v>
      </c>
      <c r="D450" s="39">
        <v>472.63</v>
      </c>
      <c r="E450" s="40">
        <f t="shared" si="24"/>
        <v>22103.014579999999</v>
      </c>
      <c r="F450" s="41">
        <f t="shared" si="25"/>
        <v>7.5249496766606721E-4</v>
      </c>
      <c r="G450" s="42" t="s">
        <v>135</v>
      </c>
      <c r="H450" s="42" t="str">
        <f t="shared" si="26"/>
        <v/>
      </c>
      <c r="I450" s="42">
        <v>0.14499999999999999</v>
      </c>
      <c r="J450" s="43">
        <f t="shared" si="27"/>
        <v>1.0911177031157973E-4</v>
      </c>
    </row>
    <row r="451" spans="1:10" ht="15" customHeight="1" x14ac:dyDescent="0.25">
      <c r="A451" s="38" t="s">
        <v>996</v>
      </c>
      <c r="B451" s="26" t="s">
        <v>997</v>
      </c>
      <c r="C451" s="39">
        <v>39.287999999999997</v>
      </c>
      <c r="D451" s="39">
        <v>433.04</v>
      </c>
      <c r="E451" s="40">
        <f t="shared" si="24"/>
        <v>17013.275519999999</v>
      </c>
      <c r="F451" s="41">
        <f t="shared" si="25"/>
        <v>5.7921529961350155E-4</v>
      </c>
      <c r="G451" s="42">
        <v>2.9558470349159431E-3</v>
      </c>
      <c r="H451" s="42">
        <f t="shared" si="26"/>
        <v>1.7120718259405181E-6</v>
      </c>
      <c r="I451" s="42">
        <v>0.17499999999999999</v>
      </c>
      <c r="J451" s="43">
        <f t="shared" si="27"/>
        <v>1.0136267743236277E-4</v>
      </c>
    </row>
    <row r="452" spans="1:10" ht="15" customHeight="1" x14ac:dyDescent="0.25">
      <c r="A452" s="38" t="s">
        <v>998</v>
      </c>
      <c r="B452" s="26" t="s">
        <v>999</v>
      </c>
      <c r="C452" s="39">
        <v>325.57499999999999</v>
      </c>
      <c r="D452" s="39">
        <v>130.97999999999999</v>
      </c>
      <c r="E452" s="40">
        <f t="shared" si="24"/>
        <v>42643.813499999997</v>
      </c>
      <c r="F452" s="41">
        <f t="shared" si="25"/>
        <v>1.4518044561159719E-3</v>
      </c>
      <c r="G452" s="42">
        <v>1.7101847610322189E-2</v>
      </c>
      <c r="H452" s="42">
        <f t="shared" si="26"/>
        <v>2.4828538568482038E-5</v>
      </c>
      <c r="I452" s="42">
        <v>0.105</v>
      </c>
      <c r="J452" s="43">
        <f t="shared" si="27"/>
        <v>1.5243946789217705E-4</v>
      </c>
    </row>
    <row r="453" spans="1:10" ht="15" customHeight="1" x14ac:dyDescent="0.25">
      <c r="A453" s="38" t="s">
        <v>1000</v>
      </c>
      <c r="B453" s="26" t="s">
        <v>1001</v>
      </c>
      <c r="C453" s="39">
        <v>162.417</v>
      </c>
      <c r="D453" s="39">
        <v>118.23</v>
      </c>
      <c r="E453" s="40">
        <f t="shared" si="24"/>
        <v>19202.56191</v>
      </c>
      <c r="F453" s="41">
        <f t="shared" si="25"/>
        <v>6.5374934044725699E-4</v>
      </c>
      <c r="G453" s="42">
        <v>3.7215596718261014E-3</v>
      </c>
      <c r="H453" s="42">
        <f t="shared" si="26"/>
        <v>2.432967180891424E-6</v>
      </c>
      <c r="I453" s="42">
        <v>8.5000000000000006E-2</v>
      </c>
      <c r="J453" s="43">
        <f t="shared" si="27"/>
        <v>5.5568693938016845E-5</v>
      </c>
    </row>
    <row r="454" spans="1:10" ht="15" customHeight="1" x14ac:dyDescent="0.25">
      <c r="A454" s="38" t="s">
        <v>1002</v>
      </c>
      <c r="B454" s="26" t="s">
        <v>1003</v>
      </c>
      <c r="C454" s="39">
        <v>1328.9929999999999</v>
      </c>
      <c r="D454" s="39">
        <v>56.7</v>
      </c>
      <c r="E454" s="40">
        <f t="shared" si="24"/>
        <v>75353.903099999996</v>
      </c>
      <c r="F454" s="41">
        <f t="shared" si="25"/>
        <v>2.5654162544893216E-3</v>
      </c>
      <c r="G454" s="42">
        <v>3.3862433862433858E-2</v>
      </c>
      <c r="H454" s="42">
        <f t="shared" si="26"/>
        <v>8.6871238247257442E-5</v>
      </c>
      <c r="I454" s="42">
        <v>7.0000000000000007E-2</v>
      </c>
      <c r="J454" s="43">
        <f t="shared" si="27"/>
        <v>1.7957913781425252E-4</v>
      </c>
    </row>
    <row r="455" spans="1:10" ht="15" customHeight="1" x14ac:dyDescent="0.25">
      <c r="A455" s="38" t="s">
        <v>1004</v>
      </c>
      <c r="B455" s="26" t="s">
        <v>1005</v>
      </c>
      <c r="C455" s="39">
        <v>46.902000000000001</v>
      </c>
      <c r="D455" s="39">
        <v>354.83</v>
      </c>
      <c r="E455" s="40">
        <f t="shared" si="24"/>
        <v>16642.236659999999</v>
      </c>
      <c r="F455" s="41">
        <f t="shared" si="25"/>
        <v>5.665833179465666E-4</v>
      </c>
      <c r="G455" s="42">
        <v>3.832821351069526E-3</v>
      </c>
      <c r="H455" s="42">
        <f t="shared" si="26"/>
        <v>2.1716126381854142E-6</v>
      </c>
      <c r="I455" s="42">
        <v>0.15</v>
      </c>
      <c r="J455" s="43">
        <f t="shared" si="27"/>
        <v>8.4987497691984987E-5</v>
      </c>
    </row>
    <row r="456" spans="1:10" ht="15" customHeight="1" x14ac:dyDescent="0.25">
      <c r="A456" s="38" t="s">
        <v>1006</v>
      </c>
      <c r="B456" s="26" t="s">
        <v>1007</v>
      </c>
      <c r="C456" s="39">
        <v>462.41800000000001</v>
      </c>
      <c r="D456" s="39">
        <v>212.22</v>
      </c>
      <c r="E456" s="40">
        <f t="shared" si="24"/>
        <v>98134.347959999999</v>
      </c>
      <c r="F456" s="41">
        <f t="shared" si="25"/>
        <v>3.3409742697229306E-3</v>
      </c>
      <c r="G456" s="42">
        <v>1.6963528413910092E-2</v>
      </c>
      <c r="H456" s="42">
        <f t="shared" si="26"/>
        <v>5.6674711954587454E-5</v>
      </c>
      <c r="I456" s="42">
        <v>0.15</v>
      </c>
      <c r="J456" s="43">
        <f t="shared" si="27"/>
        <v>5.0114614045843953E-4</v>
      </c>
    </row>
    <row r="457" spans="1:10" ht="15" customHeight="1" x14ac:dyDescent="0.25">
      <c r="A457" s="38" t="s">
        <v>1008</v>
      </c>
      <c r="B457" s="26" t="s">
        <v>1009</v>
      </c>
      <c r="C457" s="39">
        <v>1175.2280000000001</v>
      </c>
      <c r="D457" s="39">
        <v>60.58</v>
      </c>
      <c r="E457" s="40">
        <f t="shared" si="24"/>
        <v>71195.312239999999</v>
      </c>
      <c r="F457" s="41">
        <f t="shared" si="25"/>
        <v>2.4238374357537233E-3</v>
      </c>
      <c r="G457" s="42">
        <v>1.9478375701551667E-2</v>
      </c>
      <c r="H457" s="42">
        <f t="shared" si="26"/>
        <v>4.7212416213096623E-5</v>
      </c>
      <c r="I457" s="42">
        <v>0.2</v>
      </c>
      <c r="J457" s="43">
        <f t="shared" si="27"/>
        <v>4.847674871507447E-4</v>
      </c>
    </row>
    <row r="458" spans="1:10" ht="15" customHeight="1" x14ac:dyDescent="0.25">
      <c r="A458" s="38" t="s">
        <v>1010</v>
      </c>
      <c r="B458" s="26" t="s">
        <v>1011</v>
      </c>
      <c r="C458" s="39">
        <v>391.19200000000001</v>
      </c>
      <c r="D458" s="39">
        <v>590.65</v>
      </c>
      <c r="E458" s="40">
        <f t="shared" si="24"/>
        <v>231057.55479999998</v>
      </c>
      <c r="F458" s="41">
        <f t="shared" si="25"/>
        <v>7.866331834461766E-3</v>
      </c>
      <c r="G458" s="42">
        <v>2.0316600355540508E-3</v>
      </c>
      <c r="H458" s="42">
        <f t="shared" si="26"/>
        <v>1.5981712014482555E-5</v>
      </c>
      <c r="I458" s="42">
        <v>0.155</v>
      </c>
      <c r="J458" s="43">
        <f t="shared" si="27"/>
        <v>1.2192814343415738E-3</v>
      </c>
    </row>
    <row r="459" spans="1:10" ht="15" customHeight="1" x14ac:dyDescent="0.25">
      <c r="A459" s="38" t="s">
        <v>1012</v>
      </c>
      <c r="B459" s="26" t="s">
        <v>1013</v>
      </c>
      <c r="C459" s="39">
        <v>1249.29</v>
      </c>
      <c r="D459" s="39">
        <v>128.35</v>
      </c>
      <c r="E459" s="40">
        <f t="shared" si="24"/>
        <v>160346.37149999998</v>
      </c>
      <c r="F459" s="41">
        <f t="shared" si="25"/>
        <v>5.4589765210779542E-3</v>
      </c>
      <c r="G459" s="42" t="s">
        <v>135</v>
      </c>
      <c r="H459" s="42" t="str">
        <f t="shared" si="26"/>
        <v/>
      </c>
      <c r="I459" s="42">
        <v>7.4999999999999997E-2</v>
      </c>
      <c r="J459" s="43">
        <f t="shared" si="27"/>
        <v>4.0942323908084655E-4</v>
      </c>
    </row>
    <row r="460" spans="1:10" ht="15" customHeight="1" x14ac:dyDescent="0.25">
      <c r="A460" s="38" t="s">
        <v>1014</v>
      </c>
      <c r="B460" s="26" t="s">
        <v>1015</v>
      </c>
      <c r="C460" s="39">
        <v>263.99</v>
      </c>
      <c r="D460" s="39">
        <v>37.15</v>
      </c>
      <c r="E460" s="40">
        <f t="shared" si="24"/>
        <v>9807.2284999999993</v>
      </c>
      <c r="F460" s="41">
        <f t="shared" si="25"/>
        <v>3.3388613423252026E-4</v>
      </c>
      <c r="G460" s="42">
        <v>2.6917900403768506E-2</v>
      </c>
      <c r="H460" s="42">
        <f t="shared" si="26"/>
        <v>8.9875137074702632E-6</v>
      </c>
      <c r="I460" s="42">
        <v>0.1</v>
      </c>
      <c r="J460" s="43">
        <f t="shared" si="27"/>
        <v>3.3388613423252026E-5</v>
      </c>
    </row>
    <row r="461" spans="1:10" ht="15" customHeight="1" x14ac:dyDescent="0.25">
      <c r="A461" s="38" t="s">
        <v>1016</v>
      </c>
      <c r="B461" s="26" t="s">
        <v>1017</v>
      </c>
      <c r="C461" s="39">
        <v>251.21600000000001</v>
      </c>
      <c r="D461" s="39">
        <v>72.14</v>
      </c>
      <c r="E461" s="40">
        <f t="shared" si="24"/>
        <v>18122.722239999999</v>
      </c>
      <c r="F461" s="41">
        <f t="shared" si="25"/>
        <v>6.1698630458985641E-4</v>
      </c>
      <c r="G461" s="42" t="s">
        <v>135</v>
      </c>
      <c r="H461" s="42" t="str">
        <f t="shared" si="26"/>
        <v/>
      </c>
      <c r="I461" s="42">
        <v>0.1</v>
      </c>
      <c r="J461" s="43">
        <f t="shared" si="27"/>
        <v>6.1698630458985641E-5</v>
      </c>
    </row>
    <row r="462" spans="1:10" ht="15" customHeight="1" x14ac:dyDescent="0.25">
      <c r="A462" s="38" t="s">
        <v>1018</v>
      </c>
      <c r="B462" s="26" t="s">
        <v>1019</v>
      </c>
      <c r="C462" s="39">
        <v>227.81</v>
      </c>
      <c r="D462" s="39">
        <v>151.19</v>
      </c>
      <c r="E462" s="40">
        <f t="shared" si="24"/>
        <v>34442.5939</v>
      </c>
      <c r="F462" s="41">
        <f t="shared" si="25"/>
        <v>1.1725947376684028E-3</v>
      </c>
      <c r="G462" s="42">
        <v>3.1748131490177918E-2</v>
      </c>
      <c r="H462" s="42">
        <f t="shared" si="26"/>
        <v>3.7227691916187134E-5</v>
      </c>
      <c r="I462" s="42">
        <v>0.12</v>
      </c>
      <c r="J462" s="43">
        <f t="shared" si="27"/>
        <v>1.4071136852020834E-4</v>
      </c>
    </row>
    <row r="463" spans="1:10" ht="15" customHeight="1" x14ac:dyDescent="0.25">
      <c r="A463" s="38" t="s">
        <v>1020</v>
      </c>
      <c r="B463" s="26" t="s">
        <v>1021</v>
      </c>
      <c r="C463" s="39">
        <v>241.501</v>
      </c>
      <c r="D463" s="39">
        <v>182.73</v>
      </c>
      <c r="E463" s="40">
        <f t="shared" si="24"/>
        <v>44129.477729999999</v>
      </c>
      <c r="F463" s="41">
        <f t="shared" si="25"/>
        <v>1.5023837493915631E-3</v>
      </c>
      <c r="G463" s="42">
        <v>1.9263394078695345E-2</v>
      </c>
      <c r="H463" s="42">
        <f t="shared" si="26"/>
        <v>2.8941010221957547E-5</v>
      </c>
      <c r="I463" s="42">
        <v>0.08</v>
      </c>
      <c r="J463" s="43">
        <f t="shared" si="27"/>
        <v>1.2019069995132505E-4</v>
      </c>
    </row>
    <row r="464" spans="1:10" ht="15" customHeight="1" x14ac:dyDescent="0.25">
      <c r="A464" s="38" t="s">
        <v>1022</v>
      </c>
      <c r="B464" s="26" t="s">
        <v>1023</v>
      </c>
      <c r="C464" s="39">
        <v>112.146</v>
      </c>
      <c r="D464" s="39">
        <v>233.37</v>
      </c>
      <c r="E464" s="40">
        <f t="shared" si="24"/>
        <v>26171.512020000002</v>
      </c>
      <c r="F464" s="41">
        <f t="shared" si="25"/>
        <v>8.9100656473719761E-4</v>
      </c>
      <c r="G464" s="42">
        <v>1.576895059347817E-2</v>
      </c>
      <c r="H464" s="42">
        <f t="shared" si="26"/>
        <v>1.4050238497805578E-5</v>
      </c>
      <c r="I464" s="42">
        <v>0.14499999999999999</v>
      </c>
      <c r="J464" s="43">
        <f t="shared" si="27"/>
        <v>1.2919595188689363E-4</v>
      </c>
    </row>
    <row r="465" spans="1:10" ht="15" customHeight="1" x14ac:dyDescent="0.25">
      <c r="A465" s="38" t="s">
        <v>1024</v>
      </c>
      <c r="B465" s="26" t="s">
        <v>1025</v>
      </c>
      <c r="C465" s="39">
        <v>1033.508</v>
      </c>
      <c r="D465" s="39">
        <v>1077.5999999999999</v>
      </c>
      <c r="E465" s="40">
        <f t="shared" ref="E465:E520" si="28">IFERROR(C465*D465, "")</f>
        <v>1113708.2208</v>
      </c>
      <c r="F465" s="41" t="str">
        <f t="shared" ref="F465:F520" si="29">IF(AND(ISNUMBER($I465)), IF(AND($I465&lt;=20%,$I465&gt;0%), $E465/SUMIFS($E$16:$E$520,$I$16:$I$520, "&gt;"&amp;0%,$I$16:$I$520, "&lt;="&amp;20%),""),"")</f>
        <v/>
      </c>
      <c r="G465" s="42" t="s">
        <v>135</v>
      </c>
      <c r="H465" s="42" t="str">
        <f t="shared" ref="H465:H520" si="30">IFERROR(F465*G465,"")</f>
        <v/>
      </c>
      <c r="I465" s="42">
        <v>0.51500000000000001</v>
      </c>
      <c r="J465" s="43" t="str">
        <f t="shared" ref="J465:J520" si="31">IFERROR(F465*I465,"")</f>
        <v/>
      </c>
    </row>
    <row r="466" spans="1:10" ht="15" customHeight="1" x14ac:dyDescent="0.25">
      <c r="A466" s="38" t="s">
        <v>1026</v>
      </c>
      <c r="B466" s="26" t="s">
        <v>1027</v>
      </c>
      <c r="C466" s="39">
        <v>292.45499999999998</v>
      </c>
      <c r="D466" s="39">
        <v>89.63</v>
      </c>
      <c r="E466" s="40">
        <f t="shared" si="28"/>
        <v>26212.741649999996</v>
      </c>
      <c r="F466" s="41">
        <f t="shared" si="29"/>
        <v>8.9241022345449325E-4</v>
      </c>
      <c r="G466" s="42">
        <v>2.0528840789914092E-2</v>
      </c>
      <c r="H466" s="42">
        <f t="shared" si="30"/>
        <v>1.832014739658895E-5</v>
      </c>
      <c r="I466" s="42">
        <v>0.06</v>
      </c>
      <c r="J466" s="43">
        <f t="shared" si="31"/>
        <v>5.3544613407269593E-5</v>
      </c>
    </row>
    <row r="467" spans="1:10" ht="15" customHeight="1" x14ac:dyDescent="0.25">
      <c r="A467" s="38" t="s">
        <v>1028</v>
      </c>
      <c r="B467" s="26" t="s">
        <v>1029</v>
      </c>
      <c r="C467" s="39">
        <v>233.53800000000001</v>
      </c>
      <c r="D467" s="39">
        <v>152.69999999999999</v>
      </c>
      <c r="E467" s="40">
        <f t="shared" si="28"/>
        <v>35661.2526</v>
      </c>
      <c r="F467" s="41" t="str">
        <f t="shared" si="29"/>
        <v/>
      </c>
      <c r="G467" s="42">
        <v>1.7550753110674527E-2</v>
      </c>
      <c r="H467" s="42" t="str">
        <f t="shared" si="30"/>
        <v/>
      </c>
      <c r="I467" s="42" t="s">
        <v>135</v>
      </c>
      <c r="J467" s="43" t="str">
        <f t="shared" si="31"/>
        <v/>
      </c>
    </row>
    <row r="468" spans="1:10" ht="15" customHeight="1" x14ac:dyDescent="0.25">
      <c r="A468" s="38" t="s">
        <v>1030</v>
      </c>
      <c r="B468" s="26" t="s">
        <v>1031</v>
      </c>
      <c r="C468" s="39">
        <v>115.416</v>
      </c>
      <c r="D468" s="39">
        <v>153.74</v>
      </c>
      <c r="E468" s="40">
        <f t="shared" si="28"/>
        <v>17744.055840000001</v>
      </c>
      <c r="F468" s="41">
        <f t="shared" si="29"/>
        <v>6.0409464407029732E-4</v>
      </c>
      <c r="G468" s="42" t="s">
        <v>135</v>
      </c>
      <c r="H468" s="42" t="str">
        <f t="shared" si="30"/>
        <v/>
      </c>
      <c r="I468" s="42">
        <v>0.15</v>
      </c>
      <c r="J468" s="43">
        <f t="shared" si="31"/>
        <v>9.0614196610544601E-5</v>
      </c>
    </row>
    <row r="469" spans="1:10" ht="15" customHeight="1" x14ac:dyDescent="0.25">
      <c r="A469" s="38" t="s">
        <v>1032</v>
      </c>
      <c r="B469" s="26" t="s">
        <v>1033</v>
      </c>
      <c r="C469" s="39">
        <v>800.64099999999996</v>
      </c>
      <c r="D469" s="39">
        <v>38.69</v>
      </c>
      <c r="E469" s="40">
        <f t="shared" si="28"/>
        <v>30976.800289999996</v>
      </c>
      <c r="F469" s="41" t="str">
        <f t="shared" si="29"/>
        <v/>
      </c>
      <c r="G469" s="42" t="s">
        <v>135</v>
      </c>
      <c r="H469" s="42" t="str">
        <f t="shared" si="30"/>
        <v/>
      </c>
      <c r="I469" s="42">
        <v>0.39</v>
      </c>
      <c r="J469" s="43" t="str">
        <f t="shared" si="31"/>
        <v/>
      </c>
    </row>
    <row r="470" spans="1:10" ht="15" customHeight="1" x14ac:dyDescent="0.25">
      <c r="A470" s="38" t="s">
        <v>1034</v>
      </c>
      <c r="B470" s="26" t="s">
        <v>1035</v>
      </c>
      <c r="C470" s="39">
        <v>923.54700000000003</v>
      </c>
      <c r="D470" s="39">
        <v>183.48</v>
      </c>
      <c r="E470" s="40">
        <f t="shared" si="28"/>
        <v>169452.40356000001</v>
      </c>
      <c r="F470" s="41">
        <f t="shared" si="29"/>
        <v>5.7689904911522516E-3</v>
      </c>
      <c r="G470" s="42">
        <v>2.5070852408981905E-2</v>
      </c>
      <c r="H470" s="42">
        <f t="shared" si="30"/>
        <v>1.4463350915249813E-4</v>
      </c>
      <c r="I470" s="42">
        <v>8.5000000000000006E-2</v>
      </c>
      <c r="J470" s="43">
        <f t="shared" si="31"/>
        <v>4.9036419174794139E-4</v>
      </c>
    </row>
    <row r="471" spans="1:10" ht="15" customHeight="1" x14ac:dyDescent="0.25">
      <c r="A471" s="38" t="s">
        <v>1036</v>
      </c>
      <c r="B471" s="26" t="s">
        <v>1037</v>
      </c>
      <c r="C471" s="39">
        <v>216.32900000000001</v>
      </c>
      <c r="D471" s="39">
        <v>74.38</v>
      </c>
      <c r="E471" s="40">
        <f t="shared" si="28"/>
        <v>16090.551019999999</v>
      </c>
      <c r="F471" s="41">
        <f t="shared" si="29"/>
        <v>5.4780123433842052E-4</v>
      </c>
      <c r="G471" s="42">
        <v>1.0755579456843238E-3</v>
      </c>
      <c r="H471" s="42">
        <f t="shared" si="30"/>
        <v>5.8919197024836848E-7</v>
      </c>
      <c r="I471" s="42">
        <v>8.5000000000000006E-2</v>
      </c>
      <c r="J471" s="43">
        <f t="shared" si="31"/>
        <v>4.6563104918765747E-5</v>
      </c>
    </row>
    <row r="472" spans="1:10" ht="15" customHeight="1" x14ac:dyDescent="0.25">
      <c r="A472" s="38" t="s">
        <v>1038</v>
      </c>
      <c r="B472" s="26" t="s">
        <v>1039</v>
      </c>
      <c r="C472" s="39">
        <v>41.430999999999997</v>
      </c>
      <c r="D472" s="39">
        <v>444.89</v>
      </c>
      <c r="E472" s="40">
        <f t="shared" si="28"/>
        <v>18432.237589999997</v>
      </c>
      <c r="F472" s="41">
        <f t="shared" si="29"/>
        <v>6.2752372438150546E-4</v>
      </c>
      <c r="G472" s="42" t="s">
        <v>135</v>
      </c>
      <c r="H472" s="42" t="str">
        <f t="shared" si="30"/>
        <v/>
      </c>
      <c r="I472" s="42">
        <v>0.14000000000000001</v>
      </c>
      <c r="J472" s="43">
        <f t="shared" si="31"/>
        <v>8.785332141341078E-5</v>
      </c>
    </row>
    <row r="473" spans="1:10" ht="15" customHeight="1" x14ac:dyDescent="0.25">
      <c r="A473" s="38" t="s">
        <v>1040</v>
      </c>
      <c r="B473" s="26" t="s">
        <v>1041</v>
      </c>
      <c r="C473" s="39">
        <v>253.21799999999999</v>
      </c>
      <c r="D473" s="39">
        <v>15.56</v>
      </c>
      <c r="E473" s="40">
        <f t="shared" si="28"/>
        <v>3940.0720799999999</v>
      </c>
      <c r="F473" s="41" t="str">
        <f t="shared" si="29"/>
        <v/>
      </c>
      <c r="G473" s="42" t="s">
        <v>135</v>
      </c>
      <c r="H473" s="42" t="str">
        <f t="shared" si="30"/>
        <v/>
      </c>
      <c r="I473" s="42" t="s">
        <v>135</v>
      </c>
      <c r="J473" s="43" t="str">
        <f t="shared" si="31"/>
        <v/>
      </c>
    </row>
    <row r="474" spans="1:10" ht="15" customHeight="1" x14ac:dyDescent="0.25">
      <c r="A474" s="38" t="s">
        <v>1040</v>
      </c>
      <c r="B474" s="26" t="s">
        <v>1042</v>
      </c>
      <c r="C474" s="39">
        <v>188.66900000000001</v>
      </c>
      <c r="D474" s="39">
        <v>17.02</v>
      </c>
      <c r="E474" s="40">
        <f t="shared" si="28"/>
        <v>3211.1463800000001</v>
      </c>
      <c r="F474" s="41" t="str">
        <f t="shared" si="29"/>
        <v/>
      </c>
      <c r="G474" s="42" t="s">
        <v>135</v>
      </c>
      <c r="H474" s="42" t="str">
        <f t="shared" si="30"/>
        <v/>
      </c>
      <c r="I474" s="42">
        <v>0.33</v>
      </c>
      <c r="J474" s="43" t="str">
        <f t="shared" si="31"/>
        <v/>
      </c>
    </row>
    <row r="475" spans="1:10" ht="15" customHeight="1" x14ac:dyDescent="0.25">
      <c r="A475" s="38" t="s">
        <v>1043</v>
      </c>
      <c r="B475" s="26" t="s">
        <v>1044</v>
      </c>
      <c r="C475" s="39">
        <v>323.61099999999999</v>
      </c>
      <c r="D475" s="39">
        <v>46.36</v>
      </c>
      <c r="E475" s="40">
        <f t="shared" si="28"/>
        <v>15002.605959999999</v>
      </c>
      <c r="F475" s="41" t="str">
        <f t="shared" si="29"/>
        <v/>
      </c>
      <c r="G475" s="42" t="s">
        <v>135</v>
      </c>
      <c r="H475" s="42" t="str">
        <f t="shared" si="30"/>
        <v/>
      </c>
      <c r="I475" s="42" t="s">
        <v>135</v>
      </c>
      <c r="J475" s="43" t="str">
        <f t="shared" si="31"/>
        <v/>
      </c>
    </row>
    <row r="476" spans="1:10" ht="15" customHeight="1" x14ac:dyDescent="0.25">
      <c r="A476" s="38" t="s">
        <v>1045</v>
      </c>
      <c r="B476" s="26" t="s">
        <v>1046</v>
      </c>
      <c r="C476" s="39">
        <v>325.40199999999999</v>
      </c>
      <c r="D476" s="39">
        <v>57.37</v>
      </c>
      <c r="E476" s="40">
        <f t="shared" si="28"/>
        <v>18668.312739999998</v>
      </c>
      <c r="F476" s="41">
        <f t="shared" si="29"/>
        <v>6.3556087975336843E-4</v>
      </c>
      <c r="G476" s="42">
        <v>2.6494683632560575E-2</v>
      </c>
      <c r="H476" s="42">
        <f t="shared" si="30"/>
        <v>1.683898443829737E-5</v>
      </c>
      <c r="I476" s="42">
        <v>0.105</v>
      </c>
      <c r="J476" s="43">
        <f t="shared" si="31"/>
        <v>6.6733892374103688E-5</v>
      </c>
    </row>
    <row r="477" spans="1:10" ht="15" customHeight="1" x14ac:dyDescent="0.25">
      <c r="A477" s="38" t="s">
        <v>1047</v>
      </c>
      <c r="B477" s="26" t="s">
        <v>1048</v>
      </c>
      <c r="C477" s="39">
        <v>67.552000000000007</v>
      </c>
      <c r="D477" s="39">
        <v>144.94999999999999</v>
      </c>
      <c r="E477" s="40">
        <f t="shared" si="28"/>
        <v>9791.6624000000011</v>
      </c>
      <c r="F477" s="41">
        <f t="shared" si="29"/>
        <v>3.3335618788181821E-4</v>
      </c>
      <c r="G477" s="42">
        <v>5.519144532597448E-3</v>
      </c>
      <c r="H477" s="42">
        <f t="shared" si="30"/>
        <v>1.8398409817554647E-6</v>
      </c>
      <c r="I477" s="42">
        <v>0.11</v>
      </c>
      <c r="J477" s="43">
        <f t="shared" si="31"/>
        <v>3.6669180667000001E-5</v>
      </c>
    </row>
    <row r="478" spans="1:10" ht="15" customHeight="1" x14ac:dyDescent="0.25">
      <c r="A478" s="38" t="s">
        <v>1049</v>
      </c>
      <c r="B478" s="26" t="s">
        <v>1050</v>
      </c>
      <c r="C478" s="39">
        <v>52.326999999999998</v>
      </c>
      <c r="D478" s="39">
        <v>398.22</v>
      </c>
      <c r="E478" s="40">
        <f t="shared" si="28"/>
        <v>20837.657940000001</v>
      </c>
      <c r="F478" s="41">
        <f t="shared" si="29"/>
        <v>7.0941602472565852E-4</v>
      </c>
      <c r="G478" s="42" t="s">
        <v>135</v>
      </c>
      <c r="H478" s="42" t="str">
        <f t="shared" si="30"/>
        <v/>
      </c>
      <c r="I478" s="42">
        <v>0.155</v>
      </c>
      <c r="J478" s="43">
        <f t="shared" si="31"/>
        <v>1.0995948383247708E-4</v>
      </c>
    </row>
    <row r="479" spans="1:10" ht="15" customHeight="1" x14ac:dyDescent="0.25">
      <c r="A479" s="38" t="s">
        <v>1051</v>
      </c>
      <c r="B479" s="26" t="s">
        <v>1052</v>
      </c>
      <c r="C479" s="39">
        <v>940.899</v>
      </c>
      <c r="D479" s="39">
        <v>509.97</v>
      </c>
      <c r="E479" s="40">
        <f t="shared" si="28"/>
        <v>479830.26303000003</v>
      </c>
      <c r="F479" s="41">
        <f t="shared" si="29"/>
        <v>1.6335774333274697E-2</v>
      </c>
      <c r="G479" s="42">
        <v>1.1373218032433279E-2</v>
      </c>
      <c r="H479" s="42">
        <f t="shared" si="30"/>
        <v>1.8579032322096052E-4</v>
      </c>
      <c r="I479" s="42">
        <v>0.12</v>
      </c>
      <c r="J479" s="43">
        <f t="shared" si="31"/>
        <v>1.9602929199929635E-3</v>
      </c>
    </row>
    <row r="480" spans="1:10" ht="15" customHeight="1" x14ac:dyDescent="0.25">
      <c r="A480" s="38" t="s">
        <v>1053</v>
      </c>
      <c r="B480" s="26" t="s">
        <v>1054</v>
      </c>
      <c r="C480" s="39">
        <v>628.38699999999994</v>
      </c>
      <c r="D480" s="39">
        <v>273.20999999999998</v>
      </c>
      <c r="E480" s="40">
        <f t="shared" si="28"/>
        <v>171681.61226999998</v>
      </c>
      <c r="F480" s="41">
        <f t="shared" si="29"/>
        <v>5.8448836834623279E-3</v>
      </c>
      <c r="G480" s="42">
        <v>1.7276087990922735E-2</v>
      </c>
      <c r="H480" s="42">
        <f t="shared" si="30"/>
        <v>1.0097672481220376E-4</v>
      </c>
      <c r="I480" s="42">
        <v>0.09</v>
      </c>
      <c r="J480" s="43">
        <f t="shared" si="31"/>
        <v>5.2603953151160953E-4</v>
      </c>
    </row>
    <row r="481" spans="1:10" ht="15" customHeight="1" x14ac:dyDescent="0.25">
      <c r="A481" s="38" t="s">
        <v>1055</v>
      </c>
      <c r="B481" s="26" t="s">
        <v>1056</v>
      </c>
      <c r="C481" s="39">
        <v>733.43899999999996</v>
      </c>
      <c r="D481" s="39">
        <v>214.46</v>
      </c>
      <c r="E481" s="40">
        <f t="shared" si="28"/>
        <v>157293.32793999999</v>
      </c>
      <c r="F481" s="41">
        <f t="shared" si="29"/>
        <v>5.3550359519465331E-3</v>
      </c>
      <c r="G481" s="42">
        <v>2.8350275109577543E-2</v>
      </c>
      <c r="H481" s="42">
        <f t="shared" si="30"/>
        <v>1.5181674245936267E-4</v>
      </c>
      <c r="I481" s="42">
        <v>0.115</v>
      </c>
      <c r="J481" s="43">
        <f t="shared" si="31"/>
        <v>6.1582913447385135E-4</v>
      </c>
    </row>
    <row r="482" spans="1:10" ht="15" customHeight="1" x14ac:dyDescent="0.25">
      <c r="A482" s="38" t="s">
        <v>1057</v>
      </c>
      <c r="B482" s="26" t="s">
        <v>1058</v>
      </c>
      <c r="C482" s="39">
        <v>72.191999999999993</v>
      </c>
      <c r="D482" s="39">
        <v>355.21</v>
      </c>
      <c r="E482" s="40">
        <f t="shared" si="28"/>
        <v>25643.320319999995</v>
      </c>
      <c r="F482" s="41">
        <f t="shared" si="29"/>
        <v>8.7302433001648053E-4</v>
      </c>
      <c r="G482" s="42" t="s">
        <v>135</v>
      </c>
      <c r="H482" s="42" t="str">
        <f t="shared" si="30"/>
        <v/>
      </c>
      <c r="I482" s="42">
        <v>0.125</v>
      </c>
      <c r="J482" s="43">
        <f t="shared" si="31"/>
        <v>1.0912804125206007E-4</v>
      </c>
    </row>
    <row r="483" spans="1:10" ht="15" customHeight="1" x14ac:dyDescent="0.25">
      <c r="A483" s="38" t="s">
        <v>1059</v>
      </c>
      <c r="B483" s="26" t="s">
        <v>1060</v>
      </c>
      <c r="C483" s="39">
        <v>1485.039</v>
      </c>
      <c r="D483" s="39">
        <v>53.15</v>
      </c>
      <c r="E483" s="40">
        <f t="shared" si="28"/>
        <v>78929.822849999997</v>
      </c>
      <c r="F483" s="41">
        <f t="shared" si="29"/>
        <v>2.6871580923238554E-3</v>
      </c>
      <c r="G483" s="42">
        <v>3.4619002822201317E-2</v>
      </c>
      <c r="H483" s="42">
        <f t="shared" si="30"/>
        <v>9.3026733581860662E-5</v>
      </c>
      <c r="I483" s="42">
        <v>6.5000000000000002E-2</v>
      </c>
      <c r="J483" s="43">
        <f t="shared" si="31"/>
        <v>1.7466527600105061E-4</v>
      </c>
    </row>
    <row r="484" spans="1:10" ht="15" customHeight="1" x14ac:dyDescent="0.25">
      <c r="A484" s="38" t="s">
        <v>1061</v>
      </c>
      <c r="B484" s="26" t="s">
        <v>1062</v>
      </c>
      <c r="C484" s="39">
        <v>1658.424</v>
      </c>
      <c r="D484" s="39">
        <v>221.77</v>
      </c>
      <c r="E484" s="40">
        <f t="shared" si="28"/>
        <v>367788.69047999999</v>
      </c>
      <c r="F484" s="41">
        <f t="shared" si="29"/>
        <v>1.2521329963792334E-2</v>
      </c>
      <c r="G484" s="42">
        <v>6.7637642602696481E-3</v>
      </c>
      <c r="H484" s="42">
        <f t="shared" si="30"/>
        <v>8.4691324100142035E-5</v>
      </c>
      <c r="I484" s="42">
        <v>0.12</v>
      </c>
      <c r="J484" s="43">
        <f t="shared" si="31"/>
        <v>1.50255959565508E-3</v>
      </c>
    </row>
    <row r="485" spans="1:10" ht="15" customHeight="1" x14ac:dyDescent="0.25">
      <c r="A485" s="38" t="s">
        <v>1063</v>
      </c>
      <c r="B485" s="26" t="s">
        <v>1064</v>
      </c>
      <c r="C485" s="39">
        <v>388.90199999999999</v>
      </c>
      <c r="D485" s="39">
        <v>56.86</v>
      </c>
      <c r="E485" s="40">
        <f t="shared" si="28"/>
        <v>22112.967720000001</v>
      </c>
      <c r="F485" s="41">
        <f t="shared" si="29"/>
        <v>7.5283382134303369E-4</v>
      </c>
      <c r="G485" s="42">
        <v>3.5174111853675694E-2</v>
      </c>
      <c r="H485" s="42">
        <f t="shared" si="30"/>
        <v>2.6480261039149969E-5</v>
      </c>
      <c r="I485" s="42">
        <v>9.5000000000000001E-2</v>
      </c>
      <c r="J485" s="43">
        <f t="shared" si="31"/>
        <v>7.1519213027588195E-5</v>
      </c>
    </row>
    <row r="486" spans="1:10" ht="15" customHeight="1" x14ac:dyDescent="0.25">
      <c r="A486" s="38" t="s">
        <v>1065</v>
      </c>
      <c r="B486" s="26" t="s">
        <v>1066</v>
      </c>
      <c r="C486" s="39">
        <v>409.41699999999997</v>
      </c>
      <c r="D486" s="39">
        <v>101.54</v>
      </c>
      <c r="E486" s="40">
        <f t="shared" si="28"/>
        <v>41572.20218</v>
      </c>
      <c r="F486" s="41">
        <f t="shared" si="29"/>
        <v>1.4153215536288313E-3</v>
      </c>
      <c r="G486" s="42">
        <v>3.8605475674610985E-2</v>
      </c>
      <c r="H486" s="42">
        <f t="shared" si="30"/>
        <v>5.4639161810370478E-5</v>
      </c>
      <c r="I486" s="42">
        <v>0.11</v>
      </c>
      <c r="J486" s="43">
        <f t="shared" si="31"/>
        <v>1.5568537089917145E-4</v>
      </c>
    </row>
    <row r="487" spans="1:10" ht="15" customHeight="1" x14ac:dyDescent="0.25">
      <c r="A487" s="38" t="s">
        <v>1067</v>
      </c>
      <c r="B487" s="26" t="s">
        <v>1068</v>
      </c>
      <c r="C487" s="39">
        <v>132.89400000000001</v>
      </c>
      <c r="D487" s="39">
        <v>183.7</v>
      </c>
      <c r="E487" s="40">
        <f t="shared" si="28"/>
        <v>24412.627799999998</v>
      </c>
      <c r="F487" s="41">
        <f t="shared" si="29"/>
        <v>8.3112552364812914E-4</v>
      </c>
      <c r="G487" s="42">
        <v>8.7098530212302676E-3</v>
      </c>
      <c r="H487" s="42">
        <f t="shared" si="30"/>
        <v>7.2389811531682455E-6</v>
      </c>
      <c r="I487" s="42">
        <v>8.5000000000000006E-2</v>
      </c>
      <c r="J487" s="43">
        <f t="shared" si="31"/>
        <v>7.0645669510090988E-5</v>
      </c>
    </row>
    <row r="488" spans="1:10" ht="15" customHeight="1" x14ac:dyDescent="0.25">
      <c r="A488" s="38" t="s">
        <v>1069</v>
      </c>
      <c r="B488" s="26" t="s">
        <v>1070</v>
      </c>
      <c r="C488" s="39">
        <v>191.72399999999999</v>
      </c>
      <c r="D488" s="39">
        <v>45.32</v>
      </c>
      <c r="E488" s="40">
        <f t="shared" si="28"/>
        <v>8688.9316799999997</v>
      </c>
      <c r="F488" s="41" t="str">
        <f t="shared" si="29"/>
        <v/>
      </c>
      <c r="G488" s="42">
        <v>4.6778464254192409E-2</v>
      </c>
      <c r="H488" s="42" t="str">
        <f t="shared" si="30"/>
        <v/>
      </c>
      <c r="I488" s="42">
        <v>-0.19</v>
      </c>
      <c r="J488" s="43" t="str">
        <f t="shared" si="31"/>
        <v/>
      </c>
    </row>
    <row r="489" spans="1:10" ht="15" customHeight="1" x14ac:dyDescent="0.25">
      <c r="A489" s="38" t="s">
        <v>1071</v>
      </c>
      <c r="B489" s="26" t="s">
        <v>1072</v>
      </c>
      <c r="C489" s="39">
        <v>161.28299999999999</v>
      </c>
      <c r="D489" s="39">
        <v>214.63</v>
      </c>
      <c r="E489" s="40">
        <f t="shared" si="28"/>
        <v>34616.170289999995</v>
      </c>
      <c r="F489" s="41">
        <f t="shared" si="29"/>
        <v>1.1785041288741992E-3</v>
      </c>
      <c r="G489" s="42">
        <v>5.7773843358337601E-3</v>
      </c>
      <c r="H489" s="42">
        <f t="shared" si="30"/>
        <v>6.8086712938732093E-6</v>
      </c>
      <c r="I489" s="42">
        <v>0.105</v>
      </c>
      <c r="J489" s="43">
        <f t="shared" si="31"/>
        <v>1.2374293353179091E-4</v>
      </c>
    </row>
    <row r="490" spans="1:10" ht="15" customHeight="1" x14ac:dyDescent="0.25">
      <c r="A490" s="38" t="s">
        <v>1073</v>
      </c>
      <c r="B490" s="26" t="s">
        <v>1074</v>
      </c>
      <c r="C490" s="39">
        <v>110.167</v>
      </c>
      <c r="D490" s="39">
        <v>222.46</v>
      </c>
      <c r="E490" s="40">
        <f t="shared" si="28"/>
        <v>24507.750820000001</v>
      </c>
      <c r="F490" s="41">
        <f t="shared" si="29"/>
        <v>8.343639775522391E-4</v>
      </c>
      <c r="G490" s="42" t="s">
        <v>135</v>
      </c>
      <c r="H490" s="42" t="str">
        <f t="shared" si="30"/>
        <v/>
      </c>
      <c r="I490" s="42">
        <v>8.5000000000000006E-2</v>
      </c>
      <c r="J490" s="43">
        <f t="shared" si="31"/>
        <v>7.0920938091940328E-5</v>
      </c>
    </row>
    <row r="491" spans="1:10" ht="15" customHeight="1" x14ac:dyDescent="0.25">
      <c r="A491" s="38" t="s">
        <v>1075</v>
      </c>
      <c r="B491" s="26" t="s">
        <v>1076</v>
      </c>
      <c r="C491" s="39">
        <v>254.577</v>
      </c>
      <c r="D491" s="39">
        <v>260.97000000000003</v>
      </c>
      <c r="E491" s="40">
        <f t="shared" si="28"/>
        <v>66436.959690000003</v>
      </c>
      <c r="F491" s="41">
        <f t="shared" si="29"/>
        <v>2.2618397889939937E-3</v>
      </c>
      <c r="G491" s="42" t="s">
        <v>135</v>
      </c>
      <c r="H491" s="42" t="str">
        <f t="shared" si="30"/>
        <v/>
      </c>
      <c r="I491" s="42">
        <v>0.185</v>
      </c>
      <c r="J491" s="43">
        <f t="shared" si="31"/>
        <v>4.1844036096388884E-4</v>
      </c>
    </row>
    <row r="492" spans="1:10" ht="15" customHeight="1" x14ac:dyDescent="0.25">
      <c r="A492" s="38" t="s">
        <v>1077</v>
      </c>
      <c r="B492" s="26" t="s">
        <v>1078</v>
      </c>
      <c r="C492" s="39">
        <v>399.54899999999998</v>
      </c>
      <c r="D492" s="39">
        <v>61.76</v>
      </c>
      <c r="E492" s="40">
        <f t="shared" si="28"/>
        <v>24676.146239999998</v>
      </c>
      <c r="F492" s="41">
        <f t="shared" si="29"/>
        <v>8.4009698314156135E-4</v>
      </c>
      <c r="G492" s="42">
        <v>2.9145077720207257E-2</v>
      </c>
      <c r="H492" s="42">
        <f t="shared" si="30"/>
        <v>2.4484691866172451E-5</v>
      </c>
      <c r="I492" s="42">
        <v>0.105</v>
      </c>
      <c r="J492" s="43">
        <f t="shared" si="31"/>
        <v>8.8210183229863937E-5</v>
      </c>
    </row>
    <row r="493" spans="1:10" ht="15" customHeight="1" x14ac:dyDescent="0.25">
      <c r="A493" s="38" t="s">
        <v>1079</v>
      </c>
      <c r="B493" s="26" t="s">
        <v>1080</v>
      </c>
      <c r="C493" s="39">
        <v>1209.576</v>
      </c>
      <c r="D493" s="39">
        <v>10.88</v>
      </c>
      <c r="E493" s="40">
        <f t="shared" si="28"/>
        <v>13160.186880000001</v>
      </c>
      <c r="F493" s="41" t="str">
        <f t="shared" si="29"/>
        <v/>
      </c>
      <c r="G493" s="42">
        <v>4.4117647058823525E-2</v>
      </c>
      <c r="H493" s="42" t="str">
        <f t="shared" si="30"/>
        <v/>
      </c>
      <c r="I493" s="42" t="s">
        <v>135</v>
      </c>
      <c r="J493" s="43" t="str">
        <f t="shared" si="31"/>
        <v/>
      </c>
    </row>
    <row r="494" spans="1:10" ht="15" customHeight="1" x14ac:dyDescent="0.25">
      <c r="A494" s="38" t="s">
        <v>1081</v>
      </c>
      <c r="B494" s="26" t="s">
        <v>1082</v>
      </c>
      <c r="C494" s="39">
        <v>4197.8239999999996</v>
      </c>
      <c r="D494" s="39">
        <v>50.94</v>
      </c>
      <c r="E494" s="40">
        <f t="shared" si="28"/>
        <v>213837.15455999997</v>
      </c>
      <c r="F494" s="41">
        <f t="shared" si="29"/>
        <v>7.2800649940317329E-3</v>
      </c>
      <c r="G494" s="42">
        <v>5.0255202198665097E-2</v>
      </c>
      <c r="H494" s="42">
        <f t="shared" si="30"/>
        <v>3.6586113829448837E-4</v>
      </c>
      <c r="I494" s="42">
        <v>2.5000000000000001E-2</v>
      </c>
      <c r="J494" s="43">
        <f t="shared" si="31"/>
        <v>1.8200162485079333E-4</v>
      </c>
    </row>
    <row r="495" spans="1:10" ht="15" customHeight="1" x14ac:dyDescent="0.25">
      <c r="A495" s="38" t="s">
        <v>1083</v>
      </c>
      <c r="B495" s="26" t="s">
        <v>1084</v>
      </c>
      <c r="C495" s="39">
        <v>185.29</v>
      </c>
      <c r="D495" s="39">
        <v>96.17</v>
      </c>
      <c r="E495" s="40">
        <f t="shared" si="28"/>
        <v>17819.3393</v>
      </c>
      <c r="F495" s="41">
        <f t="shared" si="29"/>
        <v>6.0665766209634295E-4</v>
      </c>
      <c r="G495" s="42">
        <v>6.2389518560881764E-3</v>
      </c>
      <c r="H495" s="42">
        <f t="shared" si="30"/>
        <v>3.7849079469460928E-6</v>
      </c>
      <c r="I495" s="42">
        <v>0.09</v>
      </c>
      <c r="J495" s="43">
        <f t="shared" si="31"/>
        <v>5.4599189588670863E-5</v>
      </c>
    </row>
    <row r="496" spans="1:10" ht="15" customHeight="1" x14ac:dyDescent="0.25">
      <c r="A496" s="38" t="s">
        <v>1085</v>
      </c>
      <c r="B496" s="26" t="s">
        <v>1086</v>
      </c>
      <c r="C496" s="39">
        <v>60.515999999999998</v>
      </c>
      <c r="D496" s="39">
        <v>310.39</v>
      </c>
      <c r="E496" s="40">
        <f t="shared" si="28"/>
        <v>18783.561239999999</v>
      </c>
      <c r="F496" s="41">
        <f t="shared" si="29"/>
        <v>6.3948450365395335E-4</v>
      </c>
      <c r="G496" s="42" t="s">
        <v>135</v>
      </c>
      <c r="H496" s="42" t="str">
        <f t="shared" si="30"/>
        <v/>
      </c>
      <c r="I496" s="42">
        <v>0.06</v>
      </c>
      <c r="J496" s="43">
        <f t="shared" si="31"/>
        <v>3.8369070219237202E-5</v>
      </c>
    </row>
    <row r="497" spans="1:10" ht="15" customHeight="1" x14ac:dyDescent="0.25">
      <c r="A497" s="38" t="s">
        <v>1087</v>
      </c>
      <c r="B497" s="26" t="s">
        <v>1088</v>
      </c>
      <c r="C497" s="39">
        <v>863.77300000000002</v>
      </c>
      <c r="D497" s="39">
        <v>44.77</v>
      </c>
      <c r="E497" s="40">
        <f t="shared" si="28"/>
        <v>38671.117210000004</v>
      </c>
      <c r="F497" s="41">
        <f t="shared" si="29"/>
        <v>1.3165543998184183E-3</v>
      </c>
      <c r="G497" s="42">
        <v>4.2662497207951754E-2</v>
      </c>
      <c r="H497" s="42">
        <f t="shared" si="30"/>
        <v>5.6167498406369872E-5</v>
      </c>
      <c r="I497" s="42">
        <v>7.4999999999999997E-2</v>
      </c>
      <c r="J497" s="43">
        <f t="shared" si="31"/>
        <v>9.8741579986381372E-5</v>
      </c>
    </row>
    <row r="498" spans="1:10" ht="15" customHeight="1" x14ac:dyDescent="0.25">
      <c r="A498" s="38" t="s">
        <v>1089</v>
      </c>
      <c r="B498" s="26" t="s">
        <v>1090</v>
      </c>
      <c r="C498" s="39">
        <v>312.91800000000001</v>
      </c>
      <c r="D498" s="39">
        <v>49.65</v>
      </c>
      <c r="E498" s="40">
        <f t="shared" si="28"/>
        <v>15536.378699999999</v>
      </c>
      <c r="F498" s="41" t="str">
        <f t="shared" si="29"/>
        <v/>
      </c>
      <c r="G498" s="42" t="s">
        <v>135</v>
      </c>
      <c r="H498" s="42" t="str">
        <f t="shared" si="30"/>
        <v/>
      </c>
      <c r="I498" s="42">
        <v>0.20499999999999999</v>
      </c>
      <c r="J498" s="43" t="str">
        <f t="shared" si="31"/>
        <v/>
      </c>
    </row>
    <row r="499" spans="1:10" ht="15" customHeight="1" x14ac:dyDescent="0.25">
      <c r="A499" s="38" t="s">
        <v>1091</v>
      </c>
      <c r="B499" s="26" t="s">
        <v>1092</v>
      </c>
      <c r="C499" s="39">
        <v>315.435</v>
      </c>
      <c r="D499" s="39">
        <v>99.81</v>
      </c>
      <c r="E499" s="40">
        <f t="shared" si="28"/>
        <v>31483.567350000001</v>
      </c>
      <c r="F499" s="41">
        <f t="shared" si="29"/>
        <v>1.0718549684389114E-3</v>
      </c>
      <c r="G499" s="42">
        <v>2.9155395250976858E-2</v>
      </c>
      <c r="H499" s="42">
        <f t="shared" si="30"/>
        <v>3.1250355256559786E-5</v>
      </c>
      <c r="I499" s="42">
        <v>0.06</v>
      </c>
      <c r="J499" s="43">
        <f t="shared" si="31"/>
        <v>6.431129810633469E-5</v>
      </c>
    </row>
    <row r="500" spans="1:10" ht="15" customHeight="1" x14ac:dyDescent="0.25">
      <c r="A500" s="38" t="s">
        <v>1093</v>
      </c>
      <c r="B500" s="26" t="s">
        <v>1094</v>
      </c>
      <c r="C500" s="39">
        <v>447.28</v>
      </c>
      <c r="D500" s="39">
        <v>96.14</v>
      </c>
      <c r="E500" s="40">
        <f t="shared" si="28"/>
        <v>43001.499199999998</v>
      </c>
      <c r="F500" s="41">
        <f t="shared" si="29"/>
        <v>1.4639818307578755E-3</v>
      </c>
      <c r="G500" s="42">
        <v>2.537965467027252E-2</v>
      </c>
      <c r="H500" s="42">
        <f t="shared" si="30"/>
        <v>3.7155353308188226E-5</v>
      </c>
      <c r="I500" s="42">
        <v>3.5000000000000003E-2</v>
      </c>
      <c r="J500" s="43">
        <f t="shared" si="31"/>
        <v>5.123936407652565E-5</v>
      </c>
    </row>
    <row r="501" spans="1:10" ht="15" customHeight="1" x14ac:dyDescent="0.25">
      <c r="A501" s="38" t="s">
        <v>1095</v>
      </c>
      <c r="B501" s="26" t="s">
        <v>1096</v>
      </c>
      <c r="C501" s="39">
        <v>3801.5889999999999</v>
      </c>
      <c r="D501" s="39">
        <v>48.46</v>
      </c>
      <c r="E501" s="40">
        <f t="shared" si="28"/>
        <v>184225.00294000001</v>
      </c>
      <c r="F501" s="41">
        <f t="shared" si="29"/>
        <v>6.2719221909238974E-3</v>
      </c>
      <c r="G501" s="42">
        <v>2.0635575732562937E-2</v>
      </c>
      <c r="H501" s="42">
        <f t="shared" si="30"/>
        <v>1.2942472535955215E-4</v>
      </c>
      <c r="I501" s="42">
        <v>5.5E-2</v>
      </c>
      <c r="J501" s="43">
        <f t="shared" si="31"/>
        <v>3.4495572050081437E-4</v>
      </c>
    </row>
    <row r="502" spans="1:10" ht="15" customHeight="1" x14ac:dyDescent="0.25">
      <c r="A502" s="44" t="s">
        <v>1097</v>
      </c>
      <c r="B502" s="26" t="s">
        <v>1098</v>
      </c>
      <c r="C502" s="39">
        <v>58.462000000000003</v>
      </c>
      <c r="D502" s="39">
        <v>172.78</v>
      </c>
      <c r="E502" s="40">
        <f t="shared" si="28"/>
        <v>10101.06436</v>
      </c>
      <c r="F502" s="41">
        <f t="shared" si="29"/>
        <v>3.4388974732201731E-4</v>
      </c>
      <c r="G502" s="42">
        <v>4.0513948373654358E-2</v>
      </c>
      <c r="H502" s="42">
        <f t="shared" si="30"/>
        <v>1.3932331469233251E-5</v>
      </c>
      <c r="I502" s="42">
        <v>9.5000000000000001E-2</v>
      </c>
      <c r="J502" s="43">
        <f t="shared" si="31"/>
        <v>3.2669525995591648E-5</v>
      </c>
    </row>
    <row r="503" spans="1:10" ht="15" customHeight="1" x14ac:dyDescent="0.25">
      <c r="A503" s="38" t="s">
        <v>1099</v>
      </c>
      <c r="B503" s="26" t="s">
        <v>1100</v>
      </c>
      <c r="C503" s="39">
        <v>415.16</v>
      </c>
      <c r="D503" s="39">
        <v>158.5</v>
      </c>
      <c r="E503" s="40">
        <f t="shared" si="28"/>
        <v>65802.86</v>
      </c>
      <c r="F503" s="41">
        <f t="shared" si="29"/>
        <v>2.2402519271212799E-3</v>
      </c>
      <c r="G503" s="42">
        <v>1.6403785488958992E-2</v>
      </c>
      <c r="H503" s="42">
        <f t="shared" si="30"/>
        <v>3.6748612053724469E-5</v>
      </c>
      <c r="I503" s="42">
        <v>7.4999999999999997E-2</v>
      </c>
      <c r="J503" s="43">
        <f t="shared" si="31"/>
        <v>1.68018894534096E-4</v>
      </c>
    </row>
    <row r="504" spans="1:10" ht="15" customHeight="1" x14ac:dyDescent="0.25">
      <c r="A504" s="38" t="s">
        <v>1101</v>
      </c>
      <c r="B504" s="26" t="s">
        <v>1102</v>
      </c>
      <c r="C504" s="39">
        <v>1217.3130000000001</v>
      </c>
      <c r="D504" s="39">
        <v>33.409999999999997</v>
      </c>
      <c r="E504" s="40">
        <f t="shared" si="28"/>
        <v>40670.427329999999</v>
      </c>
      <c r="F504" s="41">
        <f t="shared" si="29"/>
        <v>1.3846207171371954E-3</v>
      </c>
      <c r="G504" s="42">
        <v>5.0882969170906921E-2</v>
      </c>
      <c r="H504" s="42">
        <f t="shared" si="30"/>
        <v>7.0453613263490945E-5</v>
      </c>
      <c r="I504" s="42">
        <v>0.1</v>
      </c>
      <c r="J504" s="43">
        <f t="shared" si="31"/>
        <v>1.3846207171371955E-4</v>
      </c>
    </row>
    <row r="505" spans="1:10" ht="15" customHeight="1" x14ac:dyDescent="0.25">
      <c r="A505" s="38" t="s">
        <v>1103</v>
      </c>
      <c r="B505" s="26" t="s">
        <v>1104</v>
      </c>
      <c r="C505" s="39">
        <v>2751.78</v>
      </c>
      <c r="D505" s="39">
        <v>148.91999999999999</v>
      </c>
      <c r="E505" s="40">
        <f t="shared" si="28"/>
        <v>409795.07760000002</v>
      </c>
      <c r="F505" s="41">
        <f t="shared" si="29"/>
        <v>1.3951433301200199E-2</v>
      </c>
      <c r="G505" s="42">
        <v>1.5041633091592805E-2</v>
      </c>
      <c r="H505" s="42">
        <f t="shared" si="30"/>
        <v>2.0985234081848277E-4</v>
      </c>
      <c r="I505" s="42">
        <v>7.4999999999999997E-2</v>
      </c>
      <c r="J505" s="43">
        <f t="shared" si="31"/>
        <v>1.0463574975900149E-3</v>
      </c>
    </row>
    <row r="506" spans="1:10" ht="15" customHeight="1" x14ac:dyDescent="0.25">
      <c r="A506" s="38" t="s">
        <v>1105</v>
      </c>
      <c r="B506" s="26" t="s">
        <v>1106</v>
      </c>
      <c r="C506" s="39">
        <v>265.18599999999998</v>
      </c>
      <c r="D506" s="39">
        <v>66.59</v>
      </c>
      <c r="E506" s="40">
        <f t="shared" si="28"/>
        <v>17658.73574</v>
      </c>
      <c r="F506" s="41">
        <f t="shared" si="29"/>
        <v>6.0118992961795924E-4</v>
      </c>
      <c r="G506" s="42">
        <v>5.2064874605796665E-3</v>
      </c>
      <c r="H506" s="42">
        <f t="shared" si="30"/>
        <v>3.1300878299826769E-6</v>
      </c>
      <c r="I506" s="42">
        <v>0.17499999999999999</v>
      </c>
      <c r="J506" s="43">
        <f t="shared" si="31"/>
        <v>1.0520823768314286E-4</v>
      </c>
    </row>
    <row r="507" spans="1:10" ht="15" customHeight="1" x14ac:dyDescent="0.25">
      <c r="A507" s="38" t="s">
        <v>1107</v>
      </c>
      <c r="B507" s="26" t="s">
        <v>1108</v>
      </c>
      <c r="C507" s="39">
        <v>263.214</v>
      </c>
      <c r="D507" s="39">
        <v>47.03</v>
      </c>
      <c r="E507" s="40">
        <f t="shared" si="28"/>
        <v>12378.95442</v>
      </c>
      <c r="F507" s="41">
        <f t="shared" si="29"/>
        <v>4.2144029142732528E-4</v>
      </c>
      <c r="G507" s="42">
        <v>2.1263023601956199E-2</v>
      </c>
      <c r="H507" s="42">
        <f t="shared" si="30"/>
        <v>8.9610948634345171E-6</v>
      </c>
      <c r="I507" s="42">
        <v>0.17</v>
      </c>
      <c r="J507" s="43">
        <f t="shared" si="31"/>
        <v>7.1644849542645304E-5</v>
      </c>
    </row>
    <row r="508" spans="1:10" ht="15" customHeight="1" x14ac:dyDescent="0.25">
      <c r="A508" s="38" t="s">
        <v>1109</v>
      </c>
      <c r="B508" s="26" t="s">
        <v>1110</v>
      </c>
      <c r="C508" s="39">
        <v>74.281999999999996</v>
      </c>
      <c r="D508" s="39">
        <v>410.71</v>
      </c>
      <c r="E508" s="40">
        <f t="shared" si="28"/>
        <v>30508.360219999999</v>
      </c>
      <c r="F508" s="41">
        <f t="shared" si="29"/>
        <v>1.0386541371631142E-3</v>
      </c>
      <c r="G508" s="42">
        <v>1.7530617710793503E-3</v>
      </c>
      <c r="H508" s="42">
        <f t="shared" si="30"/>
        <v>1.8208248612340634E-6</v>
      </c>
      <c r="I508" s="42">
        <v>0.17</v>
      </c>
      <c r="J508" s="43">
        <f t="shared" si="31"/>
        <v>1.7657120331772942E-4</v>
      </c>
    </row>
    <row r="509" spans="1:10" ht="15" customHeight="1" x14ac:dyDescent="0.25">
      <c r="A509" s="38" t="s">
        <v>1111</v>
      </c>
      <c r="B509" s="26" t="s">
        <v>1112</v>
      </c>
      <c r="C509" s="39">
        <v>117.746</v>
      </c>
      <c r="D509" s="39">
        <v>236.22</v>
      </c>
      <c r="E509" s="40">
        <f t="shared" si="28"/>
        <v>27813.96012</v>
      </c>
      <c r="F509" s="41">
        <f t="shared" si="29"/>
        <v>9.4692354951903955E-4</v>
      </c>
      <c r="G509" s="42">
        <v>1.3885361104055543E-2</v>
      </c>
      <c r="H509" s="42">
        <f t="shared" si="30"/>
        <v>1.3148375423005885E-5</v>
      </c>
      <c r="I509" s="42">
        <v>0.11</v>
      </c>
      <c r="J509" s="43">
        <f t="shared" si="31"/>
        <v>1.0416159044709436E-4</v>
      </c>
    </row>
    <row r="510" spans="1:10" ht="15" customHeight="1" x14ac:dyDescent="0.25">
      <c r="A510" s="38" t="s">
        <v>1113</v>
      </c>
      <c r="B510" s="26" t="s">
        <v>1114</v>
      </c>
      <c r="C510" s="39">
        <v>747.07500000000005</v>
      </c>
      <c r="D510" s="39">
        <v>37.9</v>
      </c>
      <c r="E510" s="40">
        <f t="shared" si="28"/>
        <v>28314.142500000002</v>
      </c>
      <c r="F510" s="41" t="str">
        <f t="shared" si="29"/>
        <v/>
      </c>
      <c r="G510" s="42">
        <v>1.8997361477572559E-2</v>
      </c>
      <c r="H510" s="42" t="str">
        <f t="shared" si="30"/>
        <v/>
      </c>
      <c r="I510" s="42">
        <v>0.22</v>
      </c>
      <c r="J510" s="43" t="str">
        <f t="shared" si="31"/>
        <v/>
      </c>
    </row>
    <row r="511" spans="1:10" ht="15" customHeight="1" x14ac:dyDescent="0.25">
      <c r="A511" s="38" t="s">
        <v>1115</v>
      </c>
      <c r="B511" s="26" t="s">
        <v>1116</v>
      </c>
      <c r="C511" s="39">
        <v>115.91800000000001</v>
      </c>
      <c r="D511" s="39">
        <v>79.739999999999995</v>
      </c>
      <c r="E511" s="40">
        <f t="shared" si="28"/>
        <v>9243.3013200000005</v>
      </c>
      <c r="F511" s="41" t="str">
        <f t="shared" si="29"/>
        <v/>
      </c>
      <c r="G511" s="42" t="s">
        <v>135</v>
      </c>
      <c r="H511" s="42" t="str">
        <f t="shared" si="30"/>
        <v/>
      </c>
      <c r="I511" s="42">
        <v>0.27</v>
      </c>
      <c r="J511" s="43" t="str">
        <f t="shared" si="31"/>
        <v/>
      </c>
    </row>
    <row r="512" spans="1:10" ht="15" customHeight="1" x14ac:dyDescent="0.25">
      <c r="A512" s="38" t="s">
        <v>1117</v>
      </c>
      <c r="B512" s="26" t="s">
        <v>1118</v>
      </c>
      <c r="C512" s="39">
        <v>544.21400000000006</v>
      </c>
      <c r="D512" s="39">
        <v>72.17</v>
      </c>
      <c r="E512" s="40">
        <f t="shared" si="28"/>
        <v>39275.924380000004</v>
      </c>
      <c r="F512" s="41">
        <f t="shared" si="29"/>
        <v>1.3371450007152374E-3</v>
      </c>
      <c r="G512" s="42">
        <v>2.7019537203824301E-2</v>
      </c>
      <c r="H512" s="42">
        <f t="shared" si="30"/>
        <v>3.6129039093733031E-5</v>
      </c>
      <c r="I512" s="42">
        <v>0.06</v>
      </c>
      <c r="J512" s="43">
        <f t="shared" si="31"/>
        <v>8.022870004291424E-5</v>
      </c>
    </row>
    <row r="513" spans="1:10" ht="15" customHeight="1" x14ac:dyDescent="0.25">
      <c r="A513" s="38" t="s">
        <v>1119</v>
      </c>
      <c r="B513" s="26" t="s">
        <v>1120</v>
      </c>
      <c r="C513" s="39">
        <v>4233.5919999999996</v>
      </c>
      <c r="D513" s="39">
        <v>82.59</v>
      </c>
      <c r="E513" s="40">
        <f t="shared" si="28"/>
        <v>349652.36327999999</v>
      </c>
      <c r="F513" s="41" t="str">
        <f t="shared" si="29"/>
        <v/>
      </c>
      <c r="G513" s="42">
        <v>4.2620171933648143E-2</v>
      </c>
      <c r="H513" s="42" t="str">
        <f t="shared" si="30"/>
        <v/>
      </c>
      <c r="I513" s="42" t="s">
        <v>135</v>
      </c>
      <c r="J513" s="43" t="str">
        <f t="shared" si="31"/>
        <v/>
      </c>
    </row>
    <row r="514" spans="1:10" ht="15" customHeight="1" x14ac:dyDescent="0.25">
      <c r="A514" s="38" t="s">
        <v>1121</v>
      </c>
      <c r="B514" s="26" t="s">
        <v>1122</v>
      </c>
      <c r="C514" s="39">
        <v>217.554</v>
      </c>
      <c r="D514" s="39">
        <v>49.22</v>
      </c>
      <c r="E514" s="40">
        <f t="shared" si="28"/>
        <v>10708.007879999999</v>
      </c>
      <c r="F514" s="41">
        <f t="shared" si="29"/>
        <v>3.6455308004545474E-4</v>
      </c>
      <c r="G514" s="42">
        <v>1.0158472165786267E-2</v>
      </c>
      <c r="H514" s="42">
        <f t="shared" si="30"/>
        <v>3.7033023165934047E-6</v>
      </c>
      <c r="I514" s="42">
        <v>0.12</v>
      </c>
      <c r="J514" s="43">
        <f t="shared" si="31"/>
        <v>4.374636960545457E-5</v>
      </c>
    </row>
    <row r="515" spans="1:10" ht="15" customHeight="1" x14ac:dyDescent="0.25">
      <c r="A515" s="38" t="s">
        <v>1123</v>
      </c>
      <c r="B515" s="26" t="s">
        <v>1124</v>
      </c>
      <c r="C515" s="39">
        <v>180.09299999999999</v>
      </c>
      <c r="D515" s="39">
        <v>85.26</v>
      </c>
      <c r="E515" s="40">
        <f t="shared" si="28"/>
        <v>15354.72918</v>
      </c>
      <c r="F515" s="41">
        <f t="shared" si="29"/>
        <v>5.2275025182674966E-4</v>
      </c>
      <c r="G515" s="42">
        <v>1.4074595355383532E-2</v>
      </c>
      <c r="H515" s="42">
        <f t="shared" si="30"/>
        <v>7.3574982663863424E-6</v>
      </c>
      <c r="I515" s="42">
        <v>6.5000000000000002E-2</v>
      </c>
      <c r="J515" s="43">
        <f t="shared" si="31"/>
        <v>3.3978766368738732E-5</v>
      </c>
    </row>
    <row r="516" spans="1:10" ht="15" customHeight="1" x14ac:dyDescent="0.25">
      <c r="A516" s="38" t="s">
        <v>1125</v>
      </c>
      <c r="B516" s="26" t="s">
        <v>1126</v>
      </c>
      <c r="C516" s="39">
        <v>288.98099999999999</v>
      </c>
      <c r="D516" s="39">
        <v>118.53</v>
      </c>
      <c r="E516" s="40">
        <f t="shared" si="28"/>
        <v>34252.917930000003</v>
      </c>
      <c r="F516" s="41">
        <f t="shared" si="29"/>
        <v>1.1661372378375279E-3</v>
      </c>
      <c r="G516" s="42">
        <v>1.9235636547709444E-2</v>
      </c>
      <c r="H516" s="42">
        <f t="shared" si="30"/>
        <v>2.2431392071792491E-5</v>
      </c>
      <c r="I516" s="42">
        <v>0.105</v>
      </c>
      <c r="J516" s="43">
        <f t="shared" si="31"/>
        <v>1.2244440997294042E-4</v>
      </c>
    </row>
    <row r="517" spans="1:10" ht="15" customHeight="1" x14ac:dyDescent="0.25">
      <c r="A517" s="38" t="s">
        <v>1127</v>
      </c>
      <c r="B517" s="26" t="s">
        <v>1128</v>
      </c>
      <c r="C517" s="39">
        <v>209.322</v>
      </c>
      <c r="D517" s="39">
        <v>127.9</v>
      </c>
      <c r="E517" s="40">
        <f t="shared" si="28"/>
        <v>26772.283800000001</v>
      </c>
      <c r="F517" s="41">
        <f t="shared" si="29"/>
        <v>9.1145978117649945E-4</v>
      </c>
      <c r="G517" s="42">
        <v>7.5058639562157929E-3</v>
      </c>
      <c r="H517" s="42">
        <f t="shared" si="30"/>
        <v>6.8412931190730212E-6</v>
      </c>
      <c r="I517" s="42">
        <v>7.0000000000000007E-2</v>
      </c>
      <c r="J517" s="43">
        <f t="shared" si="31"/>
        <v>6.3802184682354963E-5</v>
      </c>
    </row>
    <row r="518" spans="1:10" ht="15" customHeight="1" x14ac:dyDescent="0.25">
      <c r="A518" s="38" t="s">
        <v>1129</v>
      </c>
      <c r="B518" s="26" t="s">
        <v>1130</v>
      </c>
      <c r="C518" s="39">
        <v>53.08</v>
      </c>
      <c r="D518" s="39">
        <v>413.7</v>
      </c>
      <c r="E518" s="40">
        <f t="shared" si="28"/>
        <v>21959.196</v>
      </c>
      <c r="F518" s="41">
        <f t="shared" si="29"/>
        <v>7.4759867818866693E-4</v>
      </c>
      <c r="G518" s="42" t="s">
        <v>135</v>
      </c>
      <c r="H518" s="42" t="str">
        <f t="shared" si="30"/>
        <v/>
      </c>
      <c r="I518" s="42">
        <v>0.105</v>
      </c>
      <c r="J518" s="43">
        <f t="shared" si="31"/>
        <v>7.8497861209810026E-5</v>
      </c>
    </row>
    <row r="519" spans="1:10" ht="15" customHeight="1" x14ac:dyDescent="0.25">
      <c r="A519" s="38" t="s">
        <v>1131</v>
      </c>
      <c r="B519" s="26" t="s">
        <v>1132</v>
      </c>
      <c r="C519" s="39">
        <v>151.89500000000001</v>
      </c>
      <c r="D519" s="39">
        <v>65.56</v>
      </c>
      <c r="E519" s="40">
        <f t="shared" si="28"/>
        <v>9958.2362000000012</v>
      </c>
      <c r="F519" s="41">
        <f t="shared" si="29"/>
        <v>3.3902717659656278E-4</v>
      </c>
      <c r="G519" s="42">
        <v>2.3184868822452714E-2</v>
      </c>
      <c r="H519" s="42">
        <f t="shared" si="30"/>
        <v>7.8603006166378188E-6</v>
      </c>
      <c r="I519" s="42">
        <v>7.4999999999999997E-2</v>
      </c>
      <c r="J519" s="43">
        <f t="shared" si="31"/>
        <v>2.5427038244742208E-5</v>
      </c>
    </row>
    <row r="520" spans="1:10" ht="15" customHeight="1" thickBot="1" x14ac:dyDescent="0.3">
      <c r="A520" s="45" t="s">
        <v>1133</v>
      </c>
      <c r="B520" s="27" t="s">
        <v>1134</v>
      </c>
      <c r="C520" s="46">
        <v>471.8</v>
      </c>
      <c r="D520" s="46">
        <v>188.59</v>
      </c>
      <c r="E520" s="47">
        <f t="shared" si="28"/>
        <v>88976.762000000002</v>
      </c>
      <c r="F520" s="55">
        <f t="shared" si="29"/>
        <v>3.0292051521698523E-3</v>
      </c>
      <c r="G520" s="48">
        <v>6.8932605122222811E-3</v>
      </c>
      <c r="H520" s="48">
        <f t="shared" si="30"/>
        <v>2.0881100258872729E-5</v>
      </c>
      <c r="I520" s="48">
        <v>0.11</v>
      </c>
      <c r="J520" s="49">
        <f t="shared" si="31"/>
        <v>3.3321256673868375E-4</v>
      </c>
    </row>
    <row r="521" spans="1:10" ht="15" customHeight="1" x14ac:dyDescent="0.25">
      <c r="A521" s="29"/>
      <c r="B521" s="26"/>
      <c r="C521" s="50"/>
      <c r="D521" s="50"/>
      <c r="E521" s="50"/>
    </row>
    <row r="522" spans="1:10" ht="15" customHeight="1" x14ac:dyDescent="0.25">
      <c r="A522" s="51"/>
      <c r="B522" s="26"/>
      <c r="C522" s="50"/>
      <c r="D522" s="50"/>
      <c r="E522" s="50"/>
    </row>
    <row r="523" spans="1:10" ht="15" customHeight="1" x14ac:dyDescent="0.25">
      <c r="A523" s="29" t="s">
        <v>61</v>
      </c>
      <c r="B523" s="29"/>
      <c r="C523" s="52"/>
      <c r="D523" s="52"/>
      <c r="E523" s="52"/>
    </row>
    <row r="524" spans="1:10" ht="15" customHeight="1" x14ac:dyDescent="0.25">
      <c r="A524" s="29" t="s">
        <v>1135</v>
      </c>
      <c r="B524" s="29"/>
      <c r="C524" s="29"/>
      <c r="D524" s="29"/>
      <c r="E524" s="29"/>
    </row>
    <row r="525" spans="1:10" ht="15" customHeight="1" x14ac:dyDescent="0.25">
      <c r="A525" s="29" t="s">
        <v>1136</v>
      </c>
      <c r="B525" s="29"/>
      <c r="C525" s="29"/>
      <c r="D525" s="29"/>
      <c r="E525" s="29"/>
    </row>
    <row r="526" spans="1:10" ht="15" customHeight="1" x14ac:dyDescent="0.25">
      <c r="A526" s="33" t="s">
        <v>1137</v>
      </c>
      <c r="B526" s="29"/>
      <c r="C526" s="29"/>
      <c r="D526" s="29"/>
      <c r="E526" s="29"/>
    </row>
    <row r="527" spans="1:10" ht="15" customHeight="1" x14ac:dyDescent="0.25">
      <c r="A527" s="33" t="s">
        <v>1138</v>
      </c>
      <c r="B527" s="29"/>
      <c r="C527" s="29"/>
      <c r="D527" s="29"/>
      <c r="E527" s="29"/>
    </row>
    <row r="528" spans="1:10" ht="15" customHeight="1" x14ac:dyDescent="0.25">
      <c r="A528" s="33" t="s">
        <v>1139</v>
      </c>
      <c r="B528" s="29"/>
      <c r="C528" s="29"/>
      <c r="D528" s="29"/>
      <c r="E528" s="29"/>
    </row>
    <row r="529" spans="1:5" ht="15" customHeight="1" x14ac:dyDescent="0.25">
      <c r="A529" s="33" t="s">
        <v>1140</v>
      </c>
      <c r="B529" s="29"/>
      <c r="C529" s="29"/>
      <c r="D529" s="29"/>
      <c r="E529" s="29"/>
    </row>
    <row r="530" spans="1:5" ht="15" customHeight="1" x14ac:dyDescent="0.25">
      <c r="A530" s="29" t="s">
        <v>1141</v>
      </c>
      <c r="B530" s="29"/>
      <c r="C530" s="29"/>
      <c r="D530" s="29"/>
      <c r="E530" s="29"/>
    </row>
    <row r="531" spans="1:5" ht="15" customHeight="1" x14ac:dyDescent="0.25">
      <c r="A531" s="29" t="s">
        <v>1142</v>
      </c>
      <c r="B531" s="29"/>
      <c r="C531" s="29"/>
      <c r="D531" s="29"/>
      <c r="E531" s="29"/>
    </row>
    <row r="532" spans="1:5" ht="15" customHeight="1" x14ac:dyDescent="0.25">
      <c r="A532" s="29" t="s">
        <v>1143</v>
      </c>
      <c r="B532" s="29"/>
      <c r="C532" s="29"/>
      <c r="D532" s="29"/>
      <c r="E532" s="29"/>
    </row>
    <row r="533" spans="1:5" ht="15" customHeight="1" x14ac:dyDescent="0.25">
      <c r="A533" s="29" t="s">
        <v>1144</v>
      </c>
      <c r="B533" s="29"/>
      <c r="C533" s="29"/>
      <c r="D533" s="29"/>
      <c r="E533" s="29"/>
    </row>
    <row r="534" spans="1:5" ht="15" customHeight="1" x14ac:dyDescent="0.25">
      <c r="A534" s="29" t="s">
        <v>1145</v>
      </c>
      <c r="B534" s="29"/>
      <c r="C534" s="29"/>
      <c r="D534" s="29"/>
      <c r="E534" s="29"/>
    </row>
  </sheetData>
  <mergeCells count="4">
    <mergeCell ref="A2:B2"/>
    <mergeCell ref="A4:B4"/>
    <mergeCell ref="A6:B6"/>
    <mergeCell ref="A8:B8"/>
  </mergeCells>
  <printOptions horizontalCentered="1"/>
  <pageMargins left="0.7" right="0.7" top="0.75" bottom="0.75" header="0.3" footer="0.3"/>
  <pageSetup scale="45" orientation="portrait" useFirstPageNumber="1" horizontalDpi="1200" verticalDpi="1200" r:id="rId1"/>
  <headerFooter scaleWithDoc="0">
    <oddHeader>&amp;C&amp;8Exhibit AEB 1.1, Schedule 5
Test Year Ending December 31, 2021
Utility: MidAmerican Energy Company
Docket No. NG22-___</oddHeader>
    <oddFooter>&amp;C&amp;8Exhibit AEB 1.1, Schedule 5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2:I24"/>
  <sheetViews>
    <sheetView view="pageLayout" zoomScaleNormal="100" zoomScaleSheetLayoutView="65" workbookViewId="0"/>
  </sheetViews>
  <sheetFormatPr defaultColWidth="14.140625" defaultRowHeight="15" customHeight="1" x14ac:dyDescent="0.25"/>
  <cols>
    <col min="1" max="1" width="46" style="21" customWidth="1"/>
    <col min="2" max="16384" width="14.140625" style="21"/>
  </cols>
  <sheetData>
    <row r="2" spans="1:9" ht="15" customHeight="1" x14ac:dyDescent="0.25">
      <c r="A2" s="300" t="s">
        <v>1146</v>
      </c>
      <c r="B2" s="300"/>
      <c r="C2" s="300"/>
      <c r="D2" s="300"/>
      <c r="E2" s="300"/>
      <c r="F2" s="300"/>
      <c r="G2" s="300"/>
      <c r="H2" s="300"/>
      <c r="I2" s="300"/>
    </row>
    <row r="4" spans="1:9" ht="15" customHeight="1" thickBot="1" x14ac:dyDescent="0.3">
      <c r="C4" s="95" t="s">
        <v>85</v>
      </c>
      <c r="D4" s="95" t="s">
        <v>86</v>
      </c>
      <c r="E4" s="95" t="s">
        <v>87</v>
      </c>
      <c r="F4" s="95" t="s">
        <v>88</v>
      </c>
      <c r="G4" s="95" t="s">
        <v>89</v>
      </c>
      <c r="H4" s="95" t="s">
        <v>90</v>
      </c>
      <c r="I4" s="95" t="s">
        <v>113</v>
      </c>
    </row>
    <row r="5" spans="1:9" ht="15" customHeight="1" x14ac:dyDescent="0.25">
      <c r="A5" s="102" t="s">
        <v>37</v>
      </c>
      <c r="B5" s="103" t="s">
        <v>91</v>
      </c>
      <c r="C5" s="104">
        <v>42735</v>
      </c>
      <c r="D5" s="105">
        <v>43100</v>
      </c>
      <c r="E5" s="104">
        <v>43465</v>
      </c>
      <c r="F5" s="105">
        <v>43830</v>
      </c>
      <c r="G5" s="104">
        <v>44196</v>
      </c>
      <c r="H5" s="104">
        <v>44561</v>
      </c>
      <c r="I5" s="104" t="s">
        <v>1147</v>
      </c>
    </row>
    <row r="6" spans="1:9" ht="15" customHeight="1" x14ac:dyDescent="0.25">
      <c r="A6" s="36"/>
      <c r="B6" s="36"/>
    </row>
    <row r="7" spans="1:9" ht="15" customHeight="1" x14ac:dyDescent="0.25">
      <c r="A7" s="29" t="s">
        <v>49</v>
      </c>
      <c r="B7" s="26" t="s">
        <v>50</v>
      </c>
      <c r="C7" s="106">
        <v>0.7</v>
      </c>
      <c r="D7" s="106">
        <v>0.7</v>
      </c>
      <c r="E7" s="106">
        <v>0.6</v>
      </c>
      <c r="F7" s="106">
        <v>0.6</v>
      </c>
      <c r="G7" s="106">
        <v>0.8</v>
      </c>
      <c r="H7" s="106">
        <v>0.8</v>
      </c>
      <c r="I7" s="96">
        <f t="shared" ref="I7:I12" si="0">AVERAGE(C7:H7)</f>
        <v>0.70000000000000007</v>
      </c>
    </row>
    <row r="8" spans="1:9" ht="15" customHeight="1" x14ac:dyDescent="0.25">
      <c r="A8" s="29" t="s">
        <v>51</v>
      </c>
      <c r="B8" s="26" t="s">
        <v>52</v>
      </c>
      <c r="C8" s="106">
        <v>0.8</v>
      </c>
      <c r="D8" s="106">
        <v>0.8</v>
      </c>
      <c r="E8" s="106">
        <v>0.7</v>
      </c>
      <c r="F8" s="106">
        <v>0.7</v>
      </c>
      <c r="G8" s="106">
        <v>0.95</v>
      </c>
      <c r="H8" s="106">
        <v>1</v>
      </c>
      <c r="I8" s="96">
        <f t="shared" si="0"/>
        <v>0.82500000000000007</v>
      </c>
    </row>
    <row r="9" spans="1:9" ht="15" customHeight="1" x14ac:dyDescent="0.25">
      <c r="A9" s="29" t="s">
        <v>53</v>
      </c>
      <c r="B9" s="26" t="s">
        <v>54</v>
      </c>
      <c r="C9" s="107" t="s">
        <v>1148</v>
      </c>
      <c r="D9" s="107">
        <v>0.6</v>
      </c>
      <c r="E9" s="107">
        <v>0.5</v>
      </c>
      <c r="F9" s="107">
        <v>0.55000000000000004</v>
      </c>
      <c r="G9" s="107">
        <v>0.85</v>
      </c>
      <c r="H9" s="106">
        <v>0.85</v>
      </c>
      <c r="I9" s="96">
        <f t="shared" si="0"/>
        <v>0.67</v>
      </c>
    </row>
    <row r="10" spans="1:9" ht="15" customHeight="1" x14ac:dyDescent="0.25">
      <c r="A10" s="29" t="s">
        <v>55</v>
      </c>
      <c r="B10" s="26" t="s">
        <v>56</v>
      </c>
      <c r="C10" s="106">
        <v>0.6</v>
      </c>
      <c r="D10" s="106">
        <v>0.7</v>
      </c>
      <c r="E10" s="106">
        <v>0.6</v>
      </c>
      <c r="F10" s="106">
        <v>0.6</v>
      </c>
      <c r="G10" s="106">
        <v>0.8</v>
      </c>
      <c r="H10" s="106">
        <v>0.85</v>
      </c>
      <c r="I10" s="75">
        <f t="shared" si="0"/>
        <v>0.69166666666666654</v>
      </c>
    </row>
    <row r="11" spans="1:9" ht="15" customHeight="1" x14ac:dyDescent="0.25">
      <c r="A11" s="29" t="s">
        <v>57</v>
      </c>
      <c r="B11" s="26" t="s">
        <v>58</v>
      </c>
      <c r="C11" s="106" t="s">
        <v>1149</v>
      </c>
      <c r="D11" s="106">
        <v>0.7</v>
      </c>
      <c r="E11" s="106">
        <v>0.65</v>
      </c>
      <c r="F11" s="106">
        <v>0.65</v>
      </c>
      <c r="G11" s="106">
        <v>0.8</v>
      </c>
      <c r="H11" s="106">
        <v>0.8</v>
      </c>
      <c r="I11" s="96">
        <f t="shared" si="0"/>
        <v>0.72</v>
      </c>
    </row>
    <row r="12" spans="1:9" ht="15" customHeight="1" x14ac:dyDescent="0.25">
      <c r="A12" s="29" t="s">
        <v>59</v>
      </c>
      <c r="B12" s="26" t="s">
        <v>60</v>
      </c>
      <c r="C12" s="107">
        <v>0.7</v>
      </c>
      <c r="D12" s="107">
        <v>0.7</v>
      </c>
      <c r="E12" s="107">
        <v>0.65</v>
      </c>
      <c r="F12" s="107">
        <v>0.65</v>
      </c>
      <c r="G12" s="107">
        <v>0.85</v>
      </c>
      <c r="H12" s="106">
        <v>0.85</v>
      </c>
      <c r="I12" s="97">
        <f t="shared" si="0"/>
        <v>0.73333333333333328</v>
      </c>
    </row>
    <row r="13" spans="1:9" ht="15" customHeight="1" thickBot="1" x14ac:dyDescent="0.3">
      <c r="A13" s="98" t="s">
        <v>6</v>
      </c>
      <c r="B13" s="98"/>
      <c r="C13" s="99">
        <f t="shared" ref="C13:I13" si="1">AVERAGE(C7:C12)</f>
        <v>0.7</v>
      </c>
      <c r="D13" s="99">
        <f t="shared" si="1"/>
        <v>0.70000000000000007</v>
      </c>
      <c r="E13" s="99">
        <f t="shared" si="1"/>
        <v>0.61666666666666659</v>
      </c>
      <c r="F13" s="99">
        <f t="shared" si="1"/>
        <v>0.62499999999999989</v>
      </c>
      <c r="G13" s="99">
        <f t="shared" si="1"/>
        <v>0.84166666666666667</v>
      </c>
      <c r="H13" s="99">
        <f t="shared" si="1"/>
        <v>0.85833333333333328</v>
      </c>
      <c r="I13" s="99">
        <f t="shared" si="1"/>
        <v>0.72333333333333327</v>
      </c>
    </row>
    <row r="17" spans="1:1" ht="15" customHeight="1" x14ac:dyDescent="0.25">
      <c r="A17" s="21" t="s">
        <v>61</v>
      </c>
    </row>
    <row r="18" spans="1:1" ht="15" customHeight="1" x14ac:dyDescent="0.25">
      <c r="A18" s="29" t="s">
        <v>1150</v>
      </c>
    </row>
    <row r="19" spans="1:1" ht="15" customHeight="1" x14ac:dyDescent="0.25">
      <c r="A19" s="100" t="s">
        <v>1151</v>
      </c>
    </row>
    <row r="20" spans="1:1" ht="15" customHeight="1" x14ac:dyDescent="0.25">
      <c r="A20" s="100" t="s">
        <v>1152</v>
      </c>
    </row>
    <row r="21" spans="1:1" ht="15" customHeight="1" x14ac:dyDescent="0.25">
      <c r="A21" s="101" t="s">
        <v>1153</v>
      </c>
    </row>
    <row r="22" spans="1:1" ht="15" customHeight="1" x14ac:dyDescent="0.25">
      <c r="A22" s="100" t="s">
        <v>1154</v>
      </c>
    </row>
    <row r="23" spans="1:1" ht="15" customHeight="1" x14ac:dyDescent="0.25">
      <c r="A23" s="100" t="s">
        <v>1155</v>
      </c>
    </row>
    <row r="24" spans="1:1" ht="15" customHeight="1" x14ac:dyDescent="0.25">
      <c r="A24" s="100" t="s">
        <v>1156</v>
      </c>
    </row>
  </sheetData>
  <mergeCells count="1">
    <mergeCell ref="A2:I2"/>
  </mergeCells>
  <printOptions horizontalCentered="1"/>
  <pageMargins left="0.7" right="0.7" top="0.79437500000000005" bottom="0.75" header="0.3" footer="0.3"/>
  <pageSetup scale="62" orientation="landscape" useFirstPageNumber="1" horizontalDpi="1200" verticalDpi="1200" r:id="rId1"/>
  <headerFooter scaleWithDoc="0">
    <oddHeader>&amp;C&amp;8Exhibit AEB 1.1, Schedule 6
Test Year Ending December 31, 2021
Utility: MidAmerican Energy Company
Docket No. NG22-___</oddHeader>
    <oddFooter>&amp;CExhibit AEB 1.1, Schedule 6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autoPageBreaks="0"/>
  </sheetPr>
  <dimension ref="B2:O124"/>
  <sheetViews>
    <sheetView view="pageLayout" topLeftCell="B1" zoomScaleNormal="85" workbookViewId="0">
      <selection activeCell="F1" sqref="F1"/>
    </sheetView>
  </sheetViews>
  <sheetFormatPr defaultColWidth="8.7109375" defaultRowHeight="15" customHeight="1" x14ac:dyDescent="0.25"/>
  <cols>
    <col min="1" max="1" width="3.28515625" style="53" customWidth="1"/>
    <col min="2" max="2" width="10.42578125" style="53" customWidth="1"/>
    <col min="3" max="3" width="13.5703125" style="53" customWidth="1"/>
    <col min="4" max="4" width="12.7109375" style="53" customWidth="1"/>
    <col min="5" max="5" width="10.5703125" style="53" customWidth="1"/>
    <col min="6" max="6" width="8.7109375" style="53"/>
    <col min="7" max="7" width="30" style="53" customWidth="1"/>
    <col min="8" max="8" width="12.5703125" style="53" bestFit="1" customWidth="1"/>
    <col min="9" max="9" width="13.5703125" style="53" bestFit="1" customWidth="1"/>
    <col min="10" max="10" width="12.5703125" style="53" bestFit="1" customWidth="1"/>
    <col min="11" max="11" width="12.28515625" style="53" bestFit="1" customWidth="1"/>
    <col min="12" max="12" width="13.140625" style="53" bestFit="1" customWidth="1"/>
    <col min="13" max="15" width="12.5703125" style="53" bestFit="1" customWidth="1"/>
    <col min="16" max="16384" width="8.7109375" style="53"/>
  </cols>
  <sheetData>
    <row r="2" spans="2:5" ht="15" customHeight="1" x14ac:dyDescent="0.25">
      <c r="B2" s="301" t="s">
        <v>1157</v>
      </c>
      <c r="C2" s="301"/>
      <c r="D2" s="301"/>
      <c r="E2" s="301"/>
    </row>
    <row r="4" spans="2:5" ht="15" customHeight="1" thickBot="1" x14ac:dyDescent="0.25">
      <c r="B4" s="65"/>
      <c r="C4" s="66" t="s">
        <v>85</v>
      </c>
      <c r="D4" s="66" t="s">
        <v>86</v>
      </c>
      <c r="E4" s="66" t="s">
        <v>87</v>
      </c>
    </row>
    <row r="5" spans="2:5" ht="37.5" customHeight="1" x14ac:dyDescent="0.2">
      <c r="B5" s="77" t="s">
        <v>1158</v>
      </c>
      <c r="C5" s="78" t="s">
        <v>1159</v>
      </c>
      <c r="D5" s="78" t="s">
        <v>1160</v>
      </c>
      <c r="E5" s="78" t="s">
        <v>18</v>
      </c>
    </row>
    <row r="6" spans="2:5" ht="15" customHeight="1" x14ac:dyDescent="0.2">
      <c r="B6" s="79" t="s">
        <v>1161</v>
      </c>
      <c r="C6" s="80">
        <v>0.12418</v>
      </c>
      <c r="D6" s="70">
        <v>7.8050793650793662E-2</v>
      </c>
      <c r="E6" s="80">
        <f>C6-D6</f>
        <v>4.6129206349206336E-2</v>
      </c>
    </row>
    <row r="7" spans="2:5" ht="15" customHeight="1" x14ac:dyDescent="0.2">
      <c r="B7" s="79" t="s">
        <v>1162</v>
      </c>
      <c r="C7" s="81">
        <v>0.11983333333333333</v>
      </c>
      <c r="D7" s="70">
        <v>7.8976190476190478E-2</v>
      </c>
      <c r="E7" s="81">
        <f t="shared" ref="E7:E70" si="0">C7-D7</f>
        <v>4.0857142857142856E-2</v>
      </c>
    </row>
    <row r="8" spans="2:5" ht="15" customHeight="1" x14ac:dyDescent="0.2">
      <c r="B8" s="79" t="s">
        <v>1163</v>
      </c>
      <c r="C8" s="81">
        <v>0.11865999999999999</v>
      </c>
      <c r="D8" s="70">
        <v>7.4456250000000002E-2</v>
      </c>
      <c r="E8" s="81">
        <f t="shared" si="0"/>
        <v>4.4203749999999986E-2</v>
      </c>
    </row>
    <row r="9" spans="2:5" ht="15" customHeight="1" x14ac:dyDescent="0.2">
      <c r="B9" s="79" t="s">
        <v>1164</v>
      </c>
      <c r="C9" s="81">
        <v>0.11939999999999999</v>
      </c>
      <c r="D9" s="70">
        <v>7.5235937499999989E-2</v>
      </c>
      <c r="E9" s="81">
        <f t="shared" si="0"/>
        <v>4.4164062500000004E-2</v>
      </c>
    </row>
    <row r="10" spans="2:5" ht="15" customHeight="1" x14ac:dyDescent="0.2">
      <c r="B10" s="79" t="s">
        <v>1165</v>
      </c>
      <c r="C10" s="81">
        <v>0.11749999999999999</v>
      </c>
      <c r="D10" s="70">
        <v>7.0716129032258074E-2</v>
      </c>
      <c r="E10" s="81">
        <f t="shared" si="0"/>
        <v>4.678387096774192E-2</v>
      </c>
    </row>
    <row r="11" spans="2:5" ht="15" customHeight="1" x14ac:dyDescent="0.2">
      <c r="B11" s="66" t="s">
        <v>1166</v>
      </c>
      <c r="C11" s="81">
        <v>0.11708333333333333</v>
      </c>
      <c r="D11" s="70">
        <v>6.8584126984127011E-2</v>
      </c>
      <c r="E11" s="81">
        <f t="shared" si="0"/>
        <v>4.849920634920632E-2</v>
      </c>
    </row>
    <row r="12" spans="2:5" ht="15" customHeight="1" x14ac:dyDescent="0.2">
      <c r="B12" s="66" t="s">
        <v>1167</v>
      </c>
      <c r="C12" s="81">
        <v>0.11387499999999999</v>
      </c>
      <c r="D12" s="70">
        <v>6.3154687500000015E-2</v>
      </c>
      <c r="E12" s="81">
        <f t="shared" si="0"/>
        <v>5.0720312499999975E-2</v>
      </c>
    </row>
    <row r="13" spans="2:5" ht="15" customHeight="1" x14ac:dyDescent="0.2">
      <c r="B13" s="66" t="s">
        <v>1168</v>
      </c>
      <c r="C13" s="81">
        <v>0.11155555555555557</v>
      </c>
      <c r="D13" s="70">
        <v>6.1351562500000012E-2</v>
      </c>
      <c r="E13" s="81">
        <f t="shared" si="0"/>
        <v>5.0203993055555562E-2</v>
      </c>
    </row>
    <row r="14" spans="2:5" ht="15" customHeight="1" x14ac:dyDescent="0.2">
      <c r="B14" s="66" t="s">
        <v>1169</v>
      </c>
      <c r="C14" s="81">
        <v>0.11120000000000001</v>
      </c>
      <c r="D14" s="70">
        <v>6.5758730158730155E-2</v>
      </c>
      <c r="E14" s="81">
        <f t="shared" si="0"/>
        <v>4.5441269841269852E-2</v>
      </c>
    </row>
    <row r="15" spans="2:5" ht="15" customHeight="1" x14ac:dyDescent="0.2">
      <c r="B15" s="66" t="s">
        <v>1170</v>
      </c>
      <c r="C15" s="81">
        <v>0.10834999999999999</v>
      </c>
      <c r="D15" s="70">
        <v>7.3622580645161306E-2</v>
      </c>
      <c r="E15" s="81">
        <f t="shared" si="0"/>
        <v>3.4727419354838682E-2</v>
      </c>
    </row>
    <row r="16" spans="2:5" ht="15" customHeight="1" x14ac:dyDescent="0.2">
      <c r="B16" s="66" t="s">
        <v>1171</v>
      </c>
      <c r="C16" s="81">
        <v>0.10866666666666668</v>
      </c>
      <c r="D16" s="70">
        <v>7.5893750000000024E-2</v>
      </c>
      <c r="E16" s="81">
        <f t="shared" si="0"/>
        <v>3.2772916666666652E-2</v>
      </c>
    </row>
    <row r="17" spans="2:15" ht="15" customHeight="1" x14ac:dyDescent="0.2">
      <c r="B17" s="66" t="s">
        <v>1172</v>
      </c>
      <c r="C17" s="81">
        <v>0.11525833333333334</v>
      </c>
      <c r="D17" s="70">
        <v>7.9633333333333334E-2</v>
      </c>
      <c r="E17" s="81">
        <f t="shared" si="0"/>
        <v>3.5625000000000004E-2</v>
      </c>
    </row>
    <row r="18" spans="2:15" ht="15" customHeight="1" x14ac:dyDescent="0.2">
      <c r="B18" s="66" t="s">
        <v>1173</v>
      </c>
      <c r="C18" s="81">
        <v>0.11</v>
      </c>
      <c r="D18" s="70">
        <v>6.9422222222222191E-2</v>
      </c>
      <c r="E18" s="81">
        <f t="shared" si="0"/>
        <v>4.057777777777781E-2</v>
      </c>
    </row>
    <row r="19" spans="2:15" ht="15" customHeight="1" x14ac:dyDescent="0.2">
      <c r="B19" s="66" t="s">
        <v>1174</v>
      </c>
      <c r="C19" s="81">
        <v>0.11066666666666668</v>
      </c>
      <c r="D19" s="70">
        <v>6.7173015873015857E-2</v>
      </c>
      <c r="E19" s="81">
        <f t="shared" si="0"/>
        <v>4.349365079365082E-2</v>
      </c>
    </row>
    <row r="20" spans="2:15" ht="15" customHeight="1" x14ac:dyDescent="0.2">
      <c r="B20" s="66" t="s">
        <v>1175</v>
      </c>
      <c r="C20" s="81">
        <v>0.11606666666666667</v>
      </c>
      <c r="D20" s="70">
        <v>6.2390476190476205E-2</v>
      </c>
      <c r="E20" s="81">
        <f t="shared" si="0"/>
        <v>5.3676190476190461E-2</v>
      </c>
    </row>
    <row r="21" spans="2:15" ht="15" customHeight="1" x14ac:dyDescent="0.2">
      <c r="B21" s="66" t="s">
        <v>1176</v>
      </c>
      <c r="C21" s="81">
        <v>0.11449999999999999</v>
      </c>
      <c r="D21" s="70">
        <v>6.2916923076923065E-2</v>
      </c>
      <c r="E21" s="81">
        <f t="shared" si="0"/>
        <v>5.1583076923076926E-2</v>
      </c>
    </row>
    <row r="22" spans="2:15" ht="15" customHeight="1" x14ac:dyDescent="0.25">
      <c r="B22" s="66" t="s">
        <v>1177</v>
      </c>
      <c r="C22" s="81">
        <v>0.10875</v>
      </c>
      <c r="D22" s="70">
        <v>6.9215384615384609E-2</v>
      </c>
      <c r="E22" s="81">
        <f t="shared" si="0"/>
        <v>3.953461538461539E-2</v>
      </c>
      <c r="G22" t="s">
        <v>1178</v>
      </c>
      <c r="H22"/>
      <c r="I22"/>
      <c r="J22"/>
      <c r="K22"/>
      <c r="L22"/>
      <c r="M22"/>
      <c r="N22"/>
      <c r="O22"/>
    </row>
    <row r="23" spans="2:15" ht="15" customHeight="1" thickBot="1" x14ac:dyDescent="0.3">
      <c r="B23" s="66" t="s">
        <v>1179</v>
      </c>
      <c r="C23" s="81">
        <v>0.1125</v>
      </c>
      <c r="D23" s="70">
        <v>6.9672727272727275E-2</v>
      </c>
      <c r="E23" s="81">
        <f t="shared" si="0"/>
        <v>4.2827272727272728E-2</v>
      </c>
      <c r="G23"/>
      <c r="H23"/>
      <c r="I23"/>
      <c r="J23"/>
      <c r="K23"/>
      <c r="L23"/>
      <c r="M23"/>
      <c r="N23"/>
      <c r="O23"/>
    </row>
    <row r="24" spans="2:15" ht="15" customHeight="1" x14ac:dyDescent="0.25">
      <c r="B24" s="66" t="s">
        <v>1180</v>
      </c>
      <c r="C24" s="81">
        <v>0.11194285714285715</v>
      </c>
      <c r="D24" s="70">
        <v>6.6199999999999995E-2</v>
      </c>
      <c r="E24" s="81">
        <f t="shared" si="0"/>
        <v>4.5742857142857155E-2</v>
      </c>
      <c r="G24" s="269" t="s">
        <v>1181</v>
      </c>
      <c r="H24" s="269"/>
      <c r="I24"/>
      <c r="J24"/>
      <c r="K24"/>
      <c r="L24"/>
      <c r="M24"/>
      <c r="N24"/>
      <c r="O24"/>
    </row>
    <row r="25" spans="2:15" ht="15" customHeight="1" x14ac:dyDescent="0.25">
      <c r="B25" s="66" t="s">
        <v>1182</v>
      </c>
      <c r="C25" s="81">
        <v>0.11307142857142857</v>
      </c>
      <c r="D25" s="70">
        <v>6.8153124999999995E-2</v>
      </c>
      <c r="E25" s="81">
        <f t="shared" si="0"/>
        <v>4.4918303571428578E-2</v>
      </c>
      <c r="G25" t="s">
        <v>1183</v>
      </c>
      <c r="H25" s="82">
        <v>0.92919873710194434</v>
      </c>
      <c r="I25"/>
      <c r="J25"/>
      <c r="K25"/>
      <c r="L25"/>
      <c r="M25"/>
      <c r="N25"/>
      <c r="O25"/>
    </row>
    <row r="26" spans="2:15" ht="15" customHeight="1" x14ac:dyDescent="0.25">
      <c r="B26" s="66" t="s">
        <v>1184</v>
      </c>
      <c r="C26" s="81">
        <v>0.11699999999999999</v>
      </c>
      <c r="D26" s="70">
        <v>6.9369230769230752E-2</v>
      </c>
      <c r="E26" s="81">
        <f t="shared" si="0"/>
        <v>4.763076923076924E-2</v>
      </c>
      <c r="G26" t="s">
        <v>1185</v>
      </c>
      <c r="H26" s="82">
        <v>0.86341029303184824</v>
      </c>
      <c r="I26"/>
      <c r="J26"/>
      <c r="K26"/>
      <c r="L26"/>
      <c r="M26"/>
      <c r="N26"/>
      <c r="O26"/>
    </row>
    <row r="27" spans="2:15" ht="15" customHeight="1" x14ac:dyDescent="0.25">
      <c r="B27" s="66" t="s">
        <v>1186</v>
      </c>
      <c r="C27" s="81">
        <v>0.12</v>
      </c>
      <c r="D27" s="70">
        <v>6.5304545454545448E-2</v>
      </c>
      <c r="E27" s="81">
        <f t="shared" si="0"/>
        <v>5.4695454545454547E-2</v>
      </c>
      <c r="G27" t="s">
        <v>1187</v>
      </c>
      <c r="H27" s="82">
        <v>0.86222255644951651</v>
      </c>
      <c r="I27"/>
      <c r="J27"/>
      <c r="K27"/>
      <c r="L27"/>
      <c r="M27"/>
      <c r="N27"/>
      <c r="O27"/>
    </row>
    <row r="28" spans="2:15" ht="15" customHeight="1" x14ac:dyDescent="0.25">
      <c r="B28" s="79" t="s">
        <v>1188</v>
      </c>
      <c r="C28" s="81">
        <v>0.10916666666666668</v>
      </c>
      <c r="D28" s="70">
        <v>6.1478125000000015E-2</v>
      </c>
      <c r="E28" s="81">
        <f t="shared" si="0"/>
        <v>4.768854166666666E-2</v>
      </c>
      <c r="G28" t="s">
        <v>1189</v>
      </c>
      <c r="H28" s="82">
        <v>3.8600714051992995E-3</v>
      </c>
      <c r="I28"/>
      <c r="J28"/>
      <c r="K28"/>
      <c r="L28"/>
      <c r="M28"/>
      <c r="N28"/>
      <c r="O28"/>
    </row>
    <row r="29" spans="2:15" ht="15" customHeight="1" thickBot="1" x14ac:dyDescent="0.3">
      <c r="B29" s="66" t="s">
        <v>1190</v>
      </c>
      <c r="C29" s="81">
        <v>0.11366666666666665</v>
      </c>
      <c r="D29" s="70">
        <v>5.8490769230769207E-2</v>
      </c>
      <c r="E29" s="81">
        <f t="shared" si="0"/>
        <v>5.5175897435897445E-2</v>
      </c>
      <c r="G29" s="270" t="s">
        <v>1191</v>
      </c>
      <c r="H29" s="270">
        <v>117</v>
      </c>
      <c r="I29"/>
      <c r="J29"/>
      <c r="K29"/>
      <c r="L29"/>
      <c r="M29"/>
      <c r="N29"/>
      <c r="O29"/>
    </row>
    <row r="30" spans="2:15" ht="15" customHeight="1" x14ac:dyDescent="0.25">
      <c r="B30" s="66" t="s">
        <v>1192</v>
      </c>
      <c r="C30" s="81">
        <v>0.11409999999999999</v>
      </c>
      <c r="D30" s="70">
        <v>5.4762121212121241E-2</v>
      </c>
      <c r="E30" s="81">
        <f t="shared" si="0"/>
        <v>5.9337878787878752E-2</v>
      </c>
      <c r="G30"/>
      <c r="H30"/>
      <c r="I30"/>
      <c r="J30"/>
      <c r="K30"/>
      <c r="L30"/>
      <c r="M30"/>
      <c r="N30"/>
      <c r="O30"/>
    </row>
    <row r="31" spans="2:15" ht="15" customHeight="1" thickBot="1" x14ac:dyDescent="0.3">
      <c r="B31" s="66" t="s">
        <v>1193</v>
      </c>
      <c r="C31" s="81">
        <v>0.1169</v>
      </c>
      <c r="D31" s="70">
        <v>5.1071212121212115E-2</v>
      </c>
      <c r="E31" s="81">
        <f t="shared" si="0"/>
        <v>6.5828787878787889E-2</v>
      </c>
      <c r="G31" t="s">
        <v>1194</v>
      </c>
      <c r="H31"/>
      <c r="I31"/>
      <c r="J31"/>
      <c r="K31"/>
      <c r="L31"/>
      <c r="M31"/>
      <c r="N31"/>
      <c r="O31"/>
    </row>
    <row r="32" spans="2:15" ht="15" customHeight="1" x14ac:dyDescent="0.25">
      <c r="B32" s="79" t="s">
        <v>1195</v>
      </c>
      <c r="C32" s="81">
        <v>0.10816666666666667</v>
      </c>
      <c r="D32" s="70">
        <v>5.3734374999999994E-2</v>
      </c>
      <c r="E32" s="81">
        <f t="shared" si="0"/>
        <v>5.4432291666666681E-2</v>
      </c>
      <c r="G32" s="271"/>
      <c r="H32" s="271" t="s">
        <v>1196</v>
      </c>
      <c r="I32" s="271" t="s">
        <v>1197</v>
      </c>
      <c r="J32" s="271" t="s">
        <v>761</v>
      </c>
      <c r="K32" s="271" t="s">
        <v>487</v>
      </c>
      <c r="L32" s="271" t="s">
        <v>1198</v>
      </c>
      <c r="M32"/>
      <c r="N32"/>
      <c r="O32"/>
    </row>
    <row r="33" spans="2:15" ht="15" customHeight="1" x14ac:dyDescent="0.25">
      <c r="B33" s="79" t="s">
        <v>1199</v>
      </c>
      <c r="C33" s="81">
        <v>0.1125</v>
      </c>
      <c r="D33" s="70">
        <v>5.7987692307692289E-2</v>
      </c>
      <c r="E33" s="81">
        <f t="shared" si="0"/>
        <v>5.4512307692307714E-2</v>
      </c>
      <c r="G33" t="s">
        <v>1200</v>
      </c>
      <c r="H33">
        <v>1</v>
      </c>
      <c r="I33" s="82">
        <v>1.0831479093217888E-2</v>
      </c>
      <c r="J33" s="82">
        <v>1.0831479093217888E-2</v>
      </c>
      <c r="K33" s="82">
        <v>726.9375262794448</v>
      </c>
      <c r="L33" s="82">
        <v>1.5434288164537059E-51</v>
      </c>
      <c r="M33"/>
      <c r="N33"/>
      <c r="O33"/>
    </row>
    <row r="34" spans="2:15" ht="15" customHeight="1" x14ac:dyDescent="0.25">
      <c r="B34" s="79" t="s">
        <v>1201</v>
      </c>
      <c r="C34" s="81">
        <v>0.10375</v>
      </c>
      <c r="D34" s="70">
        <v>6.2559090909090911E-2</v>
      </c>
      <c r="E34" s="81">
        <f t="shared" si="0"/>
        <v>4.1190909090909084E-2</v>
      </c>
      <c r="G34" t="s">
        <v>1202</v>
      </c>
      <c r="H34">
        <v>115</v>
      </c>
      <c r="I34" s="82">
        <v>1.7135173941222887E-3</v>
      </c>
      <c r="J34" s="82">
        <v>1.4900151253237294E-5</v>
      </c>
      <c r="K34" s="82"/>
      <c r="L34" s="82"/>
      <c r="M34"/>
      <c r="N34"/>
      <c r="O34"/>
    </row>
    <row r="35" spans="2:15" ht="15" customHeight="1" thickBot="1" x14ac:dyDescent="0.3">
      <c r="B35" s="66" t="s">
        <v>1203</v>
      </c>
      <c r="C35" s="81">
        <v>0.10655000000000001</v>
      </c>
      <c r="D35" s="70">
        <v>6.2958461538461505E-2</v>
      </c>
      <c r="E35" s="81">
        <f t="shared" si="0"/>
        <v>4.3591538461538501E-2</v>
      </c>
      <c r="G35" s="270" t="s">
        <v>1204</v>
      </c>
      <c r="H35" s="270">
        <v>116</v>
      </c>
      <c r="I35" s="83">
        <v>1.2544996487340176E-2</v>
      </c>
      <c r="J35" s="83"/>
      <c r="K35" s="83"/>
      <c r="L35" s="83"/>
      <c r="M35"/>
      <c r="N35"/>
      <c r="O35"/>
    </row>
    <row r="36" spans="2:15" ht="15" customHeight="1" thickBot="1" x14ac:dyDescent="0.3">
      <c r="B36" s="79" t="s">
        <v>1205</v>
      </c>
      <c r="C36" s="81">
        <v>0.11033333333333334</v>
      </c>
      <c r="D36" s="70">
        <v>5.9787692307692299E-2</v>
      </c>
      <c r="E36" s="81">
        <f t="shared" si="0"/>
        <v>5.054564102564104E-2</v>
      </c>
      <c r="G36"/>
      <c r="H36"/>
      <c r="I36"/>
      <c r="J36"/>
      <c r="K36"/>
      <c r="L36"/>
      <c r="M36"/>
      <c r="N36"/>
      <c r="O36"/>
    </row>
    <row r="37" spans="2:15" ht="15" customHeight="1" x14ac:dyDescent="0.2">
      <c r="B37" s="66" t="s">
        <v>1206</v>
      </c>
      <c r="C37" s="81">
        <v>0.11334</v>
      </c>
      <c r="D37" s="70">
        <v>5.7932307692307693E-2</v>
      </c>
      <c r="E37" s="81">
        <f t="shared" si="0"/>
        <v>5.5407692307692304E-2</v>
      </c>
      <c r="G37" s="271"/>
      <c r="H37" s="271" t="s">
        <v>1207</v>
      </c>
      <c r="I37" s="271" t="s">
        <v>1189</v>
      </c>
      <c r="J37" s="271" t="s">
        <v>1208</v>
      </c>
      <c r="K37" s="271" t="s">
        <v>1209</v>
      </c>
      <c r="L37" s="271" t="s">
        <v>1210</v>
      </c>
      <c r="M37" s="271" t="s">
        <v>1211</v>
      </c>
      <c r="N37" s="271" t="s">
        <v>1212</v>
      </c>
      <c r="O37" s="271" t="s">
        <v>1213</v>
      </c>
    </row>
    <row r="38" spans="2:15" ht="15" customHeight="1" x14ac:dyDescent="0.25">
      <c r="B38" s="66" t="s">
        <v>1214</v>
      </c>
      <c r="C38" s="81">
        <v>0.121</v>
      </c>
      <c r="D38" s="70">
        <v>5.6907692307692305E-2</v>
      </c>
      <c r="E38" s="81">
        <f t="shared" si="0"/>
        <v>6.4092307692307698E-2</v>
      </c>
      <c r="G38" t="s">
        <v>1215</v>
      </c>
      <c r="H38" s="84">
        <v>8.5454082416794364E-2</v>
      </c>
      <c r="I38" s="85">
        <v>1.0408492306800917E-3</v>
      </c>
      <c r="J38" s="86">
        <v>82.100346426694855</v>
      </c>
      <c r="K38" s="82">
        <v>6.1980266013094681E-104</v>
      </c>
      <c r="L38" s="82">
        <v>8.3392360411511032E-2</v>
      </c>
      <c r="M38" s="82">
        <v>8.7515804422077695E-2</v>
      </c>
      <c r="N38" s="82">
        <v>8.3392360411511032E-2</v>
      </c>
      <c r="O38" s="82">
        <v>8.7515804422077695E-2</v>
      </c>
    </row>
    <row r="39" spans="2:15" ht="15" customHeight="1" thickBot="1" x14ac:dyDescent="0.3">
      <c r="B39" s="79" t="s">
        <v>1216</v>
      </c>
      <c r="C39" s="81">
        <v>0.11375</v>
      </c>
      <c r="D39" s="70">
        <v>5.4464615384615396E-2</v>
      </c>
      <c r="E39" s="81">
        <f t="shared" si="0"/>
        <v>5.9285384615384608E-2</v>
      </c>
      <c r="G39" s="270" t="s">
        <v>1160</v>
      </c>
      <c r="H39" s="87">
        <v>-0.5823937375153404</v>
      </c>
      <c r="I39" s="88">
        <v>2.1600716248798963E-2</v>
      </c>
      <c r="J39" s="89">
        <v>-26.961778989514873</v>
      </c>
      <c r="K39" s="83">
        <v>1.543428816453618E-51</v>
      </c>
      <c r="L39" s="83">
        <v>-0.62518059915420721</v>
      </c>
      <c r="M39" s="83">
        <v>-0.5396068758764736</v>
      </c>
      <c r="N39" s="83">
        <v>-0.62518059915420721</v>
      </c>
      <c r="O39" s="83">
        <v>-0.5396068758764736</v>
      </c>
    </row>
    <row r="40" spans="2:15" ht="15" customHeight="1" x14ac:dyDescent="0.25">
      <c r="B40" s="66" t="s">
        <v>1217</v>
      </c>
      <c r="C40" s="81">
        <v>0.1075</v>
      </c>
      <c r="D40" s="70">
        <v>5.7016923076923069E-2</v>
      </c>
      <c r="E40" s="81">
        <f t="shared" si="0"/>
        <v>5.0483076923076929E-2</v>
      </c>
      <c r="G40"/>
      <c r="H40"/>
      <c r="I40"/>
      <c r="J40"/>
      <c r="K40"/>
      <c r="L40"/>
      <c r="M40"/>
      <c r="N40"/>
      <c r="O40"/>
    </row>
    <row r="41" spans="2:15" ht="15" customHeight="1" x14ac:dyDescent="0.25">
      <c r="B41" s="66" t="s">
        <v>1218</v>
      </c>
      <c r="C41" s="81">
        <v>0.10650000000000001</v>
      </c>
      <c r="D41" s="70">
        <v>5.3019696969696967E-2</v>
      </c>
      <c r="E41" s="81">
        <f t="shared" si="0"/>
        <v>5.3480303030303045E-2</v>
      </c>
      <c r="G41"/>
      <c r="H41"/>
      <c r="I41"/>
      <c r="J41"/>
      <c r="K41"/>
      <c r="L41"/>
      <c r="M41"/>
      <c r="N41"/>
      <c r="O41"/>
    </row>
    <row r="42" spans="2:15" ht="15" customHeight="1" thickBot="1" x14ac:dyDescent="0.3">
      <c r="B42" s="79" t="s">
        <v>1219</v>
      </c>
      <c r="C42" s="81">
        <v>0.10666666666666667</v>
      </c>
      <c r="D42" s="70">
        <v>5.51578125E-2</v>
      </c>
      <c r="E42" s="81">
        <f t="shared" si="0"/>
        <v>5.1508854166666673E-2</v>
      </c>
      <c r="G42"/>
      <c r="H42"/>
      <c r="I42"/>
      <c r="J42"/>
      <c r="K42"/>
      <c r="L42"/>
      <c r="M42"/>
      <c r="N42"/>
      <c r="O42"/>
    </row>
    <row r="43" spans="2:15" ht="15" customHeight="1" x14ac:dyDescent="0.2">
      <c r="B43" s="66" t="s">
        <v>1220</v>
      </c>
      <c r="C43" s="81">
        <v>0.116425</v>
      </c>
      <c r="D43" s="70">
        <v>5.6164615384615389E-2</v>
      </c>
      <c r="E43" s="81">
        <f t="shared" si="0"/>
        <v>6.0260384615384611E-2</v>
      </c>
      <c r="G43" s="63"/>
      <c r="H43" s="63"/>
      <c r="I43" s="63"/>
      <c r="J43" s="64" t="s">
        <v>1221</v>
      </c>
      <c r="K43" s="64"/>
      <c r="L43" s="64"/>
    </row>
    <row r="44" spans="2:15" ht="15" customHeight="1" x14ac:dyDescent="0.2">
      <c r="B44" s="66" t="s">
        <v>1222</v>
      </c>
      <c r="C44" s="81">
        <v>0.11499999999999999</v>
      </c>
      <c r="D44" s="70">
        <v>5.0868181818181826E-2</v>
      </c>
      <c r="E44" s="81">
        <f t="shared" si="0"/>
        <v>6.4131818181818165E-2</v>
      </c>
      <c r="G44" s="65"/>
      <c r="H44" s="65"/>
      <c r="I44" s="65"/>
      <c r="J44" s="66" t="s">
        <v>1223</v>
      </c>
      <c r="K44" s="66" t="s">
        <v>1224</v>
      </c>
      <c r="L44" s="66"/>
    </row>
    <row r="45" spans="2:15" ht="15" customHeight="1" x14ac:dyDescent="0.2">
      <c r="B45" s="79" t="s">
        <v>1225</v>
      </c>
      <c r="C45" s="81">
        <v>0.1101111111111111</v>
      </c>
      <c r="D45" s="70">
        <v>4.9322727272727268E-2</v>
      </c>
      <c r="E45" s="81">
        <f t="shared" si="0"/>
        <v>6.0788383838383836E-2</v>
      </c>
      <c r="G45" s="67"/>
      <c r="H45" s="67"/>
      <c r="I45" s="67"/>
      <c r="J45" s="68" t="s">
        <v>1226</v>
      </c>
      <c r="K45" s="68" t="s">
        <v>1227</v>
      </c>
      <c r="L45" s="68" t="s">
        <v>1228</v>
      </c>
    </row>
    <row r="46" spans="2:15" ht="15" customHeight="1" x14ac:dyDescent="0.2">
      <c r="B46" s="66" t="s">
        <v>1229</v>
      </c>
      <c r="C46" s="81">
        <v>0.11381999999999999</v>
      </c>
      <c r="D46" s="70">
        <v>4.8518749999999999E-2</v>
      </c>
      <c r="E46" s="81">
        <f t="shared" si="0"/>
        <v>6.5301249999999991E-2</v>
      </c>
      <c r="G46" s="65"/>
      <c r="H46" s="65"/>
      <c r="I46" s="65"/>
      <c r="J46" s="65"/>
      <c r="K46" s="65"/>
      <c r="L46" s="65"/>
    </row>
    <row r="47" spans="2:15" ht="15" customHeight="1" x14ac:dyDescent="0.2">
      <c r="B47" s="66" t="s">
        <v>1230</v>
      </c>
      <c r="C47" s="81">
        <v>0.113625</v>
      </c>
      <c r="D47" s="70">
        <v>4.6032307692307678E-2</v>
      </c>
      <c r="E47" s="81">
        <f t="shared" si="0"/>
        <v>6.7592692307692326E-2</v>
      </c>
      <c r="G47" s="65" t="s">
        <v>1231</v>
      </c>
      <c r="H47" s="65"/>
      <c r="I47" s="65"/>
      <c r="J47" s="69">
        <f>'Schedule 4- CAPM &amp; ECAPM'!C8</f>
        <v>2.3723333333333332E-2</v>
      </c>
      <c r="K47" s="81">
        <f>$H$38+($H$39*J47)</f>
        <v>7.1637761650472101E-2</v>
      </c>
      <c r="L47" s="70">
        <f>J47+K47</f>
        <v>9.5361094983805433E-2</v>
      </c>
    </row>
    <row r="48" spans="2:15" ht="15" customHeight="1" x14ac:dyDescent="0.2">
      <c r="B48" s="66" t="s">
        <v>1232</v>
      </c>
      <c r="C48" s="81">
        <v>0.10612000000000002</v>
      </c>
      <c r="D48" s="70">
        <v>5.113939393939395E-2</v>
      </c>
      <c r="E48" s="81">
        <f t="shared" si="0"/>
        <v>5.498060606060607E-2</v>
      </c>
      <c r="G48" s="65" t="s">
        <v>1233</v>
      </c>
      <c r="H48" s="65"/>
      <c r="I48" s="65"/>
      <c r="J48" s="69">
        <f>'Schedule 4- CAPM &amp; ECAPM'!L8</f>
        <v>3.1199999999999999E-2</v>
      </c>
      <c r="K48" s="81">
        <f t="shared" ref="K48:K49" si="1">$H$38+($H$39*J48)</f>
        <v>6.7283397806315745E-2</v>
      </c>
      <c r="L48" s="70">
        <f>J48+K48</f>
        <v>9.8483397806315737E-2</v>
      </c>
    </row>
    <row r="49" spans="2:12" ht="15" customHeight="1" x14ac:dyDescent="0.2">
      <c r="B49" s="66" t="s">
        <v>1234</v>
      </c>
      <c r="C49" s="81">
        <v>0.10841818181818183</v>
      </c>
      <c r="D49" s="70">
        <v>5.1146969696969691E-2</v>
      </c>
      <c r="E49" s="81">
        <f t="shared" si="0"/>
        <v>5.7271212121212139E-2</v>
      </c>
      <c r="G49" s="67" t="s">
        <v>1235</v>
      </c>
      <c r="H49" s="67"/>
      <c r="I49" s="67"/>
      <c r="J49" s="71">
        <f>'Schedule 4- CAPM &amp; ECAPM'!U8</f>
        <v>3.4000000000000002E-2</v>
      </c>
      <c r="K49" s="72">
        <f t="shared" si="1"/>
        <v>6.5652695341272785E-2</v>
      </c>
      <c r="L49" s="72">
        <f>J49+K49</f>
        <v>9.9652695341272787E-2</v>
      </c>
    </row>
    <row r="50" spans="2:12" ht="15" customHeight="1" thickBot="1" x14ac:dyDescent="0.25">
      <c r="B50" s="66" t="s">
        <v>1236</v>
      </c>
      <c r="C50" s="81">
        <v>0.11059999999999999</v>
      </c>
      <c r="D50" s="70">
        <v>4.8776923076923072E-2</v>
      </c>
      <c r="E50" s="81">
        <f t="shared" si="0"/>
        <v>6.1823076923076918E-2</v>
      </c>
      <c r="G50" s="73" t="s">
        <v>1237</v>
      </c>
      <c r="H50" s="73"/>
      <c r="I50" s="73"/>
      <c r="J50" s="74"/>
      <c r="K50" s="74"/>
      <c r="L50" s="74">
        <f>AVERAGE(L47:L49)</f>
        <v>9.7832396043797995E-2</v>
      </c>
    </row>
    <row r="51" spans="2:12" ht="15" customHeight="1" x14ac:dyDescent="0.2">
      <c r="B51" s="66" t="s">
        <v>1238</v>
      </c>
      <c r="C51" s="81">
        <v>0.10573333333333335</v>
      </c>
      <c r="D51" s="70">
        <v>5.3353846153846154E-2</v>
      </c>
      <c r="E51" s="81">
        <f t="shared" si="0"/>
        <v>5.2379487179487191E-2</v>
      </c>
    </row>
    <row r="52" spans="2:12" ht="15" customHeight="1" x14ac:dyDescent="0.2">
      <c r="B52" s="66" t="s">
        <v>1239</v>
      </c>
      <c r="C52" s="81">
        <v>0.10368749999999999</v>
      </c>
      <c r="D52" s="70">
        <v>5.1074242424242439E-2</v>
      </c>
      <c r="E52" s="81">
        <f t="shared" si="0"/>
        <v>5.2613257575757549E-2</v>
      </c>
      <c r="G52" s="90" t="s">
        <v>61</v>
      </c>
    </row>
    <row r="53" spans="2:12" ht="15" customHeight="1" x14ac:dyDescent="0.2">
      <c r="B53" s="66" t="s">
        <v>1240</v>
      </c>
      <c r="C53" s="81">
        <v>0.10658333333333332</v>
      </c>
      <c r="D53" s="70">
        <v>4.9322727272727296E-2</v>
      </c>
      <c r="E53" s="81">
        <f t="shared" si="0"/>
        <v>5.7260606060606026E-2</v>
      </c>
      <c r="G53" s="90" t="s">
        <v>1241</v>
      </c>
    </row>
    <row r="54" spans="2:12" ht="15" customHeight="1" x14ac:dyDescent="0.2">
      <c r="B54" s="66" t="s">
        <v>1242</v>
      </c>
      <c r="C54" s="81">
        <v>0.10650000000000001</v>
      </c>
      <c r="D54" s="70">
        <v>4.7070312500000003E-2</v>
      </c>
      <c r="E54" s="81">
        <f t="shared" si="0"/>
        <v>5.9429687500000009E-2</v>
      </c>
      <c r="G54" s="90" t="s">
        <v>1243</v>
      </c>
    </row>
    <row r="55" spans="2:12" ht="15" customHeight="1" x14ac:dyDescent="0.2">
      <c r="B55" s="79" t="s">
        <v>1244</v>
      </c>
      <c r="C55" s="81">
        <v>0.10536000000000001</v>
      </c>
      <c r="D55" s="70">
        <v>4.4709230769230765E-2</v>
      </c>
      <c r="E55" s="81">
        <f t="shared" si="0"/>
        <v>6.0650769230769244E-2</v>
      </c>
      <c r="G55" s="90" t="s">
        <v>1245</v>
      </c>
    </row>
    <row r="56" spans="2:12" ht="15" customHeight="1" x14ac:dyDescent="0.2">
      <c r="B56" s="66" t="s">
        <v>1246</v>
      </c>
      <c r="C56" s="81">
        <v>0.10471999999999999</v>
      </c>
      <c r="D56" s="70">
        <v>4.4228787878787867E-2</v>
      </c>
      <c r="E56" s="81">
        <f t="shared" si="0"/>
        <v>6.0491212121212126E-2</v>
      </c>
      <c r="G56" s="90" t="s">
        <v>1247</v>
      </c>
    </row>
    <row r="57" spans="2:12" ht="15" customHeight="1" x14ac:dyDescent="0.2">
      <c r="B57" s="66" t="s">
        <v>1248</v>
      </c>
      <c r="C57" s="81">
        <v>0.10316428571428572</v>
      </c>
      <c r="D57" s="70">
        <v>4.6523076923076924E-2</v>
      </c>
      <c r="E57" s="81">
        <f t="shared" si="0"/>
        <v>5.6641208791208798E-2</v>
      </c>
      <c r="G57" s="90" t="s">
        <v>1249</v>
      </c>
    </row>
    <row r="58" spans="2:12" ht="15" customHeight="1" x14ac:dyDescent="0.2">
      <c r="B58" s="66" t="s">
        <v>1250</v>
      </c>
      <c r="C58" s="81">
        <v>0.10680000000000001</v>
      </c>
      <c r="D58" s="70">
        <v>4.6270769230769213E-2</v>
      </c>
      <c r="E58" s="81">
        <f t="shared" si="0"/>
        <v>6.0529230769230793E-2</v>
      </c>
      <c r="G58" s="90" t="s">
        <v>1251</v>
      </c>
    </row>
    <row r="59" spans="2:12" ht="15" customHeight="1" x14ac:dyDescent="0.2">
      <c r="B59" s="66" t="s">
        <v>1252</v>
      </c>
      <c r="C59" s="81">
        <v>0.106</v>
      </c>
      <c r="D59" s="70">
        <v>5.1427692307692299E-2</v>
      </c>
      <c r="E59" s="81">
        <f t="shared" si="0"/>
        <v>5.4572307692307698E-2</v>
      </c>
      <c r="G59" s="90" t="s">
        <v>1253</v>
      </c>
    </row>
    <row r="60" spans="2:12" ht="15" customHeight="1" x14ac:dyDescent="0.2">
      <c r="B60" s="66" t="s">
        <v>1254</v>
      </c>
      <c r="C60" s="81">
        <v>0.10337499999999999</v>
      </c>
      <c r="D60" s="70">
        <v>4.9955384615384631E-2</v>
      </c>
      <c r="E60" s="81">
        <f t="shared" si="0"/>
        <v>5.3419615384615364E-2</v>
      </c>
      <c r="G60" s="90" t="str">
        <f>"[8] Equals "&amp;TEXT(H38,"0.000000")&amp;" + ("&amp;TEXT(H39,"0.000000")&amp;" x Column [7])"</f>
        <v>[8] Equals 0.085454 + (-0.582394 x Column [7])</v>
      </c>
    </row>
    <row r="61" spans="2:12" ht="15" customHeight="1" x14ac:dyDescent="0.2">
      <c r="B61" s="66" t="s">
        <v>1255</v>
      </c>
      <c r="C61" s="81">
        <v>0.10142</v>
      </c>
      <c r="D61" s="70">
        <v>4.7423076923076908E-2</v>
      </c>
      <c r="E61" s="81">
        <f t="shared" si="0"/>
        <v>5.3996923076923088E-2</v>
      </c>
      <c r="G61" s="90" t="s">
        <v>1256</v>
      </c>
    </row>
    <row r="62" spans="2:12" ht="15" customHeight="1" x14ac:dyDescent="0.2">
      <c r="B62" s="66" t="s">
        <v>1257</v>
      </c>
      <c r="C62" s="81">
        <v>0.10518181818181817</v>
      </c>
      <c r="D62" s="70">
        <v>4.7975384615384635E-2</v>
      </c>
      <c r="E62" s="81">
        <f t="shared" si="0"/>
        <v>5.7206433566433533E-2</v>
      </c>
    </row>
    <row r="63" spans="2:12" ht="15" customHeight="1" x14ac:dyDescent="0.2">
      <c r="B63" s="66" t="s">
        <v>1258</v>
      </c>
      <c r="C63" s="81">
        <v>0.10126666666666666</v>
      </c>
      <c r="D63" s="70">
        <v>4.9892307692307715E-2</v>
      </c>
      <c r="E63" s="81">
        <f t="shared" si="0"/>
        <v>5.1374358974358943E-2</v>
      </c>
    </row>
    <row r="64" spans="2:12" ht="15" customHeight="1" x14ac:dyDescent="0.2">
      <c r="B64" s="66" t="s">
        <v>1259</v>
      </c>
      <c r="C64" s="81">
        <v>0.10026249999999999</v>
      </c>
      <c r="D64" s="70">
        <v>4.9499999999999982E-2</v>
      </c>
      <c r="E64" s="81">
        <f t="shared" si="0"/>
        <v>5.0762500000000009E-2</v>
      </c>
    </row>
    <row r="65" spans="2:5" ht="15" customHeight="1" x14ac:dyDescent="0.2">
      <c r="B65" s="66" t="s">
        <v>1260</v>
      </c>
      <c r="C65" s="81">
        <v>0.10117692307692307</v>
      </c>
      <c r="D65" s="70">
        <v>4.6140000000000014E-2</v>
      </c>
      <c r="E65" s="81">
        <f t="shared" si="0"/>
        <v>5.5036923076923053E-2</v>
      </c>
    </row>
    <row r="66" spans="2:5" ht="15" customHeight="1" x14ac:dyDescent="0.2">
      <c r="B66" s="66" t="s">
        <v>1261</v>
      </c>
      <c r="C66" s="81">
        <v>0.10375714285714287</v>
      </c>
      <c r="D66" s="70">
        <v>4.409538461538462E-2</v>
      </c>
      <c r="E66" s="81">
        <f t="shared" si="0"/>
        <v>5.9661758241758248E-2</v>
      </c>
    </row>
    <row r="67" spans="2:5" ht="15" customHeight="1" x14ac:dyDescent="0.2">
      <c r="B67" s="66" t="s">
        <v>1262</v>
      </c>
      <c r="C67" s="81">
        <v>0.10166666666666668</v>
      </c>
      <c r="D67" s="70">
        <v>4.5739999999999996E-2</v>
      </c>
      <c r="E67" s="81">
        <f t="shared" si="0"/>
        <v>5.5926666666666687E-2</v>
      </c>
    </row>
    <row r="68" spans="2:5" ht="15" customHeight="1" x14ac:dyDescent="0.2">
      <c r="B68" s="66" t="s">
        <v>1263</v>
      </c>
      <c r="C68" s="81">
        <v>0.10551111111111111</v>
      </c>
      <c r="D68" s="70">
        <v>4.4501515151515146E-2</v>
      </c>
      <c r="E68" s="81">
        <f t="shared" si="0"/>
        <v>6.1009595959595965E-2</v>
      </c>
    </row>
    <row r="69" spans="2:5" ht="15" customHeight="1" x14ac:dyDescent="0.2">
      <c r="B69" s="66" t="s">
        <v>1264</v>
      </c>
      <c r="C69" s="81">
        <v>0.10338461538461538</v>
      </c>
      <c r="D69" s="70">
        <v>3.6437500000000005E-2</v>
      </c>
      <c r="E69" s="81">
        <f t="shared" si="0"/>
        <v>6.6947115384615369E-2</v>
      </c>
    </row>
    <row r="70" spans="2:5" ht="15" customHeight="1" x14ac:dyDescent="0.2">
      <c r="B70" s="66" t="s">
        <v>1265</v>
      </c>
      <c r="C70" s="81">
        <v>0.10242499999999999</v>
      </c>
      <c r="D70" s="70">
        <v>3.4393749999999994E-2</v>
      </c>
      <c r="E70" s="81">
        <f t="shared" si="0"/>
        <v>6.8031249999999988E-2</v>
      </c>
    </row>
    <row r="71" spans="2:5" ht="15" customHeight="1" x14ac:dyDescent="0.2">
      <c r="B71" s="66" t="s">
        <v>1266</v>
      </c>
      <c r="C71" s="81">
        <v>0.101075</v>
      </c>
      <c r="D71" s="70">
        <v>4.1692307692307695E-2</v>
      </c>
      <c r="E71" s="81">
        <f t="shared" ref="E71:E122" si="2">C71-D71</f>
        <v>5.9382692307692303E-2</v>
      </c>
    </row>
    <row r="72" spans="2:5" ht="15" customHeight="1" x14ac:dyDescent="0.2">
      <c r="B72" s="66" t="s">
        <v>1267</v>
      </c>
      <c r="C72" s="81">
        <v>9.8799999999999999E-2</v>
      </c>
      <c r="D72" s="70">
        <v>4.321666666666666E-2</v>
      </c>
      <c r="E72" s="81">
        <f t="shared" si="2"/>
        <v>5.5583333333333339E-2</v>
      </c>
    </row>
    <row r="73" spans="2:5" ht="15" customHeight="1" x14ac:dyDescent="0.2">
      <c r="B73" s="66" t="s">
        <v>1268</v>
      </c>
      <c r="C73" s="81">
        <v>0.10305000000000003</v>
      </c>
      <c r="D73" s="70">
        <v>4.3392187499999998E-2</v>
      </c>
      <c r="E73" s="81">
        <f t="shared" si="2"/>
        <v>5.9657812500000032E-2</v>
      </c>
    </row>
    <row r="74" spans="2:5" ht="15" customHeight="1" x14ac:dyDescent="0.2">
      <c r="B74" s="66" t="s">
        <v>1269</v>
      </c>
      <c r="C74" s="81">
        <v>0.10236666666666666</v>
      </c>
      <c r="D74" s="70">
        <v>4.6243749999999986E-2</v>
      </c>
      <c r="E74" s="81">
        <f t="shared" si="2"/>
        <v>5.6122916666666675E-2</v>
      </c>
    </row>
    <row r="75" spans="2:5" ht="15" customHeight="1" x14ac:dyDescent="0.2">
      <c r="B75" s="66" t="s">
        <v>1270</v>
      </c>
      <c r="C75" s="81">
        <v>9.985454545454546E-2</v>
      </c>
      <c r="D75" s="70">
        <v>4.3692307692307676E-2</v>
      </c>
      <c r="E75" s="81">
        <f t="shared" si="2"/>
        <v>5.6162237762237784E-2</v>
      </c>
    </row>
    <row r="76" spans="2:5" ht="15" customHeight="1" x14ac:dyDescent="0.2">
      <c r="B76" s="66" t="s">
        <v>1271</v>
      </c>
      <c r="C76" s="81">
        <v>0.10425</v>
      </c>
      <c r="D76" s="70">
        <v>3.8563636363636355E-2</v>
      </c>
      <c r="E76" s="81">
        <f t="shared" si="2"/>
        <v>6.568636363636364E-2</v>
      </c>
    </row>
    <row r="77" spans="2:5" ht="15" customHeight="1" x14ac:dyDescent="0.2">
      <c r="B77" s="66" t="s">
        <v>1272</v>
      </c>
      <c r="C77" s="81">
        <v>0.10092307692307692</v>
      </c>
      <c r="D77" s="70">
        <v>4.1749230769230768E-2</v>
      </c>
      <c r="E77" s="81">
        <f t="shared" si="2"/>
        <v>5.9173846153846153E-2</v>
      </c>
    </row>
    <row r="78" spans="2:5" ht="15" customHeight="1" x14ac:dyDescent="0.2">
      <c r="B78" s="66" t="s">
        <v>1273</v>
      </c>
      <c r="C78" s="81">
        <v>0.10100000000000001</v>
      </c>
      <c r="D78" s="70">
        <v>4.5609374999999994E-2</v>
      </c>
      <c r="E78" s="81">
        <f t="shared" si="2"/>
        <v>5.5390625000000013E-2</v>
      </c>
    </row>
    <row r="79" spans="2:5" ht="15" customHeight="1" x14ac:dyDescent="0.2">
      <c r="B79" s="79" t="s">
        <v>1274</v>
      </c>
      <c r="C79" s="81">
        <v>9.845000000000001E-2</v>
      </c>
      <c r="D79" s="70">
        <v>4.3387692307692308E-2</v>
      </c>
      <c r="E79" s="81">
        <f t="shared" si="2"/>
        <v>5.5062307692307702E-2</v>
      </c>
    </row>
    <row r="80" spans="2:5" ht="15" customHeight="1" x14ac:dyDescent="0.2">
      <c r="B80" s="79" t="s">
        <v>1275</v>
      </c>
      <c r="C80" s="81">
        <v>9.6500000000000002E-2</v>
      </c>
      <c r="D80" s="70">
        <v>3.6960606060606048E-2</v>
      </c>
      <c r="E80" s="81">
        <f t="shared" si="2"/>
        <v>5.9539393939393954E-2</v>
      </c>
    </row>
    <row r="81" spans="2:5" ht="15" customHeight="1" x14ac:dyDescent="0.2">
      <c r="B81" s="79" t="s">
        <v>1276</v>
      </c>
      <c r="C81" s="81">
        <v>9.8750000000000004E-2</v>
      </c>
      <c r="D81" s="70">
        <v>3.0376190476190473E-2</v>
      </c>
      <c r="E81" s="81">
        <f t="shared" si="2"/>
        <v>6.8373809523809531E-2</v>
      </c>
    </row>
    <row r="82" spans="2:5" ht="15" customHeight="1" x14ac:dyDescent="0.2">
      <c r="B82" s="79" t="s">
        <v>1277</v>
      </c>
      <c r="C82" s="81">
        <v>9.6319999999999989E-2</v>
      </c>
      <c r="D82" s="70">
        <v>3.1361538461538462E-2</v>
      </c>
      <c r="E82" s="81">
        <f t="shared" si="2"/>
        <v>6.495846153846152E-2</v>
      </c>
    </row>
    <row r="83" spans="2:5" ht="15" customHeight="1" x14ac:dyDescent="0.2">
      <c r="B83" s="79" t="s">
        <v>1278</v>
      </c>
      <c r="C83" s="81">
        <v>9.8312499999999983E-2</v>
      </c>
      <c r="D83" s="70">
        <v>2.9363076923076922E-2</v>
      </c>
      <c r="E83" s="81">
        <f t="shared" si="2"/>
        <v>6.8949423076923061E-2</v>
      </c>
    </row>
    <row r="84" spans="2:5" ht="15" customHeight="1" x14ac:dyDescent="0.2">
      <c r="B84" s="79" t="s">
        <v>1279</v>
      </c>
      <c r="C84" s="81">
        <v>9.7500000000000003E-2</v>
      </c>
      <c r="D84" s="70">
        <v>2.7429230769230779E-2</v>
      </c>
      <c r="E84" s="81">
        <f t="shared" si="2"/>
        <v>7.0070769230769228E-2</v>
      </c>
    </row>
    <row r="85" spans="2:5" ht="15" customHeight="1" x14ac:dyDescent="0.2">
      <c r="B85" s="79" t="s">
        <v>1280</v>
      </c>
      <c r="C85" s="81">
        <v>0.10055</v>
      </c>
      <c r="D85" s="70">
        <v>2.8639062499999993E-2</v>
      </c>
      <c r="E85" s="81">
        <f t="shared" si="2"/>
        <v>7.1910937500000008E-2</v>
      </c>
    </row>
    <row r="86" spans="2:5" ht="15" customHeight="1" x14ac:dyDescent="0.2">
      <c r="B86" s="79" t="s">
        <v>1281</v>
      </c>
      <c r="C86" s="81">
        <v>9.5666666666666678E-2</v>
      </c>
      <c r="D86" s="70">
        <v>3.1303125000000008E-2</v>
      </c>
      <c r="E86" s="81">
        <f t="shared" si="2"/>
        <v>6.4363541666666663E-2</v>
      </c>
    </row>
    <row r="87" spans="2:5" ht="15" customHeight="1" x14ac:dyDescent="0.2">
      <c r="B87" s="79" t="s">
        <v>1282</v>
      </c>
      <c r="C87" s="81">
        <v>9.4683333333333328E-2</v>
      </c>
      <c r="D87" s="70">
        <v>3.1412307692307684E-2</v>
      </c>
      <c r="E87" s="81">
        <f t="shared" si="2"/>
        <v>6.3271025641025644E-2</v>
      </c>
    </row>
    <row r="88" spans="2:5" ht="15" customHeight="1" x14ac:dyDescent="0.2">
      <c r="B88" s="79" t="s">
        <v>1283</v>
      </c>
      <c r="C88" s="81">
        <v>9.6000000000000002E-2</v>
      </c>
      <c r="D88" s="70">
        <v>3.7107575757575756E-2</v>
      </c>
      <c r="E88" s="81">
        <f t="shared" si="2"/>
        <v>5.8892424242424246E-2</v>
      </c>
    </row>
    <row r="89" spans="2:5" ht="15" customHeight="1" x14ac:dyDescent="0.2">
      <c r="B89" s="79" t="s">
        <v>1284</v>
      </c>
      <c r="C89" s="81">
        <v>9.8290909090909082E-2</v>
      </c>
      <c r="D89" s="70">
        <v>3.7882812500000008E-2</v>
      </c>
      <c r="E89" s="81">
        <f t="shared" si="2"/>
        <v>6.0408096590909073E-2</v>
      </c>
    </row>
    <row r="90" spans="2:5" ht="15" customHeight="1" x14ac:dyDescent="0.2">
      <c r="B90" s="79" t="s">
        <v>1285</v>
      </c>
      <c r="C90" s="81">
        <v>9.5416666666666664E-2</v>
      </c>
      <c r="D90" s="70">
        <v>3.6903125000000009E-2</v>
      </c>
      <c r="E90" s="81">
        <f t="shared" si="2"/>
        <v>5.8513541666666655E-2</v>
      </c>
    </row>
    <row r="91" spans="2:5" ht="15" customHeight="1" x14ac:dyDescent="0.2">
      <c r="B91" s="79" t="s">
        <v>1286</v>
      </c>
      <c r="C91" s="81">
        <v>9.8362499999999992E-2</v>
      </c>
      <c r="D91" s="70">
        <v>3.4430769230769237E-2</v>
      </c>
      <c r="E91" s="81">
        <f t="shared" si="2"/>
        <v>6.3931730769230755E-2</v>
      </c>
    </row>
    <row r="92" spans="2:5" ht="15" customHeight="1" x14ac:dyDescent="0.2">
      <c r="B92" s="79" t="s">
        <v>1287</v>
      </c>
      <c r="C92" s="81">
        <v>9.4500000000000015E-2</v>
      </c>
      <c r="D92" s="70">
        <v>3.2657575757575753E-2</v>
      </c>
      <c r="E92" s="81">
        <f t="shared" si="2"/>
        <v>6.1842424242424261E-2</v>
      </c>
    </row>
    <row r="93" spans="2:5" ht="15" customHeight="1" x14ac:dyDescent="0.2">
      <c r="B93" s="79" t="s">
        <v>1288</v>
      </c>
      <c r="C93" s="81">
        <v>0.10283333333333333</v>
      </c>
      <c r="D93" s="70">
        <v>2.9637499999999997E-2</v>
      </c>
      <c r="E93" s="81">
        <f t="shared" si="2"/>
        <v>7.3195833333333335E-2</v>
      </c>
    </row>
    <row r="94" spans="2:5" ht="15" customHeight="1" x14ac:dyDescent="0.2">
      <c r="B94" s="79" t="s">
        <v>1289</v>
      </c>
      <c r="C94" s="81">
        <v>9.4666666666666677E-2</v>
      </c>
      <c r="D94" s="70">
        <v>2.5540625000000004E-2</v>
      </c>
      <c r="E94" s="81">
        <f t="shared" si="2"/>
        <v>6.9126041666666665E-2</v>
      </c>
    </row>
    <row r="95" spans="2:5" ht="15" customHeight="1" x14ac:dyDescent="0.2">
      <c r="B95" s="79" t="s">
        <v>1290</v>
      </c>
      <c r="C95" s="81">
        <v>9.4333333333333338E-2</v>
      </c>
      <c r="D95" s="70">
        <v>2.8836923076923083E-2</v>
      </c>
      <c r="E95" s="81">
        <f t="shared" si="2"/>
        <v>6.5496410256410259E-2</v>
      </c>
    </row>
    <row r="96" spans="2:5" ht="15" customHeight="1" x14ac:dyDescent="0.2">
      <c r="B96" s="79" t="s">
        <v>1291</v>
      </c>
      <c r="C96" s="81">
        <v>9.7500000000000003E-2</v>
      </c>
      <c r="D96" s="70">
        <v>2.9624242424242438E-2</v>
      </c>
      <c r="E96" s="81">
        <f t="shared" si="2"/>
        <v>6.7875757575757562E-2</v>
      </c>
    </row>
    <row r="97" spans="2:5" ht="15" customHeight="1" x14ac:dyDescent="0.2">
      <c r="B97" s="79" t="s">
        <v>1292</v>
      </c>
      <c r="C97" s="81">
        <v>9.6777777777777768E-2</v>
      </c>
      <c r="D97" s="70">
        <v>2.9630303030303028E-2</v>
      </c>
      <c r="E97" s="81">
        <f t="shared" si="2"/>
        <v>6.7147474747474734E-2</v>
      </c>
    </row>
    <row r="98" spans="2:5" ht="15" customHeight="1" x14ac:dyDescent="0.2">
      <c r="B98" s="79" t="s">
        <v>1293</v>
      </c>
      <c r="C98" s="81">
        <v>9.4833333333333325E-2</v>
      </c>
      <c r="D98" s="70">
        <v>2.7218461538461539E-2</v>
      </c>
      <c r="E98" s="81">
        <f t="shared" si="2"/>
        <v>6.7614871794871786E-2</v>
      </c>
    </row>
    <row r="99" spans="2:5" ht="15" customHeight="1" x14ac:dyDescent="0.2">
      <c r="B99" s="79" t="s">
        <v>1294</v>
      </c>
      <c r="C99" s="81">
        <v>9.4149999999999998E-2</v>
      </c>
      <c r="D99" s="70">
        <v>2.5672307692307696E-2</v>
      </c>
      <c r="E99" s="81">
        <f t="shared" si="2"/>
        <v>6.8477692307692295E-2</v>
      </c>
    </row>
    <row r="100" spans="2:5" ht="15" customHeight="1" x14ac:dyDescent="0.2">
      <c r="B100" s="79" t="s">
        <v>1295</v>
      </c>
      <c r="C100" s="81">
        <v>9.4649999999999984E-2</v>
      </c>
      <c r="D100" s="70">
        <v>2.2793939393939398E-2</v>
      </c>
      <c r="E100" s="81">
        <f t="shared" si="2"/>
        <v>7.185606060606059E-2</v>
      </c>
    </row>
    <row r="101" spans="2:5" ht="15" customHeight="1" x14ac:dyDescent="0.2">
      <c r="B101" s="79" t="s">
        <v>1296</v>
      </c>
      <c r="C101" s="81">
        <v>9.6722222222222209E-2</v>
      </c>
      <c r="D101" s="70">
        <v>2.8333846153846154E-2</v>
      </c>
      <c r="E101" s="81">
        <f t="shared" si="2"/>
        <v>6.8388376068376056E-2</v>
      </c>
    </row>
    <row r="102" spans="2:5" ht="15" customHeight="1" x14ac:dyDescent="0.2">
      <c r="B102" s="79" t="s">
        <v>1297</v>
      </c>
      <c r="C102" s="81">
        <v>9.6000000000000016E-2</v>
      </c>
      <c r="D102" s="70">
        <v>3.0452307692307709E-2</v>
      </c>
      <c r="E102" s="81">
        <f t="shared" si="2"/>
        <v>6.5547692307692307E-2</v>
      </c>
    </row>
    <row r="103" spans="2:5" ht="15" customHeight="1" x14ac:dyDescent="0.2">
      <c r="B103" s="79" t="s">
        <v>1298</v>
      </c>
      <c r="C103" s="81">
        <v>9.4714285714285709E-2</v>
      </c>
      <c r="D103" s="70">
        <v>2.8972307692307693E-2</v>
      </c>
      <c r="E103" s="81">
        <f t="shared" si="2"/>
        <v>6.5741978021978009E-2</v>
      </c>
    </row>
    <row r="104" spans="2:5" ht="15" customHeight="1" x14ac:dyDescent="0.2">
      <c r="B104" s="79" t="s">
        <v>1299</v>
      </c>
      <c r="C104" s="81">
        <v>0.10138333333333333</v>
      </c>
      <c r="D104" s="70">
        <v>2.8173846153846157E-2</v>
      </c>
      <c r="E104" s="81">
        <f t="shared" si="2"/>
        <v>7.3209487179487165E-2</v>
      </c>
    </row>
    <row r="105" spans="2:5" ht="15" customHeight="1" x14ac:dyDescent="0.2">
      <c r="B105" s="79" t="s">
        <v>1300</v>
      </c>
      <c r="C105" s="81">
        <v>9.6999999999999989E-2</v>
      </c>
      <c r="D105" s="70">
        <v>2.817384615384615E-2</v>
      </c>
      <c r="E105" s="81">
        <f t="shared" si="2"/>
        <v>6.8826153846153842E-2</v>
      </c>
    </row>
    <row r="106" spans="2:5" ht="15" customHeight="1" x14ac:dyDescent="0.2">
      <c r="B106" s="79" t="s">
        <v>1301</v>
      </c>
      <c r="C106" s="81">
        <v>9.6816666666666662E-2</v>
      </c>
      <c r="D106" s="70">
        <v>3.0235384615384615E-2</v>
      </c>
      <c r="E106" s="81">
        <f t="shared" si="2"/>
        <v>6.6581282051282054E-2</v>
      </c>
    </row>
    <row r="107" spans="2:5" ht="15" customHeight="1" x14ac:dyDescent="0.2">
      <c r="B107" s="79" t="s">
        <v>1302</v>
      </c>
      <c r="C107" s="81">
        <v>9.4285714285714292E-2</v>
      </c>
      <c r="D107" s="70">
        <v>3.0853846153846162E-2</v>
      </c>
      <c r="E107" s="81">
        <f t="shared" si="2"/>
        <v>6.343186813186813E-2</v>
      </c>
    </row>
    <row r="108" spans="2:5" ht="15" customHeight="1" x14ac:dyDescent="0.2">
      <c r="B108" s="79" t="s">
        <v>1303</v>
      </c>
      <c r="C108" s="81">
        <v>9.7108333333333338E-2</v>
      </c>
      <c r="D108" s="70">
        <v>3.0607692307692315E-2</v>
      </c>
      <c r="E108" s="81">
        <f t="shared" si="2"/>
        <v>6.6500641025641016E-2</v>
      </c>
    </row>
    <row r="109" spans="2:5" ht="15" customHeight="1" x14ac:dyDescent="0.2">
      <c r="B109" s="79" t="s">
        <v>1304</v>
      </c>
      <c r="C109" s="81">
        <v>9.5307142857142854E-2</v>
      </c>
      <c r="D109" s="70">
        <v>3.26939393939394E-2</v>
      </c>
      <c r="E109" s="81">
        <f t="shared" si="2"/>
        <v>6.2613203463203454E-2</v>
      </c>
    </row>
    <row r="110" spans="2:5" ht="15" customHeight="1" x14ac:dyDescent="0.2">
      <c r="B110" s="79" t="s">
        <v>1305</v>
      </c>
      <c r="C110" s="81">
        <v>9.5500000000000002E-2</v>
      </c>
      <c r="D110" s="70">
        <v>3.0129687499999998E-2</v>
      </c>
      <c r="E110" s="81">
        <f t="shared" si="2"/>
        <v>6.53703125E-2</v>
      </c>
    </row>
    <row r="111" spans="2:5" ht="15" customHeight="1" x14ac:dyDescent="0.2">
      <c r="B111" s="79" t="s">
        <v>1306</v>
      </c>
      <c r="C111" s="81">
        <v>9.7266666666666668E-2</v>
      </c>
      <c r="D111" s="70">
        <v>2.7836923076923075E-2</v>
      </c>
      <c r="E111" s="81">
        <f t="shared" si="2"/>
        <v>6.9429743589743589E-2</v>
      </c>
    </row>
    <row r="112" spans="2:5" ht="15" customHeight="1" x14ac:dyDescent="0.2">
      <c r="B112" s="79" t="s">
        <v>1307</v>
      </c>
      <c r="C112" s="81">
        <v>9.9500000000000005E-2</v>
      </c>
      <c r="D112" s="70">
        <v>2.2849999999999995E-2</v>
      </c>
      <c r="E112" s="81">
        <f t="shared" si="2"/>
        <v>7.665000000000001E-2</v>
      </c>
    </row>
    <row r="113" spans="2:5" ht="15" customHeight="1" x14ac:dyDescent="0.2">
      <c r="B113" s="79" t="s">
        <v>1308</v>
      </c>
      <c r="C113" s="81">
        <v>9.7309523809523846E-2</v>
      </c>
      <c r="D113" s="70">
        <v>2.2566666666666676E-2</v>
      </c>
      <c r="E113" s="81">
        <f t="shared" si="2"/>
        <v>7.4742857142857166E-2</v>
      </c>
    </row>
    <row r="114" spans="2:5" ht="15" customHeight="1" x14ac:dyDescent="0.2">
      <c r="B114" s="79" t="s">
        <v>1309</v>
      </c>
      <c r="C114" s="81">
        <v>9.3522222222222229E-2</v>
      </c>
      <c r="D114" s="70">
        <v>1.8878461538461538E-2</v>
      </c>
      <c r="E114" s="81">
        <f t="shared" si="2"/>
        <v>7.464376068376069E-2</v>
      </c>
    </row>
    <row r="115" spans="2:5" ht="15" customHeight="1" x14ac:dyDescent="0.2">
      <c r="B115" s="79" t="s">
        <v>1310</v>
      </c>
      <c r="C115" s="81">
        <v>9.5499999999999988E-2</v>
      </c>
      <c r="D115" s="70">
        <v>1.3801538461538454E-2</v>
      </c>
      <c r="E115" s="81">
        <f t="shared" si="2"/>
        <v>8.1698461538461539E-2</v>
      </c>
    </row>
    <row r="116" spans="2:5" ht="15" customHeight="1" x14ac:dyDescent="0.2">
      <c r="B116" s="79">
        <v>2020.3</v>
      </c>
      <c r="C116" s="81">
        <v>9.5187500000000008E-2</v>
      </c>
      <c r="D116" s="70">
        <v>1.3654545454545457E-2</v>
      </c>
      <c r="E116" s="81">
        <f t="shared" si="2"/>
        <v>8.1532954545454547E-2</v>
      </c>
    </row>
    <row r="117" spans="2:5" ht="15" customHeight="1" x14ac:dyDescent="0.2">
      <c r="B117" s="79">
        <v>2020.4</v>
      </c>
      <c r="C117" s="81">
        <v>9.4735714285714298E-2</v>
      </c>
      <c r="D117" s="70">
        <v>1.6210606060606054E-2</v>
      </c>
      <c r="E117" s="81">
        <f t="shared" si="2"/>
        <v>7.8525108225108248E-2</v>
      </c>
    </row>
    <row r="118" spans="2:5" ht="15" customHeight="1" x14ac:dyDescent="0.2">
      <c r="B118" s="79">
        <v>2021.1</v>
      </c>
      <c r="C118" s="81">
        <v>9.708E-2</v>
      </c>
      <c r="D118" s="70">
        <v>2.0748437499999998E-2</v>
      </c>
      <c r="E118" s="81">
        <f t="shared" si="2"/>
        <v>7.6331562500000005E-2</v>
      </c>
    </row>
    <row r="119" spans="2:5" ht="15" customHeight="1" x14ac:dyDescent="0.2">
      <c r="B119" s="79">
        <v>2021.2</v>
      </c>
      <c r="C119" s="81">
        <v>9.4783333333333331E-2</v>
      </c>
      <c r="D119" s="70">
        <v>2.2579999999999996E-2</v>
      </c>
      <c r="E119" s="81">
        <f t="shared" si="2"/>
        <v>7.2203333333333342E-2</v>
      </c>
    </row>
    <row r="120" spans="2:5" ht="15" customHeight="1" x14ac:dyDescent="0.2">
      <c r="B120" s="79">
        <v>2021.3</v>
      </c>
      <c r="C120" s="81">
        <v>9.3959999999999974E-2</v>
      </c>
      <c r="D120" s="70">
        <v>1.9333333333333327E-2</v>
      </c>
      <c r="E120" s="81">
        <f t="shared" si="2"/>
        <v>7.4626666666666647E-2</v>
      </c>
    </row>
    <row r="121" spans="2:5" ht="15" customHeight="1" x14ac:dyDescent="0.2">
      <c r="B121" s="79">
        <v>2021.4</v>
      </c>
      <c r="C121" s="81">
        <v>9.5937500000000023E-2</v>
      </c>
      <c r="D121" s="81">
        <v>1.9479687499999995E-2</v>
      </c>
      <c r="E121" s="81">
        <f t="shared" si="2"/>
        <v>7.6457812500000027E-2</v>
      </c>
    </row>
    <row r="122" spans="2:5" ht="15" customHeight="1" x14ac:dyDescent="0.2">
      <c r="B122" s="79">
        <v>2022.1</v>
      </c>
      <c r="C122" s="72">
        <v>9.3749999999999986E-2</v>
      </c>
      <c r="D122" s="72">
        <v>2.2546031746031748E-2</v>
      </c>
      <c r="E122" s="72">
        <f t="shared" si="2"/>
        <v>7.1203968253968242E-2</v>
      </c>
    </row>
    <row r="123" spans="2:5" ht="15" customHeight="1" x14ac:dyDescent="0.2">
      <c r="B123" s="91" t="s">
        <v>1237</v>
      </c>
      <c r="C123" s="92">
        <f>AVERAGE(C6:C122)</f>
        <v>0.10435710682479915</v>
      </c>
      <c r="D123" s="92">
        <f t="shared" ref="D123:E123" si="3">AVERAGE(D6:D122)</f>
        <v>4.526518423247821E-2</v>
      </c>
      <c r="E123" s="92">
        <f t="shared" si="3"/>
        <v>5.909192259232092E-2</v>
      </c>
    </row>
    <row r="124" spans="2:5" ht="15" customHeight="1" thickBot="1" x14ac:dyDescent="0.25">
      <c r="B124" s="93" t="s">
        <v>1311</v>
      </c>
      <c r="C124" s="94">
        <f>MEDIAN(C6:C122)</f>
        <v>0.10337499999999999</v>
      </c>
      <c r="D124" s="94">
        <f t="shared" ref="D124:E124" si="4">MEDIAN(D6:D122)</f>
        <v>4.6032307692307678E-2</v>
      </c>
      <c r="E124" s="94">
        <f t="shared" si="4"/>
        <v>5.9429687500000009E-2</v>
      </c>
    </row>
  </sheetData>
  <mergeCells count="1">
    <mergeCell ref="B2:E2"/>
  </mergeCells>
  <printOptions horizontalCentered="1"/>
  <pageMargins left="0.7" right="0.7" top="0.75" bottom="0.75" header="0.3" footer="0.3"/>
  <pageSetup scale="52" orientation="landscape" useFirstPageNumber="1" horizontalDpi="1200" verticalDpi="1200" r:id="rId1"/>
  <headerFooter scaleWithDoc="0">
    <oddHeader>&amp;C&amp;8Exhibit AEB 1.1, Schedule 7
Utility: MidAmerican Energy Company
Docket No. NG22-___</oddHeader>
    <oddFooter>&amp;C&amp;8Exhibit AEB 1.1, Schedule 7
Page &amp;P of &amp;N</oddFooter>
  </headerFooter>
  <rowBreaks count="1" manualBreakCount="1">
    <brk id="61" min="1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pageSetUpPr autoPageBreaks="0"/>
  </sheetPr>
  <dimension ref="B2:G60"/>
  <sheetViews>
    <sheetView view="pageLayout" zoomScaleNormal="100" workbookViewId="0">
      <selection activeCell="A4" sqref="A4"/>
    </sheetView>
  </sheetViews>
  <sheetFormatPr defaultColWidth="8.7109375" defaultRowHeight="15" customHeight="1" x14ac:dyDescent="0.25"/>
  <cols>
    <col min="1" max="1" width="8.7109375" style="21"/>
    <col min="2" max="2" width="30.7109375" style="21" customWidth="1"/>
    <col min="3" max="5" width="8.7109375" style="21"/>
    <col min="6" max="6" width="16.140625" style="21" customWidth="1"/>
    <col min="7" max="7" width="21.28515625" style="21" customWidth="1"/>
    <col min="8" max="16384" width="8.7109375" style="21"/>
  </cols>
  <sheetData>
    <row r="2" spans="2:7" ht="15" customHeight="1" x14ac:dyDescent="0.2">
      <c r="B2" s="228" t="s">
        <v>1312</v>
      </c>
      <c r="C2" s="191"/>
      <c r="D2" s="191"/>
      <c r="E2" s="191"/>
      <c r="F2" s="191"/>
      <c r="G2" s="191"/>
    </row>
    <row r="3" spans="2:7" ht="15" customHeight="1" x14ac:dyDescent="0.2">
      <c r="B3" s="192"/>
      <c r="C3" s="192"/>
      <c r="D3" s="192"/>
      <c r="E3" s="192"/>
      <c r="F3" s="192"/>
      <c r="G3" s="192"/>
    </row>
    <row r="4" spans="2:7" ht="15" customHeight="1" x14ac:dyDescent="0.2">
      <c r="B4" s="191" t="s">
        <v>1313</v>
      </c>
      <c r="C4" s="191"/>
      <c r="D4" s="191"/>
      <c r="E4" s="191"/>
      <c r="F4" s="191"/>
      <c r="G4" s="191"/>
    </row>
    <row r="5" spans="2:7" ht="15" customHeight="1" x14ac:dyDescent="0.2">
      <c r="B5" s="192"/>
      <c r="C5" s="192"/>
      <c r="D5" s="192"/>
      <c r="E5" s="192"/>
      <c r="F5" s="192"/>
      <c r="G5" s="192"/>
    </row>
    <row r="6" spans="2:7" ht="15" customHeight="1" thickBot="1" x14ac:dyDescent="0.25">
      <c r="B6" s="192"/>
      <c r="C6" s="192"/>
      <c r="D6" s="192"/>
      <c r="E6" s="192"/>
      <c r="F6" s="193" t="s">
        <v>85</v>
      </c>
      <c r="G6" s="193" t="s">
        <v>86</v>
      </c>
    </row>
    <row r="7" spans="2:7" ht="15" customHeight="1" x14ac:dyDescent="0.2">
      <c r="B7" s="194"/>
      <c r="C7" s="194"/>
      <c r="D7" s="194"/>
      <c r="E7" s="194"/>
      <c r="F7" s="195" t="s">
        <v>120</v>
      </c>
      <c r="G7" s="194"/>
    </row>
    <row r="8" spans="2:7" ht="15" customHeight="1" x14ac:dyDescent="0.2">
      <c r="B8" s="192"/>
      <c r="C8" s="192"/>
      <c r="D8" s="192"/>
      <c r="E8" s="192"/>
      <c r="F8" s="196" t="s">
        <v>128</v>
      </c>
      <c r="G8" s="196" t="s">
        <v>1314</v>
      </c>
    </row>
    <row r="9" spans="2:7" ht="15" customHeight="1" x14ac:dyDescent="0.2">
      <c r="B9" s="197" t="s">
        <v>37</v>
      </c>
      <c r="C9" s="197"/>
      <c r="D9" s="197"/>
      <c r="E9" s="198" t="s">
        <v>91</v>
      </c>
      <c r="F9" s="198" t="s">
        <v>1315</v>
      </c>
      <c r="G9" s="198" t="s">
        <v>1316</v>
      </c>
    </row>
    <row r="10" spans="2:7" ht="15" customHeight="1" x14ac:dyDescent="0.2">
      <c r="B10" s="191"/>
      <c r="C10" s="191"/>
      <c r="D10" s="191"/>
      <c r="E10" s="196"/>
      <c r="F10" s="196"/>
      <c r="G10" s="196"/>
    </row>
    <row r="11" spans="2:7" ht="15" customHeight="1" x14ac:dyDescent="0.2">
      <c r="B11" s="199" t="s">
        <v>49</v>
      </c>
      <c r="C11" s="192"/>
      <c r="D11" s="192"/>
      <c r="E11" s="200" t="s">
        <v>50</v>
      </c>
      <c r="F11" s="201">
        <v>15.307594260663668</v>
      </c>
      <c r="G11" s="201">
        <v>1.8465164147820348</v>
      </c>
    </row>
    <row r="12" spans="2:7" ht="15" customHeight="1" x14ac:dyDescent="0.2">
      <c r="B12" s="199" t="s">
        <v>51</v>
      </c>
      <c r="C12" s="192"/>
      <c r="D12" s="192"/>
      <c r="E12" s="200" t="s">
        <v>52</v>
      </c>
      <c r="F12" s="201">
        <v>4.2056322204946675</v>
      </c>
      <c r="G12" s="201">
        <v>2.446896604542014</v>
      </c>
    </row>
    <row r="13" spans="2:7" ht="15" customHeight="1" x14ac:dyDescent="0.2">
      <c r="B13" s="199" t="s">
        <v>53</v>
      </c>
      <c r="C13" s="192"/>
      <c r="D13" s="192"/>
      <c r="E13" s="200" t="s">
        <v>54</v>
      </c>
      <c r="F13" s="201">
        <v>12.095067158359999</v>
      </c>
      <c r="G13" s="201">
        <v>2.2594744673900853</v>
      </c>
    </row>
    <row r="14" spans="2:7" ht="15" customHeight="1" x14ac:dyDescent="0.2">
      <c r="B14" s="199" t="s">
        <v>55</v>
      </c>
      <c r="C14" s="192"/>
      <c r="D14" s="192"/>
      <c r="E14" s="200" t="s">
        <v>56</v>
      </c>
      <c r="F14" s="201">
        <v>1.647141748812667</v>
      </c>
      <c r="G14" s="201">
        <v>1.7601476180509965</v>
      </c>
    </row>
    <row r="15" spans="2:7" ht="15" customHeight="1" x14ac:dyDescent="0.2">
      <c r="B15" s="199" t="s">
        <v>1317</v>
      </c>
      <c r="C15" s="192"/>
      <c r="D15" s="192"/>
      <c r="E15" s="200" t="s">
        <v>58</v>
      </c>
      <c r="F15" s="201">
        <v>4.4999520965266653</v>
      </c>
      <c r="G15" s="201">
        <v>1.9177017061538635</v>
      </c>
    </row>
    <row r="16" spans="2:7" ht="15" customHeight="1" x14ac:dyDescent="0.2">
      <c r="B16" s="199" t="s">
        <v>59</v>
      </c>
      <c r="C16" s="192"/>
      <c r="D16" s="192"/>
      <c r="E16" s="200" t="s">
        <v>60</v>
      </c>
      <c r="F16" s="201">
        <v>3.5017991838113334</v>
      </c>
      <c r="G16" s="201">
        <v>1.4421598604994912</v>
      </c>
    </row>
    <row r="17" spans="2:7" ht="15" customHeight="1" x14ac:dyDescent="0.2">
      <c r="B17" s="202"/>
      <c r="C17" s="192"/>
      <c r="D17" s="192"/>
      <c r="E17" s="200"/>
      <c r="F17" s="201"/>
      <c r="G17" s="201"/>
    </row>
    <row r="18" spans="2:7" ht="15" customHeight="1" x14ac:dyDescent="0.2">
      <c r="B18" s="203" t="s">
        <v>1147</v>
      </c>
      <c r="C18" s="203"/>
      <c r="D18" s="203"/>
      <c r="E18" s="204"/>
      <c r="F18" s="205">
        <f>AVERAGE(F11:F16)</f>
        <v>6.8761977781115</v>
      </c>
      <c r="G18" s="205">
        <f>AVERAGE(G11:G16)</f>
        <v>1.9454827785697475</v>
      </c>
    </row>
    <row r="19" spans="2:7" ht="15" customHeight="1" thickBot="1" x14ac:dyDescent="0.25">
      <c r="B19" s="206" t="s">
        <v>14</v>
      </c>
      <c r="C19" s="206"/>
      <c r="D19" s="206"/>
      <c r="E19" s="207"/>
      <c r="F19" s="208">
        <f>MEDIAN(F11:F16)</f>
        <v>4.3527921585106668</v>
      </c>
      <c r="G19" s="208">
        <f>MEDIAN(G11:G16)</f>
        <v>1.8821090604679491</v>
      </c>
    </row>
    <row r="20" spans="2:7" ht="15" customHeight="1" x14ac:dyDescent="0.2">
      <c r="B20" s="192"/>
      <c r="C20" s="192"/>
      <c r="D20" s="192"/>
      <c r="E20" s="192"/>
      <c r="F20" s="192"/>
      <c r="G20" s="192"/>
    </row>
    <row r="21" spans="2:7" ht="15" customHeight="1" x14ac:dyDescent="0.2">
      <c r="B21" s="192"/>
      <c r="C21" s="192"/>
      <c r="D21" s="192"/>
      <c r="E21" s="192"/>
      <c r="F21" s="192"/>
      <c r="G21" s="192"/>
    </row>
    <row r="22" spans="2:7" ht="15" customHeight="1" x14ac:dyDescent="0.2">
      <c r="B22" s="192" t="s">
        <v>1318</v>
      </c>
      <c r="C22" s="192"/>
      <c r="D22" s="192"/>
      <c r="E22" s="192"/>
      <c r="F22" s="192"/>
      <c r="G22" s="209"/>
    </row>
    <row r="23" spans="2:7" ht="15" customHeight="1" x14ac:dyDescent="0.2">
      <c r="B23" s="210" t="s">
        <v>1319</v>
      </c>
      <c r="C23" s="192"/>
      <c r="D23" s="192"/>
      <c r="E23" s="192"/>
      <c r="F23" s="192"/>
      <c r="G23" s="209">
        <v>81.2</v>
      </c>
    </row>
    <row r="24" spans="2:7" ht="15" customHeight="1" x14ac:dyDescent="0.2">
      <c r="B24" s="210" t="s">
        <v>1320</v>
      </c>
      <c r="C24" s="211"/>
      <c r="D24" s="211"/>
      <c r="E24" s="211"/>
      <c r="F24" s="211"/>
      <c r="G24" s="261">
        <f>G23*G19</f>
        <v>152.82725570999747</v>
      </c>
    </row>
    <row r="25" spans="2:7" ht="15" customHeight="1" x14ac:dyDescent="0.2">
      <c r="B25" s="212" t="s">
        <v>1321</v>
      </c>
      <c r="C25" s="192"/>
      <c r="D25" s="192"/>
      <c r="E25" s="192"/>
      <c r="F25" s="192"/>
      <c r="G25" s="213">
        <f>G24/(F19*1000)</f>
        <v>3.5110166105952599E-2</v>
      </c>
    </row>
    <row r="26" spans="2:7" ht="15" customHeight="1" x14ac:dyDescent="0.2">
      <c r="B26" s="212"/>
      <c r="C26" s="192"/>
      <c r="D26" s="192"/>
      <c r="E26" s="192"/>
      <c r="F26" s="192"/>
      <c r="G26" s="192"/>
    </row>
    <row r="27" spans="2:7" ht="15" customHeight="1" x14ac:dyDescent="0.2">
      <c r="B27" s="192"/>
      <c r="C27" s="192"/>
      <c r="D27" s="192"/>
      <c r="E27" s="192"/>
      <c r="F27" s="192"/>
      <c r="G27" s="192"/>
    </row>
    <row r="28" spans="2:7" ht="15" customHeight="1" x14ac:dyDescent="0.2">
      <c r="B28" s="191" t="s">
        <v>1322</v>
      </c>
      <c r="C28" s="191"/>
      <c r="D28" s="191"/>
      <c r="E28" s="191"/>
      <c r="F28" s="191"/>
      <c r="G28" s="191"/>
    </row>
    <row r="29" spans="2:7" ht="15" customHeight="1" x14ac:dyDescent="0.2">
      <c r="B29" s="191"/>
      <c r="C29" s="191"/>
      <c r="D29" s="191"/>
      <c r="E29" s="191"/>
      <c r="F29" s="191"/>
      <c r="G29" s="191"/>
    </row>
    <row r="30" spans="2:7" ht="15" customHeight="1" thickBot="1" x14ac:dyDescent="0.25">
      <c r="B30" s="192"/>
      <c r="C30" s="192"/>
      <c r="D30" s="192"/>
      <c r="E30" s="192"/>
      <c r="F30" s="193" t="s">
        <v>89</v>
      </c>
      <c r="G30" s="193" t="s">
        <v>90</v>
      </c>
    </row>
    <row r="31" spans="2:7" ht="15" customHeight="1" x14ac:dyDescent="0.2">
      <c r="B31" s="194"/>
      <c r="C31" s="194"/>
      <c r="D31" s="194"/>
      <c r="E31" s="194"/>
      <c r="F31" s="214" t="s">
        <v>120</v>
      </c>
      <c r="G31" s="215"/>
    </row>
    <row r="32" spans="2:7" ht="15" customHeight="1" x14ac:dyDescent="0.2">
      <c r="B32" s="192"/>
      <c r="C32" s="192"/>
      <c r="D32" s="192"/>
      <c r="E32" s="192"/>
      <c r="F32" s="216" t="s">
        <v>128</v>
      </c>
      <c r="G32" s="217"/>
    </row>
    <row r="33" spans="2:7" ht="15" customHeight="1" x14ac:dyDescent="0.2">
      <c r="B33" s="192"/>
      <c r="C33" s="192"/>
      <c r="D33" s="192"/>
      <c r="E33" s="192"/>
      <c r="F33" s="216" t="s">
        <v>1323</v>
      </c>
      <c r="G33" s="217"/>
    </row>
    <row r="34" spans="2:7" ht="15" customHeight="1" x14ac:dyDescent="0.2">
      <c r="B34" s="192"/>
      <c r="C34" s="192"/>
      <c r="D34" s="192"/>
      <c r="E34" s="192"/>
      <c r="F34" s="216" t="s">
        <v>37</v>
      </c>
      <c r="G34" s="216" t="s">
        <v>1324</v>
      </c>
    </row>
    <row r="35" spans="2:7" ht="15" customHeight="1" x14ac:dyDescent="0.2">
      <c r="B35" s="218" t="s">
        <v>1325</v>
      </c>
      <c r="C35" s="218"/>
      <c r="D35" s="218"/>
      <c r="E35" s="218"/>
      <c r="F35" s="219" t="s">
        <v>1326</v>
      </c>
      <c r="G35" s="219" t="s">
        <v>1227</v>
      </c>
    </row>
    <row r="36" spans="2:7" ht="15" customHeight="1" x14ac:dyDescent="0.2">
      <c r="B36" s="211" t="s">
        <v>1327</v>
      </c>
      <c r="C36" s="192"/>
      <c r="D36" s="192"/>
      <c r="E36" s="192"/>
      <c r="F36" s="262">
        <v>2324390.219</v>
      </c>
      <c r="G36" s="220">
        <v>-2.2000000000000001E-3</v>
      </c>
    </row>
    <row r="37" spans="2:7" ht="15" customHeight="1" x14ac:dyDescent="0.2">
      <c r="B37" s="211">
        <v>2</v>
      </c>
      <c r="C37" s="192"/>
      <c r="D37" s="192"/>
      <c r="E37" s="192"/>
      <c r="F37" s="263">
        <v>36099.220999999998</v>
      </c>
      <c r="G37" s="220">
        <v>4.3E-3</v>
      </c>
    </row>
    <row r="38" spans="2:7" ht="15" customHeight="1" x14ac:dyDescent="0.2">
      <c r="B38" s="211">
        <v>3</v>
      </c>
      <c r="C38" s="192"/>
      <c r="D38" s="192"/>
      <c r="E38" s="192"/>
      <c r="F38" s="263">
        <v>16738.364000000001</v>
      </c>
      <c r="G38" s="220">
        <v>5.4999999999999997E-3</v>
      </c>
    </row>
    <row r="39" spans="2:7" ht="15" customHeight="1" x14ac:dyDescent="0.2">
      <c r="B39" s="211">
        <v>4</v>
      </c>
      <c r="C39" s="192"/>
      <c r="D39" s="192"/>
      <c r="E39" s="192"/>
      <c r="F39" s="263">
        <v>8212.6380000000008</v>
      </c>
      <c r="G39" s="220">
        <v>5.4000000000000003E-3</v>
      </c>
    </row>
    <row r="40" spans="2:7" ht="15" customHeight="1" x14ac:dyDescent="0.2">
      <c r="B40" s="211">
        <v>5</v>
      </c>
      <c r="C40" s="192"/>
      <c r="D40" s="192"/>
      <c r="E40" s="192"/>
      <c r="F40" s="263">
        <v>5003.7470000000003</v>
      </c>
      <c r="G40" s="220">
        <v>8.8999999999999999E-3</v>
      </c>
    </row>
    <row r="41" spans="2:7" ht="15" customHeight="1" x14ac:dyDescent="0.2">
      <c r="B41" s="211">
        <v>6</v>
      </c>
      <c r="C41" s="192"/>
      <c r="D41" s="192"/>
      <c r="E41" s="192"/>
      <c r="F41" s="263">
        <v>3276.5529999999999</v>
      </c>
      <c r="G41" s="220">
        <v>1.18E-2</v>
      </c>
    </row>
    <row r="42" spans="2:7" ht="15" customHeight="1" x14ac:dyDescent="0.2">
      <c r="B42" s="211">
        <v>7</v>
      </c>
      <c r="C42" s="192"/>
      <c r="D42" s="192"/>
      <c r="E42" s="192"/>
      <c r="F42" s="263">
        <v>2164.5239999999999</v>
      </c>
      <c r="G42" s="220">
        <v>1.34E-2</v>
      </c>
    </row>
    <row r="43" spans="2:7" ht="15" customHeight="1" x14ac:dyDescent="0.2">
      <c r="B43" s="211">
        <v>8</v>
      </c>
      <c r="C43" s="192"/>
      <c r="D43" s="192"/>
      <c r="E43" s="192"/>
      <c r="F43" s="263">
        <v>1306.038</v>
      </c>
      <c r="G43" s="220">
        <v>1.21E-2</v>
      </c>
    </row>
    <row r="44" spans="2:7" ht="15" customHeight="1" x14ac:dyDescent="0.2">
      <c r="B44" s="211">
        <v>9</v>
      </c>
      <c r="C44" s="192"/>
      <c r="D44" s="192"/>
      <c r="E44" s="192"/>
      <c r="F44" s="263">
        <v>627.803</v>
      </c>
      <c r="G44" s="220">
        <v>2.1000000000000001E-2</v>
      </c>
    </row>
    <row r="45" spans="2:7" ht="15" customHeight="1" x14ac:dyDescent="0.2">
      <c r="B45" s="221" t="s">
        <v>1328</v>
      </c>
      <c r="C45" s="218"/>
      <c r="D45" s="218"/>
      <c r="E45" s="218"/>
      <c r="F45" s="264">
        <v>289.00700000000001</v>
      </c>
      <c r="G45" s="222">
        <v>4.8000000000000001E-2</v>
      </c>
    </row>
    <row r="46" spans="2:7" ht="15" customHeight="1" x14ac:dyDescent="0.2">
      <c r="B46" s="192"/>
      <c r="C46" s="192"/>
      <c r="D46" s="192"/>
      <c r="E46" s="192"/>
      <c r="F46" s="192"/>
      <c r="G46" s="192"/>
    </row>
    <row r="47" spans="2:7" ht="15" customHeight="1" x14ac:dyDescent="0.2">
      <c r="B47" s="192" t="s">
        <v>1329</v>
      </c>
      <c r="C47" s="192"/>
      <c r="D47" s="192"/>
      <c r="E47" s="192"/>
      <c r="F47" s="223">
        <f>G24</f>
        <v>152.82725570999747</v>
      </c>
      <c r="G47" s="220">
        <f>G45</f>
        <v>4.8000000000000001E-2</v>
      </c>
    </row>
    <row r="48" spans="2:7" ht="15" customHeight="1" x14ac:dyDescent="0.2">
      <c r="B48" s="192" t="s">
        <v>1330</v>
      </c>
      <c r="C48" s="192"/>
      <c r="D48" s="192"/>
      <c r="E48" s="192"/>
      <c r="F48" s="223">
        <f>F19*1000</f>
        <v>4352.7921585106669</v>
      </c>
      <c r="G48" s="220">
        <f>G40</f>
        <v>8.8999999999999999E-3</v>
      </c>
    </row>
    <row r="49" spans="2:7" ht="15" customHeight="1" x14ac:dyDescent="0.2">
      <c r="B49" s="192"/>
      <c r="C49" s="192"/>
      <c r="D49" s="192"/>
      <c r="E49" s="192"/>
      <c r="F49" s="192"/>
      <c r="G49" s="192"/>
    </row>
    <row r="50" spans="2:7" ht="15" customHeight="1" x14ac:dyDescent="0.2">
      <c r="B50" s="192" t="s">
        <v>1331</v>
      </c>
      <c r="C50" s="192"/>
      <c r="D50" s="192"/>
      <c r="E50" s="192"/>
      <c r="F50" s="192"/>
      <c r="G50" s="220">
        <f>G47-G48</f>
        <v>3.9100000000000003E-2</v>
      </c>
    </row>
    <row r="51" spans="2:7" ht="15" customHeight="1" x14ac:dyDescent="0.2">
      <c r="B51" s="192"/>
      <c r="C51" s="192"/>
      <c r="D51" s="192"/>
      <c r="E51" s="192"/>
      <c r="F51" s="192"/>
      <c r="G51" s="192"/>
    </row>
    <row r="52" spans="2:7" ht="15" customHeight="1" x14ac:dyDescent="0.2">
      <c r="B52" s="192"/>
      <c r="C52" s="192"/>
      <c r="D52" s="192"/>
      <c r="E52" s="192"/>
      <c r="F52" s="192"/>
      <c r="G52" s="192"/>
    </row>
    <row r="53" spans="2:7" ht="15" customHeight="1" x14ac:dyDescent="0.2">
      <c r="B53" s="224" t="s">
        <v>61</v>
      </c>
      <c r="C53" s="218"/>
      <c r="D53" s="192"/>
      <c r="E53" s="192"/>
      <c r="F53" s="192"/>
      <c r="G53" s="192"/>
    </row>
    <row r="54" spans="2:7" ht="15" customHeight="1" x14ac:dyDescent="0.2">
      <c r="B54" s="217" t="s">
        <v>1332</v>
      </c>
      <c r="C54" s="192"/>
      <c r="D54" s="192"/>
      <c r="E54" s="192"/>
      <c r="F54" s="192"/>
      <c r="G54" s="192"/>
    </row>
    <row r="55" spans="2:7" ht="15" customHeight="1" x14ac:dyDescent="0.2">
      <c r="B55" s="217" t="s">
        <v>1333</v>
      </c>
      <c r="C55" s="192"/>
      <c r="D55" s="192"/>
      <c r="E55" s="192"/>
      <c r="F55" s="192"/>
      <c r="G55" s="192"/>
    </row>
    <row r="56" spans="2:7" ht="15" customHeight="1" x14ac:dyDescent="0.2">
      <c r="B56" s="217" t="s">
        <v>1334</v>
      </c>
      <c r="C56" s="192"/>
      <c r="D56" s="192"/>
      <c r="E56" s="192"/>
      <c r="F56" s="192"/>
      <c r="G56" s="192"/>
    </row>
    <row r="57" spans="2:7" ht="15" customHeight="1" x14ac:dyDescent="0.2">
      <c r="B57" s="217" t="s">
        <v>1335</v>
      </c>
      <c r="C57" s="192"/>
      <c r="D57" s="192"/>
      <c r="E57" s="192"/>
      <c r="F57" s="192"/>
      <c r="G57" s="192"/>
    </row>
    <row r="58" spans="2:7" ht="15" customHeight="1" x14ac:dyDescent="0.2">
      <c r="B58" s="217" t="s">
        <v>1336</v>
      </c>
      <c r="C58" s="192"/>
      <c r="D58" s="192"/>
      <c r="E58" s="192"/>
      <c r="F58" s="192"/>
      <c r="G58" s="192"/>
    </row>
    <row r="59" spans="2:7" ht="15" customHeight="1" x14ac:dyDescent="0.2">
      <c r="B59" s="217" t="s">
        <v>1337</v>
      </c>
      <c r="C59" s="192"/>
      <c r="D59" s="192"/>
      <c r="E59" s="192"/>
      <c r="F59" s="192"/>
      <c r="G59" s="192"/>
    </row>
    <row r="60" spans="2:7" ht="15" customHeight="1" x14ac:dyDescent="0.2">
      <c r="B60" s="217" t="str">
        <f>"[7] Equals "&amp;TEXT(G47,"0.00%")&amp;" − "&amp;TEXT(G48,"0.00%")</f>
        <v>[7] Equals 4.80% − 0.89%</v>
      </c>
      <c r="C60" s="192"/>
      <c r="D60" s="192"/>
      <c r="E60" s="192"/>
      <c r="F60" s="192"/>
      <c r="G60" s="192"/>
    </row>
  </sheetData>
  <conditionalFormatting sqref="B11:B16">
    <cfRule type="expression" dxfId="1" priority="3">
      <formula>"(blank)"</formula>
    </cfRule>
  </conditionalFormatting>
  <conditionalFormatting sqref="B11:B16">
    <cfRule type="expression" dxfId="0" priority="4">
      <formula>#REF!</formula>
    </cfRule>
  </conditionalFormatting>
  <printOptions horizontalCentered="1"/>
  <pageMargins left="0.7" right="0.7" top="1.15625" bottom="0.75" header="0.3" footer="0.3"/>
  <pageSetup orientation="landscape" useFirstPageNumber="1" horizontalDpi="1200" verticalDpi="1200" r:id="rId1"/>
  <headerFooter scaleWithDoc="0">
    <oddHeader>&amp;CExhibit AEB 1.1, Schedule 8
Test Year Ending December 31, 2021
Utility: MidAmerican Energy Company
Docket No. NG22-___</oddHeader>
    <oddFooter>&amp;CExhibit AEB 1.1, Schedule 8
Page &amp;P of &amp;N</oddFooter>
  </headerFooter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autoPageBreaks="0"/>
  </sheetPr>
  <dimension ref="B2:K53"/>
  <sheetViews>
    <sheetView view="pageLayout" zoomScaleNormal="100" workbookViewId="0"/>
  </sheetViews>
  <sheetFormatPr defaultColWidth="9.140625" defaultRowHeight="15" customHeight="1" x14ac:dyDescent="0.25"/>
  <cols>
    <col min="1" max="1" width="5.5703125" style="155" customWidth="1"/>
    <col min="2" max="2" width="5.7109375" style="155" customWidth="1"/>
    <col min="3" max="3" width="29.42578125" style="155" customWidth="1"/>
    <col min="4" max="4" width="7.42578125" style="155" customWidth="1"/>
    <col min="5" max="5" width="11" style="155" bestFit="1" customWidth="1"/>
    <col min="6" max="10" width="14.42578125" style="155" customWidth="1"/>
    <col min="11" max="11" width="12.42578125" style="155" customWidth="1"/>
    <col min="12" max="16384" width="9.140625" style="155"/>
  </cols>
  <sheetData>
    <row r="2" spans="2:11" ht="15" customHeight="1" x14ac:dyDescent="0.25">
      <c r="C2" s="302" t="str">
        <f>CONCATENATE(K7, " CAPITAL EXPENDITURES AS A PERCENTAGE OF", E10, " NET PLANT")</f>
        <v>2022-2026 CAPITAL EXPENDITURES AS A PERCENTAGE OF2020 NET PLANT</v>
      </c>
      <c r="D2" s="302"/>
      <c r="E2" s="302"/>
      <c r="F2" s="302"/>
      <c r="G2" s="302"/>
      <c r="H2" s="302"/>
      <c r="I2" s="302"/>
      <c r="J2" s="302"/>
      <c r="K2" s="302"/>
    </row>
    <row r="3" spans="2:11" ht="15" customHeight="1" x14ac:dyDescent="0.25">
      <c r="C3" s="303" t="s">
        <v>1338</v>
      </c>
      <c r="D3" s="303"/>
      <c r="E3" s="303"/>
      <c r="F3" s="303"/>
      <c r="G3" s="303"/>
      <c r="H3" s="303"/>
      <c r="I3" s="303"/>
      <c r="J3" s="303"/>
      <c r="K3" s="303"/>
    </row>
    <row r="6" spans="2:11" ht="15" customHeight="1" thickBot="1" x14ac:dyDescent="0.25">
      <c r="B6" s="156"/>
      <c r="C6" s="157"/>
      <c r="D6" s="157"/>
      <c r="E6" s="158" t="s">
        <v>85</v>
      </c>
      <c r="F6" s="158" t="s">
        <v>86</v>
      </c>
      <c r="G6" s="158" t="s">
        <v>87</v>
      </c>
      <c r="H6" s="158" t="s">
        <v>88</v>
      </c>
      <c r="I6" s="158" t="s">
        <v>89</v>
      </c>
      <c r="J6" s="158" t="s">
        <v>90</v>
      </c>
      <c r="K6" s="158" t="s">
        <v>113</v>
      </c>
    </row>
    <row r="7" spans="2:11" ht="15" customHeight="1" x14ac:dyDescent="0.2">
      <c r="B7" s="159"/>
      <c r="C7" s="160"/>
      <c r="D7" s="160"/>
      <c r="E7" s="160"/>
      <c r="F7" s="160"/>
      <c r="G7" s="160"/>
      <c r="H7" s="160"/>
      <c r="I7" s="160"/>
      <c r="J7" s="160"/>
      <c r="K7" s="161" t="s">
        <v>1339</v>
      </c>
    </row>
    <row r="8" spans="2:11" ht="15" customHeight="1" x14ac:dyDescent="0.2">
      <c r="B8" s="157"/>
      <c r="C8" s="157"/>
      <c r="D8" s="157"/>
      <c r="E8" s="157"/>
      <c r="F8" s="157"/>
      <c r="G8" s="157"/>
      <c r="H8" s="157"/>
      <c r="I8" s="157"/>
      <c r="J8" s="157"/>
      <c r="K8" s="158" t="s">
        <v>1340</v>
      </c>
    </row>
    <row r="9" spans="2:11" ht="15" customHeight="1" x14ac:dyDescent="0.2">
      <c r="B9" s="157"/>
      <c r="C9" s="157"/>
      <c r="D9" s="157"/>
      <c r="E9" s="157"/>
      <c r="F9" s="157"/>
      <c r="G9" s="158"/>
      <c r="H9" s="157"/>
      <c r="I9" s="158"/>
      <c r="J9" s="158"/>
      <c r="K9" s="158" t="s">
        <v>1341</v>
      </c>
    </row>
    <row r="10" spans="2:11" ht="15" customHeight="1" x14ac:dyDescent="0.2">
      <c r="B10" s="162"/>
      <c r="C10" s="162"/>
      <c r="D10" s="162"/>
      <c r="E10" s="163">
        <v>2020</v>
      </c>
      <c r="F10" s="163">
        <f>E10+2</f>
        <v>2022</v>
      </c>
      <c r="G10" s="163">
        <f>F10+1</f>
        <v>2023</v>
      </c>
      <c r="H10" s="163">
        <f t="shared" ref="H10:J10" si="0">G10+1</f>
        <v>2024</v>
      </c>
      <c r="I10" s="163">
        <f t="shared" si="0"/>
        <v>2025</v>
      </c>
      <c r="J10" s="163">
        <f t="shared" si="0"/>
        <v>2026</v>
      </c>
      <c r="K10" s="163" t="s">
        <v>1342</v>
      </c>
    </row>
    <row r="11" spans="2:11" ht="15" customHeight="1" x14ac:dyDescent="0.2">
      <c r="B11" s="157"/>
      <c r="C11" s="157"/>
      <c r="D11" s="157"/>
      <c r="E11" s="158"/>
      <c r="F11" s="158"/>
      <c r="G11" s="158"/>
      <c r="H11" s="158"/>
      <c r="I11" s="158"/>
      <c r="J11" s="158"/>
      <c r="K11" s="158"/>
    </row>
    <row r="12" spans="2:11" ht="15" customHeight="1" x14ac:dyDescent="0.25">
      <c r="B12" s="155" t="s">
        <v>49</v>
      </c>
      <c r="D12" s="176" t="s">
        <v>50</v>
      </c>
    </row>
    <row r="13" spans="2:11" ht="15" customHeight="1" x14ac:dyDescent="0.2">
      <c r="B13" s="155" t="s">
        <v>135</v>
      </c>
      <c r="C13" s="155" t="s">
        <v>1343</v>
      </c>
      <c r="D13" s="176"/>
      <c r="F13" s="168">
        <v>17.75</v>
      </c>
      <c r="G13" s="169">
        <v>17.600000000000001</v>
      </c>
      <c r="H13" s="168">
        <f>AVERAGE(G13,I13)</f>
        <v>17.8</v>
      </c>
      <c r="I13" s="164">
        <v>18</v>
      </c>
      <c r="J13" s="164">
        <v>18</v>
      </c>
    </row>
    <row r="14" spans="2:11" ht="15" customHeight="1" x14ac:dyDescent="0.2">
      <c r="B14" s="155" t="s">
        <v>135</v>
      </c>
      <c r="C14" s="155" t="s">
        <v>1344</v>
      </c>
      <c r="D14" s="176"/>
      <c r="F14" s="170">
        <v>138</v>
      </c>
      <c r="G14" s="171">
        <v>142</v>
      </c>
      <c r="H14" s="170">
        <f>AVERAGE(G14,I14)</f>
        <v>148.5</v>
      </c>
      <c r="I14" s="165">
        <v>155</v>
      </c>
      <c r="J14" s="165">
        <v>155</v>
      </c>
      <c r="K14" s="166"/>
    </row>
    <row r="15" spans="2:11" ht="15" customHeight="1" x14ac:dyDescent="0.25">
      <c r="B15" s="155" t="s">
        <v>135</v>
      </c>
      <c r="C15" s="155" t="s">
        <v>1345</v>
      </c>
      <c r="D15" s="176"/>
      <c r="F15" s="168">
        <f>IF(ISERROR(F13*F14),"",F13*F14)</f>
        <v>2449.5</v>
      </c>
      <c r="G15" s="168">
        <f t="shared" ref="G15:I15" si="1">IF(ISERROR(G13*G14),"",G13*G14)</f>
        <v>2499.2000000000003</v>
      </c>
      <c r="H15" s="168">
        <f>IF(ISERROR(H13*H14),"",H13*H14)</f>
        <v>2643.3</v>
      </c>
      <c r="I15" s="164">
        <f t="shared" si="1"/>
        <v>2790</v>
      </c>
      <c r="J15" s="164">
        <f>IF(ISERROR(J13*J14),"",J13*J14)</f>
        <v>2790</v>
      </c>
      <c r="K15" s="167">
        <f>IF(ISERROR(SUM(F15:J15)/E16),"",SUM(F15:J15)/E16)</f>
        <v>0.98629726694122055</v>
      </c>
    </row>
    <row r="16" spans="2:11" ht="15" customHeight="1" x14ac:dyDescent="0.25">
      <c r="B16" s="155" t="s">
        <v>135</v>
      </c>
      <c r="C16" s="155" t="s">
        <v>1342</v>
      </c>
      <c r="D16" s="176"/>
      <c r="E16" s="174">
        <v>13355</v>
      </c>
    </row>
    <row r="17" spans="2:11" ht="15" customHeight="1" x14ac:dyDescent="0.25">
      <c r="B17" s="155" t="s">
        <v>51</v>
      </c>
      <c r="D17" s="176" t="s">
        <v>52</v>
      </c>
      <c r="E17" s="174"/>
    </row>
    <row r="18" spans="2:11" ht="15" customHeight="1" x14ac:dyDescent="0.2">
      <c r="B18" s="155" t="s">
        <v>135</v>
      </c>
      <c r="C18" s="155" t="s">
        <v>1343</v>
      </c>
      <c r="D18" s="176"/>
      <c r="E18" s="174"/>
      <c r="F18" s="168">
        <v>5.35</v>
      </c>
      <c r="G18" s="169">
        <v>5.3</v>
      </c>
      <c r="H18" s="168">
        <f>AVERAGE(G18,I18)</f>
        <v>5.4</v>
      </c>
      <c r="I18" s="164">
        <v>5.5</v>
      </c>
      <c r="J18" s="164">
        <v>5.5</v>
      </c>
    </row>
    <row r="19" spans="2:11" ht="15" customHeight="1" x14ac:dyDescent="0.2">
      <c r="B19" s="155" t="s">
        <v>135</v>
      </c>
      <c r="C19" s="155" t="s">
        <v>1344</v>
      </c>
      <c r="D19" s="176"/>
      <c r="E19" s="174"/>
      <c r="F19" s="168">
        <v>98</v>
      </c>
      <c r="G19" s="169">
        <v>99</v>
      </c>
      <c r="H19" s="170">
        <f>AVERAGE(G19,I19)</f>
        <v>99.5</v>
      </c>
      <c r="I19" s="164">
        <v>100</v>
      </c>
      <c r="J19" s="164">
        <v>100</v>
      </c>
    </row>
    <row r="20" spans="2:11" ht="15" customHeight="1" x14ac:dyDescent="0.25">
      <c r="B20" s="155" t="s">
        <v>135</v>
      </c>
      <c r="C20" s="155" t="s">
        <v>1345</v>
      </c>
      <c r="D20" s="176"/>
      <c r="E20" s="174"/>
      <c r="F20" s="173">
        <f>IF(ISERROR(F18*F19),"",F18*F19)</f>
        <v>524.29999999999995</v>
      </c>
      <c r="G20" s="173">
        <f t="shared" ref="G20:I20" si="2">IF(ISERROR(G18*G19),"",G18*G19)</f>
        <v>524.69999999999993</v>
      </c>
      <c r="H20" s="168">
        <f>IF(ISERROR(H18*H19),"",H18*H19)</f>
        <v>537.30000000000007</v>
      </c>
      <c r="I20" s="172">
        <f t="shared" si="2"/>
        <v>550</v>
      </c>
      <c r="J20" s="172">
        <f>IF(ISERROR(J18*J19),"",J18*J19)</f>
        <v>550</v>
      </c>
      <c r="K20" s="167">
        <f>IF(ISERROR(SUM(F20:J20)/E21),"",SUM(F20:J20)/E21)</f>
        <v>0.67444137584735131</v>
      </c>
    </row>
    <row r="21" spans="2:11" ht="15" customHeight="1" x14ac:dyDescent="0.25">
      <c r="B21" s="155" t="s">
        <v>135</v>
      </c>
      <c r="C21" s="155" t="s">
        <v>1342</v>
      </c>
      <c r="D21" s="176"/>
      <c r="E21" s="174">
        <v>3983</v>
      </c>
    </row>
    <row r="22" spans="2:11" ht="15" customHeight="1" x14ac:dyDescent="0.25">
      <c r="B22" s="155" t="s">
        <v>53</v>
      </c>
      <c r="D22" s="176" t="s">
        <v>54</v>
      </c>
      <c r="E22" s="174"/>
    </row>
    <row r="23" spans="2:11" ht="15" customHeight="1" x14ac:dyDescent="0.2">
      <c r="B23" s="155" t="s">
        <v>135</v>
      </c>
      <c r="C23" s="155" t="s">
        <v>1343</v>
      </c>
      <c r="D23" s="176"/>
      <c r="E23" s="174"/>
      <c r="F23" s="168">
        <v>4.5</v>
      </c>
      <c r="G23" s="169">
        <v>4.45</v>
      </c>
      <c r="H23" s="168">
        <f>AVERAGE(G23,I23)</f>
        <v>4.4000000000000004</v>
      </c>
      <c r="I23" s="164">
        <v>4.3499999999999996</v>
      </c>
      <c r="J23" s="164">
        <v>4.3499999999999996</v>
      </c>
    </row>
    <row r="24" spans="2:11" ht="15" customHeight="1" x14ac:dyDescent="0.2">
      <c r="B24" s="155" t="s">
        <v>135</v>
      </c>
      <c r="C24" s="155" t="s">
        <v>1344</v>
      </c>
      <c r="D24" s="176"/>
      <c r="E24" s="174"/>
      <c r="F24" s="168">
        <v>400</v>
      </c>
      <c r="G24" s="169">
        <v>405</v>
      </c>
      <c r="H24" s="170">
        <f>AVERAGE(G24,I24)</f>
        <v>410</v>
      </c>
      <c r="I24" s="164">
        <v>415</v>
      </c>
      <c r="J24" s="164">
        <v>415</v>
      </c>
    </row>
    <row r="25" spans="2:11" ht="15" customHeight="1" x14ac:dyDescent="0.25">
      <c r="B25" s="155" t="s">
        <v>135</v>
      </c>
      <c r="C25" s="155" t="s">
        <v>1345</v>
      </c>
      <c r="D25" s="176"/>
      <c r="E25" s="174"/>
      <c r="F25" s="173">
        <f>IF(ISERROR(F23*F24),"",F23*F24)</f>
        <v>1800</v>
      </c>
      <c r="G25" s="173">
        <f t="shared" ref="G25:I25" si="3">IF(ISERROR(G23*G24),"",G23*G24)</f>
        <v>1802.25</v>
      </c>
      <c r="H25" s="168">
        <f>IF(ISERROR(H23*H24),"",H23*H24)</f>
        <v>1804.0000000000002</v>
      </c>
      <c r="I25" s="172">
        <f t="shared" si="3"/>
        <v>1805.2499999999998</v>
      </c>
      <c r="J25" s="172">
        <f>IF(ISERROR(J23*J24),"",J23*J24)</f>
        <v>1805.2499999999998</v>
      </c>
      <c r="K25" s="167">
        <f>IF(ISERROR(SUM(F25:J25)/E26),"",SUM(F25:J25)/E26)</f>
        <v>0.5425240673886883</v>
      </c>
    </row>
    <row r="26" spans="2:11" ht="15" customHeight="1" x14ac:dyDescent="0.25">
      <c r="B26" s="155" t="s">
        <v>135</v>
      </c>
      <c r="C26" s="155" t="s">
        <v>1342</v>
      </c>
      <c r="D26" s="176"/>
      <c r="E26" s="174">
        <v>16620</v>
      </c>
    </row>
    <row r="27" spans="2:11" ht="15" customHeight="1" x14ac:dyDescent="0.25">
      <c r="B27" s="155" t="s">
        <v>55</v>
      </c>
      <c r="D27" s="176" t="s">
        <v>56</v>
      </c>
      <c r="E27" s="174"/>
    </row>
    <row r="28" spans="2:11" ht="15" customHeight="1" x14ac:dyDescent="0.2">
      <c r="B28" s="155" t="s">
        <v>135</v>
      </c>
      <c r="C28" s="155" t="s">
        <v>1343</v>
      </c>
      <c r="D28" s="176"/>
      <c r="E28" s="174"/>
      <c r="F28" s="168">
        <v>8.6999999999999993</v>
      </c>
      <c r="G28" s="169">
        <v>9.0500000000000007</v>
      </c>
      <c r="H28" s="168">
        <f>AVERAGE(G28,I28)</f>
        <v>9.2250000000000014</v>
      </c>
      <c r="I28" s="164">
        <v>9.4</v>
      </c>
      <c r="J28" s="164">
        <v>9.4</v>
      </c>
    </row>
    <row r="29" spans="2:11" ht="15" customHeight="1" x14ac:dyDescent="0.2">
      <c r="B29" s="155" t="s">
        <v>135</v>
      </c>
      <c r="C29" s="155" t="s">
        <v>1344</v>
      </c>
      <c r="D29" s="176"/>
      <c r="E29" s="174"/>
      <c r="F29" s="168">
        <v>31</v>
      </c>
      <c r="G29" s="169">
        <v>31</v>
      </c>
      <c r="H29" s="170">
        <f>AVERAGE(G29,I29)</f>
        <v>31.5</v>
      </c>
      <c r="I29" s="164">
        <v>32</v>
      </c>
      <c r="J29" s="164">
        <v>32</v>
      </c>
    </row>
    <row r="30" spans="2:11" ht="15" customHeight="1" x14ac:dyDescent="0.25">
      <c r="B30" s="155" t="s">
        <v>135</v>
      </c>
      <c r="C30" s="155" t="s">
        <v>1345</v>
      </c>
      <c r="D30" s="176"/>
      <c r="E30" s="174"/>
      <c r="F30" s="173">
        <f>IF(ISERROR(F28*F29),"",F28*F29)</f>
        <v>269.7</v>
      </c>
      <c r="G30" s="173">
        <f t="shared" ref="G30:I30" si="4">IF(ISERROR(G28*G29),"",G28*G29)</f>
        <v>280.55</v>
      </c>
      <c r="H30" s="168">
        <f>IF(ISERROR(H28*H29),"",H28*H29)</f>
        <v>290.58750000000003</v>
      </c>
      <c r="I30" s="172">
        <f t="shared" si="4"/>
        <v>300.8</v>
      </c>
      <c r="J30" s="172">
        <f>IF(ISERROR(J28*J29),"",J28*J29)</f>
        <v>300.8</v>
      </c>
      <c r="K30" s="167">
        <f>IF(ISERROR(SUM(F30:J30)/E31),"",SUM(F30:J30)/E31)</f>
        <v>0.54333188940786492</v>
      </c>
    </row>
    <row r="31" spans="2:11" ht="15" customHeight="1" x14ac:dyDescent="0.25">
      <c r="B31" s="155" t="s">
        <v>135</v>
      </c>
      <c r="C31" s="155" t="s">
        <v>1342</v>
      </c>
      <c r="D31" s="176"/>
      <c r="E31" s="174">
        <v>2654.8</v>
      </c>
    </row>
    <row r="32" spans="2:11" ht="15" customHeight="1" x14ac:dyDescent="0.25">
      <c r="B32" s="155" t="s">
        <v>57</v>
      </c>
      <c r="D32" s="176" t="s">
        <v>58</v>
      </c>
      <c r="E32" s="174"/>
    </row>
    <row r="33" spans="2:11" ht="15" customHeight="1" x14ac:dyDescent="0.2">
      <c r="B33" s="155" t="s">
        <v>135</v>
      </c>
      <c r="C33" s="155" t="s">
        <v>1343</v>
      </c>
      <c r="D33" s="176"/>
      <c r="E33" s="174"/>
      <c r="F33" s="168">
        <v>9.1999999999999993</v>
      </c>
      <c r="G33" s="169">
        <v>9.4</v>
      </c>
      <c r="H33" s="168">
        <f>AVERAGE(G33,I33)</f>
        <v>9.6000000000000014</v>
      </c>
      <c r="I33" s="164">
        <v>9.8000000000000007</v>
      </c>
      <c r="J33" s="164">
        <v>9.8000000000000007</v>
      </c>
    </row>
    <row r="34" spans="2:11" ht="15" customHeight="1" x14ac:dyDescent="0.2">
      <c r="B34" s="155" t="s">
        <v>135</v>
      </c>
      <c r="C34" s="155" t="s">
        <v>1344</v>
      </c>
      <c r="D34" s="176"/>
      <c r="E34" s="174"/>
      <c r="F34" s="168">
        <v>53.5</v>
      </c>
      <c r="G34" s="169">
        <v>54</v>
      </c>
      <c r="H34" s="170">
        <f>AVERAGE(G34,I34)</f>
        <v>55.5</v>
      </c>
      <c r="I34" s="164">
        <v>57</v>
      </c>
      <c r="J34" s="164">
        <v>57</v>
      </c>
    </row>
    <row r="35" spans="2:11" ht="15" customHeight="1" x14ac:dyDescent="0.25">
      <c r="B35" s="155" t="s">
        <v>135</v>
      </c>
      <c r="C35" s="155" t="s">
        <v>1345</v>
      </c>
      <c r="D35" s="176"/>
      <c r="E35" s="174"/>
      <c r="F35" s="173">
        <f>IF(ISERROR(F33*F34),"",F33*F34)</f>
        <v>492.2</v>
      </c>
      <c r="G35" s="173">
        <f t="shared" ref="G35:I35" si="5">IF(ISERROR(G33*G34),"",G33*G34)</f>
        <v>507.6</v>
      </c>
      <c r="H35" s="168">
        <f>IF(ISERROR(H33*H34),"",H33*H34)</f>
        <v>532.80000000000007</v>
      </c>
      <c r="I35" s="172">
        <f t="shared" si="5"/>
        <v>558.6</v>
      </c>
      <c r="J35" s="172">
        <f>IF(ISERROR(J33*J34),"",J33*J34)</f>
        <v>558.6</v>
      </c>
      <c r="K35" s="167">
        <f>IF(ISERROR(SUM(F35:J35)/E36),"",SUM(F35:J35)/E36)</f>
        <v>0.54443097532411489</v>
      </c>
    </row>
    <row r="36" spans="2:11" ht="15" customHeight="1" x14ac:dyDescent="0.25">
      <c r="B36" s="155" t="s">
        <v>135</v>
      </c>
      <c r="C36" s="155" t="s">
        <v>1342</v>
      </c>
      <c r="D36" s="176"/>
      <c r="E36" s="174">
        <v>4867.1000000000004</v>
      </c>
    </row>
    <row r="37" spans="2:11" ht="15" customHeight="1" x14ac:dyDescent="0.25">
      <c r="B37" s="155" t="s">
        <v>59</v>
      </c>
      <c r="D37" s="176" t="s">
        <v>60</v>
      </c>
      <c r="E37" s="174"/>
    </row>
    <row r="38" spans="2:11" ht="15" customHeight="1" x14ac:dyDescent="0.2">
      <c r="B38" s="155" t="s">
        <v>135</v>
      </c>
      <c r="C38" s="155" t="s">
        <v>1343</v>
      </c>
      <c r="D38" s="176"/>
      <c r="E38" s="174"/>
      <c r="F38" s="168">
        <v>10.95</v>
      </c>
      <c r="G38" s="169">
        <v>11.15</v>
      </c>
      <c r="H38" s="168">
        <f>AVERAGE(G38,I38)</f>
        <v>11.324999999999999</v>
      </c>
      <c r="I38" s="164">
        <v>11.5</v>
      </c>
      <c r="J38" s="164">
        <v>11.5</v>
      </c>
    </row>
    <row r="39" spans="2:11" ht="15" customHeight="1" x14ac:dyDescent="0.2">
      <c r="B39" s="155" t="s">
        <v>135</v>
      </c>
      <c r="C39" s="155" t="s">
        <v>1344</v>
      </c>
      <c r="D39" s="176"/>
      <c r="E39" s="174"/>
      <c r="F39" s="168">
        <v>52</v>
      </c>
      <c r="G39" s="169">
        <v>52.5</v>
      </c>
      <c r="H39" s="170">
        <f>AVERAGE(G39,I39)</f>
        <v>53.75</v>
      </c>
      <c r="I39" s="164">
        <v>55</v>
      </c>
      <c r="J39" s="164">
        <v>55</v>
      </c>
    </row>
    <row r="40" spans="2:11" ht="15" customHeight="1" x14ac:dyDescent="0.25">
      <c r="B40" s="155" t="s">
        <v>135</v>
      </c>
      <c r="C40" s="155" t="s">
        <v>1345</v>
      </c>
      <c r="D40" s="176"/>
      <c r="E40" s="174"/>
      <c r="F40" s="173">
        <f>IF(ISERROR(F38*F39),"",F38*F39)</f>
        <v>569.4</v>
      </c>
      <c r="G40" s="173">
        <f t="shared" ref="G40:I40" si="6">IF(ISERROR(G38*G39),"",G38*G39)</f>
        <v>585.375</v>
      </c>
      <c r="H40" s="168">
        <f>IF(ISERROR(H38*H39),"",H38*H39)</f>
        <v>608.71875</v>
      </c>
      <c r="I40" s="172">
        <f t="shared" si="6"/>
        <v>632.5</v>
      </c>
      <c r="J40" s="172">
        <f>IF(ISERROR(J38*J39),"",J38*J39)</f>
        <v>632.5</v>
      </c>
      <c r="K40" s="167">
        <f>IF(ISERROR(SUM(F40:J40)/E41),"",SUM(F40:J40)/E41)</f>
        <v>0.64710022221747399</v>
      </c>
    </row>
    <row r="41" spans="2:11" ht="15" customHeight="1" x14ac:dyDescent="0.25">
      <c r="B41" s="155" t="s">
        <v>135</v>
      </c>
      <c r="C41" s="155" t="s">
        <v>1342</v>
      </c>
      <c r="D41" s="176"/>
      <c r="E41" s="174">
        <v>4680.1000000000004</v>
      </c>
    </row>
    <row r="42" spans="2:11" ht="15" customHeight="1" x14ac:dyDescent="0.25">
      <c r="D42" s="176"/>
      <c r="E42" s="175"/>
    </row>
    <row r="43" spans="2:11" ht="15" customHeight="1" x14ac:dyDescent="0.25">
      <c r="B43" s="155" t="s">
        <v>1346</v>
      </c>
      <c r="D43" s="176" t="s">
        <v>1347</v>
      </c>
      <c r="E43" s="175"/>
    </row>
    <row r="44" spans="2:11" ht="15" customHeight="1" x14ac:dyDescent="0.25">
      <c r="E44" s="175"/>
    </row>
    <row r="45" spans="2:11" ht="15" customHeight="1" x14ac:dyDescent="0.25">
      <c r="E45" s="175"/>
    </row>
    <row r="46" spans="2:11" ht="15" customHeight="1" x14ac:dyDescent="0.25">
      <c r="C46" s="155" t="s">
        <v>1348</v>
      </c>
      <c r="E46" s="175"/>
      <c r="F46" s="172">
        <v>24</v>
      </c>
      <c r="G46" s="172">
        <v>27</v>
      </c>
      <c r="H46" s="172">
        <v>21</v>
      </c>
      <c r="I46" s="172">
        <v>20</v>
      </c>
      <c r="J46" s="172">
        <v>17</v>
      </c>
      <c r="K46" s="167">
        <f>IF(ISERROR(SUM(F46:J46)/E47),"",SUM(F46:J46)/E47)</f>
        <v>0.65269461077844315</v>
      </c>
    </row>
    <row r="47" spans="2:11" ht="15" customHeight="1" x14ac:dyDescent="0.25">
      <c r="C47" s="155" t="s">
        <v>1349</v>
      </c>
      <c r="E47" s="175">
        <v>167</v>
      </c>
    </row>
    <row r="49" spans="2:2" ht="15" customHeight="1" x14ac:dyDescent="0.25">
      <c r="B49" s="155" t="s">
        <v>61</v>
      </c>
    </row>
    <row r="50" spans="2:2" ht="15" customHeight="1" x14ac:dyDescent="0.25">
      <c r="B50" s="155" t="s">
        <v>1350</v>
      </c>
    </row>
    <row r="51" spans="2:2" ht="15" customHeight="1" x14ac:dyDescent="0.25">
      <c r="B51" s="155" t="s">
        <v>1351</v>
      </c>
    </row>
    <row r="52" spans="2:2" ht="15" customHeight="1" x14ac:dyDescent="0.25">
      <c r="B52" s="155" t="s">
        <v>1352</v>
      </c>
    </row>
    <row r="53" spans="2:2" ht="15" customHeight="1" x14ac:dyDescent="0.25">
      <c r="B53" s="155" t="s">
        <v>1353</v>
      </c>
    </row>
  </sheetData>
  <mergeCells count="2">
    <mergeCell ref="C2:K2"/>
    <mergeCell ref="C3:K3"/>
  </mergeCells>
  <printOptions horizontalCentered="1"/>
  <pageMargins left="0.7" right="0.7" top="0.75" bottom="0.75" header="0.3" footer="0.3"/>
  <pageSetup scale="57" orientation="landscape" useFirstPageNumber="1" horizontalDpi="1200" verticalDpi="1200" r:id="rId1"/>
  <headerFooter scaleWithDoc="0">
    <oddHeader>&amp;C&amp;8Exhibit AEB 1.1, Schedule 9
Test Year Ending December 31, 2021
Utility: MidAmerican Energy Company
Docket No. NG22-___</oddHeader>
    <oddFooter>&amp;C&amp;8Exhibit AEB 1.1, Schedule 9
Page 1 of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autoPageBreaks="0"/>
  </sheetPr>
  <dimension ref="B18:G35"/>
  <sheetViews>
    <sheetView showGridLines="0" view="pageLayout" zoomScaleNormal="100" workbookViewId="0"/>
  </sheetViews>
  <sheetFormatPr defaultColWidth="8.7109375" defaultRowHeight="15" customHeight="1" x14ac:dyDescent="0.25"/>
  <cols>
    <col min="1" max="1" width="8.7109375" style="21"/>
    <col min="2" max="2" width="34.42578125" style="21" customWidth="1"/>
    <col min="3" max="3" width="22" style="21" customWidth="1"/>
    <col min="4" max="4" width="16.5703125" style="21" customWidth="1"/>
    <col min="5" max="16384" width="8.7109375" style="21"/>
  </cols>
  <sheetData>
    <row r="18" spans="2:7" ht="15" customHeight="1" x14ac:dyDescent="0.25">
      <c r="B18" s="291" t="s">
        <v>1354</v>
      </c>
      <c r="C18" s="291"/>
      <c r="D18" s="291"/>
      <c r="E18" s="291"/>
    </row>
    <row r="20" spans="2:7" ht="15" customHeight="1" thickBot="1" x14ac:dyDescent="0.3">
      <c r="B20" s="177" t="s">
        <v>37</v>
      </c>
      <c r="C20" s="177" t="s">
        <v>91</v>
      </c>
      <c r="D20" s="181" t="s">
        <v>1355</v>
      </c>
    </row>
    <row r="21" spans="2:7" ht="15" customHeight="1" x14ac:dyDescent="0.25">
      <c r="B21" s="180" t="str">
        <f>'Schedule 3-CGDCF'!A72</f>
        <v>NiSource Inc.</v>
      </c>
      <c r="C21" s="24" t="str">
        <f>'Schedule 3-CGDCF'!B72</f>
        <v>NI</v>
      </c>
      <c r="D21" s="179">
        <f>'Schedule 9- CapEx p. 1'!K25</f>
        <v>0.5425240673886883</v>
      </c>
    </row>
    <row r="22" spans="2:7" ht="15" customHeight="1" x14ac:dyDescent="0.25">
      <c r="B22" s="180" t="str">
        <f>'Schedule 3-CGDCF'!A73</f>
        <v>Northwest Natural Gas Company</v>
      </c>
      <c r="C22" s="24" t="str">
        <f>'Schedule 3-CGDCF'!B73</f>
        <v>NWN</v>
      </c>
      <c r="D22" s="179">
        <f>'Schedule 9- CapEx p. 1'!K30</f>
        <v>0.54333188940786492</v>
      </c>
    </row>
    <row r="23" spans="2:7" ht="15" customHeight="1" x14ac:dyDescent="0.25">
      <c r="B23" s="180" t="str">
        <f>'Schedule 3-CGDCF'!A74</f>
        <v>ONE Gas, Inc.</v>
      </c>
      <c r="C23" s="24" t="str">
        <f>'Schedule 3-CGDCF'!B74</f>
        <v>OGS</v>
      </c>
      <c r="D23" s="179">
        <f>'Schedule 9- CapEx p. 1'!K35</f>
        <v>0.54443097532411489</v>
      </c>
    </row>
    <row r="24" spans="2:7" ht="15" customHeight="1" x14ac:dyDescent="0.25">
      <c r="B24" s="180" t="str">
        <f>'Schedule 3-CGDCF'!A75</f>
        <v>Spire, Inc.</v>
      </c>
      <c r="C24" s="24" t="str">
        <f>'Schedule 3-CGDCF'!B75</f>
        <v>SR</v>
      </c>
      <c r="D24" s="179">
        <f>'Schedule 9- CapEx p. 1'!K40</f>
        <v>0.64710022221747399</v>
      </c>
    </row>
    <row r="25" spans="2:7" ht="15" customHeight="1" x14ac:dyDescent="0.25">
      <c r="B25" s="182" t="s">
        <v>1318</v>
      </c>
      <c r="C25" s="183" t="s">
        <v>1347</v>
      </c>
      <c r="D25" s="184">
        <f>'Schedule 9- CapEx p. 1'!K46</f>
        <v>0.65269461077844315</v>
      </c>
    </row>
    <row r="26" spans="2:7" ht="15" customHeight="1" x14ac:dyDescent="0.25">
      <c r="B26" s="180" t="str">
        <f>'Schedule 3-CGDCF'!A71</f>
        <v>New Jersey Resources Corporation</v>
      </c>
      <c r="C26" s="24" t="str">
        <f>'Schedule 3-CGDCF'!B71</f>
        <v>NJR</v>
      </c>
      <c r="D26" s="179">
        <f>'Schedule 9- CapEx p. 1'!K20</f>
        <v>0.67444137584735131</v>
      </c>
    </row>
    <row r="27" spans="2:7" ht="15" customHeight="1" x14ac:dyDescent="0.25">
      <c r="B27" s="180" t="str">
        <f>'Schedule 3-CGDCF'!A70</f>
        <v>Atmos Energy Corporation</v>
      </c>
      <c r="C27" s="24" t="str">
        <f>'Schedule 3-CGDCF'!B70</f>
        <v>ATO</v>
      </c>
      <c r="D27" s="179">
        <f>'Schedule 9- CapEx p. 1'!K15</f>
        <v>0.98629726694122055</v>
      </c>
    </row>
    <row r="28" spans="2:7" ht="15" customHeight="1" x14ac:dyDescent="0.25">
      <c r="F28" s="23"/>
      <c r="G28" s="23"/>
    </row>
    <row r="29" spans="2:7" ht="15" customHeight="1" x14ac:dyDescent="0.25">
      <c r="B29" s="185" t="s">
        <v>1356</v>
      </c>
      <c r="C29" s="186"/>
      <c r="D29" s="189">
        <f>MEDIAN(D21:D24,D26:D27)</f>
        <v>0.59576559877079438</v>
      </c>
      <c r="G29" s="178"/>
    </row>
    <row r="30" spans="2:7" ht="15" customHeight="1" x14ac:dyDescent="0.25">
      <c r="B30" s="187" t="s">
        <v>1357</v>
      </c>
      <c r="C30" s="188"/>
      <c r="D30" s="190">
        <f>D25/D29</f>
        <v>1.0955560578272845</v>
      </c>
      <c r="G30" s="178"/>
    </row>
    <row r="33" spans="2:3" ht="15" customHeight="1" x14ac:dyDescent="0.25">
      <c r="B33" s="265" t="s">
        <v>1</v>
      </c>
      <c r="C33" s="265" t="s">
        <v>2</v>
      </c>
    </row>
    <row r="34" spans="2:3" ht="15" customHeight="1" x14ac:dyDescent="0.25">
      <c r="B34" s="266">
        <v>0</v>
      </c>
      <c r="C34" s="267">
        <f>$D$29</f>
        <v>0.59576559877079438</v>
      </c>
    </row>
    <row r="35" spans="2:3" ht="15" customHeight="1" x14ac:dyDescent="0.25">
      <c r="B35" s="266">
        <v>11</v>
      </c>
      <c r="C35" s="267">
        <f>$D$29</f>
        <v>0.59576559877079438</v>
      </c>
    </row>
  </sheetData>
  <sortState xmlns:xlrd2="http://schemas.microsoft.com/office/spreadsheetml/2017/richdata2" ref="B16:D22">
    <sortCondition ref="D16:D22"/>
  </sortState>
  <mergeCells count="1">
    <mergeCell ref="B18:E18"/>
  </mergeCells>
  <printOptions horizontalCentered="1"/>
  <pageMargins left="0.7" right="0.7" top="1.1770833333333333" bottom="0.75" header="0.3" footer="0.3"/>
  <pageSetup scale="93" firstPageNumber="2" orientation="landscape" useFirstPageNumber="1" horizontalDpi="1200" verticalDpi="1200" r:id="rId1"/>
  <headerFooter scaleWithDoc="0">
    <oddHeader>&amp;CExhibit AEB 1.1, Schedule 9
Test Year Ending December 31, 2021
Utility: MidAmerican Energy Company
Docket No. NG22-___</oddHeader>
    <oddFooter>&amp;CExhibit AEB 1.1, Schedule 9
Page 2 of 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005AAD-B756-4DB2-AB49-DC75BB6E5D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E44774-4C05-49D9-AE0B-9B5823BDA1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384133-469D-461E-B6A2-0FCCF99087E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Schedule 2 -Summary</vt:lpstr>
      <vt:lpstr>Schedule 3-CGDCF</vt:lpstr>
      <vt:lpstr>Schedule 4- CAPM &amp; ECAPM</vt:lpstr>
      <vt:lpstr>Schedule 5- MktRet</vt:lpstr>
      <vt:lpstr>Schedule 6-LT Beta</vt:lpstr>
      <vt:lpstr>Schedule 7-Risk Premium</vt:lpstr>
      <vt:lpstr>Schedule 8-Size Premium </vt:lpstr>
      <vt:lpstr>Schedule 9- CapEx p. 1</vt:lpstr>
      <vt:lpstr>Schedule 9-CapEx p. 2</vt:lpstr>
      <vt:lpstr>Schedule 10-RegRisk</vt:lpstr>
      <vt:lpstr>Schedule 11- Capital Structure</vt:lpstr>
      <vt:lpstr>'Schedule 3-CGDCF'!Print_Area</vt:lpstr>
      <vt:lpstr>'Schedule 7-Risk Premium'!Print_Area</vt:lpstr>
      <vt:lpstr>'Schedule 9-CapEx p. 2'!Print_Area</vt:lpstr>
      <vt:lpstr>'Schedule 5- MktRet'!Print_Titles</vt:lpstr>
      <vt:lpstr>'Schedule 7-Risk Premium'!Print_Titles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Wall, Chris</dc:creator>
  <cp:keywords/>
  <dc:description/>
  <cp:lastModifiedBy>White, Renee (MidAmerican)</cp:lastModifiedBy>
  <cp:revision/>
  <cp:lastPrinted>2022-05-13T11:27:38Z</cp:lastPrinted>
  <dcterms:created xsi:type="dcterms:W3CDTF">2022-03-07T23:27:59Z</dcterms:created>
  <dcterms:modified xsi:type="dcterms:W3CDTF">2022-05-13T11:27:44Z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{0CBBBC9E-7086-455F-BB33-B3AD83424393}</vt:lpwstr>
  </property>
  <property fmtid="{D5CDD505-2E9C-101B-9397-08002B2CF9AE}" pid="3" name="ContentTypeId">
    <vt:lpwstr>0x010100F6B0E68A2304554DB22ED73F3E9DF72E</vt:lpwstr>
  </property>
</Properties>
</file>