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Regulated Pricing\SD Gas Rate Case-2022\!Rate Case Filing - NG22-___\Volume II\02 Direct Testimony Blake M. Groen (Revenue Requirement, Income Statement,Capital Structure\"/>
    </mc:Choice>
  </mc:AlternateContent>
  <xr:revisionPtr revIDLastSave="0" documentId="13_ncr:1_{9398CFF5-2C09-4238-A06F-040D5A1714C9}" xr6:coauthVersionLast="47" xr6:coauthVersionMax="47" xr10:uidLastSave="{00000000-0000-0000-0000-000000000000}"/>
  <bookViews>
    <workbookView xWindow="-120" yWindow="-120" windowWidth="29040" windowHeight="15840" tabRatio="916" xr2:uid="{00000000-000D-0000-FFFF-FFFF00000000}"/>
  </bookViews>
  <sheets>
    <sheet name="Index" sheetId="66" r:id="rId1"/>
    <sheet name="RevReq" sheetId="1" r:id="rId2"/>
    <sheet name="opincsum" sheetId="2" r:id="rId3"/>
    <sheet name="Pro Forma Summary" sheetId="3" r:id="rId4"/>
    <sheet name="Pro Formas" sheetId="4" r:id="rId5"/>
    <sheet name="Statement H" sheetId="64" r:id="rId6"/>
    <sheet name="WP2-Op Income" sheetId="93" r:id="rId7"/>
    <sheet name="WP4-Interest Sync" sheetId="8" r:id="rId8"/>
    <sheet name="WP4-Int Synch p2" sheetId="29" r:id="rId9"/>
    <sheet name="WP5-Payroll Adj" sheetId="15" r:id="rId10"/>
    <sheet name="WP5 p.5-DirectPay2021" sheetId="49" r:id="rId11"/>
    <sheet name="WP5 p.6 Detail Dist" sheetId="65" r:id="rId12"/>
    <sheet name="WP6-Weather" sheetId="54" r:id="rId13"/>
    <sheet name="WP7pg1-Pension Costs" sheetId="38" r:id="rId14"/>
    <sheet name="WP7pg2-Pension Costs " sheetId="39" r:id="rId15"/>
    <sheet name="WP8-Dep Exp" sheetId="55" r:id="rId16"/>
    <sheet name="WP9-Sales Growth" sheetId="58" r:id="rId17"/>
    <sheet name="WP10-Meter Read Labor" sheetId="60" r:id="rId18"/>
    <sheet name="WP11-Rate Case Exp" sheetId="68" r:id="rId19"/>
    <sheet name="WP12-LPC" sheetId="28" r:id="rId20"/>
    <sheet name="WP13-LTIP" sheetId="57" r:id="rId21"/>
    <sheet name="WP14-Prop Tax" sheetId="61" r:id="rId22"/>
    <sheet name="WP15-PGA" sheetId="62" r:id="rId23"/>
    <sheet name="WP16-Econ Dev" sheetId="51" r:id="rId24"/>
    <sheet name="WP18-" sheetId="91" state="hidden" r:id="rId25"/>
    <sheet name="WP17-Revenue Reclass" sheetId="94" r:id="rId26"/>
    <sheet name="WACC" sheetId="89" r:id="rId27"/>
    <sheet name="Sheet1" sheetId="95" r:id="rId28"/>
    <sheet name="Cost LT Debt" sheetId="86" r:id="rId29"/>
    <sheet name="LT Debt" sheetId="69" r:id="rId30"/>
    <sheet name="Unam Debt Prem" sheetId="72" r:id="rId31"/>
    <sheet name="Unam Gain Reacq" sheetId="74" r:id="rId32"/>
    <sheet name="Unam Debt Disc" sheetId="70" r:id="rId33"/>
    <sheet name="Unam Debt Exp" sheetId="71" r:id="rId34"/>
    <sheet name="Unam Loss Reacq" sheetId="73" r:id="rId35"/>
    <sheet name="Interest" sheetId="80" r:id="rId36"/>
    <sheet name="Amort Disc" sheetId="75" r:id="rId37"/>
    <sheet name="Amort Exp" sheetId="76" r:id="rId38"/>
    <sheet name="Amort Loss" sheetId="77" r:id="rId39"/>
    <sheet name="Amort Premium" sheetId="79" r:id="rId40"/>
    <sheet name="7.45%B" sheetId="83" r:id="rId41"/>
    <sheet name="Amort Gain" sheetId="78" r:id="rId42"/>
    <sheet name="7.45%A" sheetId="81" r:id="rId43"/>
    <sheet name="6.95%A" sheetId="82" r:id="rId44"/>
    <sheet name="6.95%B" sheetId="84" r:id="rId45"/>
    <sheet name="6.95%C" sheetId="85" r:id="rId46"/>
    <sheet name="Com Eq" sheetId="87" r:id="rId47"/>
    <sheet name="Unam G&amp;L" sheetId="88" r:id="rId48"/>
  </sheets>
  <definedNames>
    <definedName name="ACwvu.CostCap." localSheetId="5" hidden="1">'Statement H'!#REF!</definedName>
    <definedName name="ACwvu.HUGO." localSheetId="5" hidden="1">'Statement H'!$C$1:$AL$81</definedName>
    <definedName name="ACwvu.IncStat." localSheetId="5" hidden="1">'Statement H'!#REF!</definedName>
    <definedName name="ACwvu.Input." localSheetId="5" hidden="1">'Statement H'!#REF!</definedName>
    <definedName name="ACwvu.RateBase." localSheetId="5" hidden="1">'Statement H'!#REF!</definedName>
    <definedName name="ACwvu.RevReq." localSheetId="5" hidden="1">'Statement H'!#REF!</definedName>
    <definedName name="ACwvu.WorkCap." localSheetId="5" hidden="1">'Statement H'!#REF!</definedName>
    <definedName name="LINE" localSheetId="0">#REF!</definedName>
    <definedName name="LINE" localSheetId="5">#REF!</definedName>
    <definedName name="LINE" localSheetId="17">#REF!</definedName>
    <definedName name="LINE" localSheetId="18">#REF!</definedName>
    <definedName name="LINE" localSheetId="21">#REF!</definedName>
    <definedName name="LINE" localSheetId="22">#REF!</definedName>
    <definedName name="LINE" localSheetId="12">#REF!</definedName>
    <definedName name="LINE" localSheetId="15">#REF!</definedName>
    <definedName name="LINE" localSheetId="16">#REF!</definedName>
    <definedName name="LINE">#REF!</definedName>
    <definedName name="_xlnm.Print_Area" localSheetId="43">'6.95%A'!$A$1:$J$63</definedName>
    <definedName name="_xlnm.Print_Area" localSheetId="44">'6.95%B'!$A$1:$I$62</definedName>
    <definedName name="_xlnm.Print_Area" localSheetId="45">'6.95%C'!$A$1:$I$61</definedName>
    <definedName name="_xlnm.Print_Area" localSheetId="42">'7.45%A'!$A$1:$J$63</definedName>
    <definedName name="_xlnm.Print_Area" localSheetId="40">'7.45%B'!$A$1:$I$62</definedName>
    <definedName name="_xlnm.Print_Area" localSheetId="36">'Amort Disc'!$A$1:$H$61</definedName>
    <definedName name="_xlnm.Print_Area" localSheetId="37">'Amort Exp'!$A$1:$H$59</definedName>
    <definedName name="_xlnm.Print_Area" localSheetId="41">'Amort Gain'!$A$1:$H$25</definedName>
    <definedName name="_xlnm.Print_Area" localSheetId="38">'Amort Loss'!$A$1:$H$52</definedName>
    <definedName name="_xlnm.Print_Area" localSheetId="46">'Com Eq'!$A$1:$P$61</definedName>
    <definedName name="_xlnm.Print_Area" localSheetId="28">'Cost LT Debt'!$A$1:$F$50</definedName>
    <definedName name="_xlnm.Print_Area" localSheetId="0">Index!$A$1:$N$30</definedName>
    <definedName name="_xlnm.Print_Area" localSheetId="35">Interest!$A$1:$H$65</definedName>
    <definedName name="_xlnm.Print_Area" localSheetId="29">'LT Debt'!$A$1:$S$65</definedName>
    <definedName name="_xlnm.Print_Area" localSheetId="2">opincsum!$A$1:$M$41</definedName>
    <definedName name="_xlnm.Print_Area" localSheetId="3">'Pro Forma Summary'!$A$1:$AJ$32</definedName>
    <definedName name="_xlnm.Print_Area" localSheetId="4">'Pro Formas'!$A$1:$E$319</definedName>
    <definedName name="_xlnm.Print_Area" localSheetId="1">RevReq!$A$1:$G$57</definedName>
    <definedName name="_xlnm.Print_Area" localSheetId="5">'Statement H'!$A$1:$U$81</definedName>
    <definedName name="_xlnm.Print_Area" localSheetId="32">'Unam Debt Disc'!$A$1:$S$63</definedName>
    <definedName name="_xlnm.Print_Area" localSheetId="33">'Unam Debt Exp'!$A$1:$S$58</definedName>
    <definedName name="_xlnm.Print_Area" localSheetId="30">'Unam Debt Prem'!$A$1:$S$67</definedName>
    <definedName name="_xlnm.Print_Area" localSheetId="47">'Unam G&amp;L'!$A$1:$P$32</definedName>
    <definedName name="_xlnm.Print_Area" localSheetId="31">'Unam Gain Reacq'!$A$1:$P$68</definedName>
    <definedName name="_xlnm.Print_Area" localSheetId="34">'Unam Loss Reacq'!$A$1:$S$54</definedName>
    <definedName name="_xlnm.Print_Area" localSheetId="26">WACC!$A$1:$H$32</definedName>
    <definedName name="_xlnm.Print_Area" localSheetId="17">'WP10-Meter Read Labor'!$A$1:$F$26</definedName>
    <definedName name="_xlnm.Print_Area" localSheetId="18">'WP11-Rate Case Exp'!$A$1:$H$22</definedName>
    <definedName name="_xlnm.Print_Area" localSheetId="19">'WP12-LPC'!$A$1:$F$25</definedName>
    <definedName name="_xlnm.Print_Area" localSheetId="23">'WP16-Econ Dev'!$A$1:$H$24</definedName>
    <definedName name="_xlnm.Print_Area" localSheetId="25">'WP17-Revenue Reclass'!$A$1:$F$29</definedName>
    <definedName name="_xlnm.Print_Area" localSheetId="24">'WP18-'!$A$1:$F$27</definedName>
    <definedName name="_xlnm.Print_Area" localSheetId="6">'WP2-Op Income'!$A$1:$W$54</definedName>
    <definedName name="_xlnm.Print_Area" localSheetId="8">'WP4-Int Synch p2'!$A$1:$E$52</definedName>
    <definedName name="_xlnm.Print_Area" localSheetId="7">'WP4-Interest Sync'!$A$1:$G$32</definedName>
    <definedName name="_xlnm.Print_Area" localSheetId="10">'WP5 p.5-DirectPay2021'!$A$1:$O$48</definedName>
    <definedName name="_xlnm.Print_Area" localSheetId="9">'WP5-Payroll Adj'!$A$1:$H$59</definedName>
    <definedName name="_xlnm.Print_Area" localSheetId="12">'WP6-Weather'!$A$1:$G$26</definedName>
    <definedName name="_xlnm.Print_Area" localSheetId="13">'WP7pg1-Pension Costs'!$A$1:$H$30</definedName>
    <definedName name="_xlnm.Print_Area" localSheetId="14">'WP7pg2-Pension Costs '!$A$1:$N$45</definedName>
    <definedName name="_xlnm.Print_Area" localSheetId="15">'WP8-Dep Exp'!$A$1:$G$27</definedName>
    <definedName name="_xlnm.Print_Area" localSheetId="16">'WP9-Sales Growth'!$A$1:$I$116</definedName>
    <definedName name="_xlnm.Print_Titles" localSheetId="3">'Pro Forma Summary'!$A:$D</definedName>
    <definedName name="_xlnm.Print_Titles" localSheetId="5">'Statement H'!$A:$B,'Statement H'!$1:$13</definedName>
    <definedName name="_xlnm.Print_Titles" localSheetId="7">'WP4-Interest Sync'!$1:$8</definedName>
    <definedName name="_xlnm.Print_Titles" localSheetId="10">'WP5 p.5-DirectPay2021'!$1:$12</definedName>
    <definedName name="_xlnm.Recorder" localSheetId="0">#REF!</definedName>
    <definedName name="_xlnm.Recorder" localSheetId="17">#REF!</definedName>
    <definedName name="_xlnm.Recorder" localSheetId="18">#REF!</definedName>
    <definedName name="_xlnm.Recorder" localSheetId="21">#REF!</definedName>
    <definedName name="_xlnm.Recorder" localSheetId="22">#REF!</definedName>
    <definedName name="_xlnm.Recorder">#REF!</definedName>
    <definedName name="solver_opt" localSheetId="5" hidden="1">'Statement H'!#REF!</definedName>
    <definedName name="Swvu.CostCap." localSheetId="5" hidden="1">'Statement H'!#REF!</definedName>
    <definedName name="Swvu.HUGO." localSheetId="5" hidden="1">'Statement H'!$C$1:$AL$81</definedName>
    <definedName name="Swvu.IncStat." localSheetId="5" hidden="1">'Statement H'!#REF!</definedName>
    <definedName name="Swvu.Input." localSheetId="5" hidden="1">'Statement H'!#REF!</definedName>
    <definedName name="Swvu.RateBase." localSheetId="5" hidden="1">'Statement H'!#REF!</definedName>
    <definedName name="Swvu.RevReq." localSheetId="5" hidden="1">'Statement H'!#REF!</definedName>
    <definedName name="Swvu.WorkCap." localSheetId="5" hidden="1">'Statement H'!#REF!</definedName>
    <definedName name="wvu.CostCap." localSheetId="5" hidden="1">{TRUE,TRUE,7.75,9.25,470.25,272.25,FALSE,TRUE,TRUE,TRUE,0,3,#N/A,134,#N/A,5.55339805825243,17.5882352941176,1,FALSE,FALSE,1,TRUE,1,FALSE,100,"Swvu.CostCap.","ACwvu.CostCap.",1,FALSE,FALSE,0.1,0.1,0.5,0.5,1,"","&amp;R&amp;F
&amp;D
&amp;T",FALSE,FALSE,FALSE,FALSE,1,#N/A,1,1,"=R142C5:R160C10",FALSE,#N/A,#N/A,FALSE,FALSE}</definedName>
    <definedName name="wvu.HUGO." localSheetId="5" hidden="1">{TRUE,TRUE,7.75,9.25,470.25,272.25,FALSE,TRUE,TRUE,TRUE,0,5,#N/A,203,#N/A,5.46590909090909,20.6,1,FALSE,FALSE,1,TRUE,1,FALSE,100,"Swvu.HUGO.","ACwvu.HUGO.",1,FALSE,FALSE,0.5,0.5,0.5,0.5,1,"","&amp;R&amp;F
&amp;D
&amp;T",FALSE,FALSE,FALSE,FALSE,1,#N/A,4,1,"=R213C7:R314C51","=C5:C6",#N/A,#N/A,FALSE,FALSE}</definedName>
    <definedName name="wvu.IncStat." localSheetId="5" hidden="1">{TRUE,TRUE,7.75,9.25,470.25,272.25,FALSE,TRUE,TRUE,TRUE,0,5,#N/A,95,#N/A,5.37864077669903,17.5882352941176,1,FALSE,FALSE,1,TRUE,1,FALSE,100,"Swvu.IncStat.","ACwvu.IncStat.",1,FALSE,FALSE,0.1,0.1,0.5,0.5,2,"","&amp;R&amp;F
&amp;D
&amp;T",FALSE,FALSE,FALSE,FALSE,1,#N/A,4,1,"=R103C7:R138C48","=C5:C6",#N/A,#N/A,FALSE,FALSE}</definedName>
    <definedName name="wvu.Input." localSheetId="5" hidden="1">{TRUE,TRUE,7.75,9.25,470.25,272.25,FALSE,TRUE,TRUE,TRUE,0,1,#N/A,1,#N/A,3.65625,17.4705882352941,1,FALSE,FALSE,1,TRUE,1,FALSE,100,"Swvu.Input.","ACwvu.Input.",1,FALSE,FALSE,0.75,0.75,1,1,1,"","&amp;R&amp;F
&amp;D
&amp;T",FALSE,FALSE,FALSE,FALSE,1,#N/A,1,1,"=R1C1:R60C3",FALSE,#N/A,#N/A,FALSE,FALSE}</definedName>
    <definedName name="wvu.RateBase." localSheetId="5" hidden="1">{TRUE,TRUE,7.75,9.25,470.25,272.25,FALSE,TRUE,TRUE,TRUE,0,3,#N/A,42,#N/A,5.55339805825243,17.6470588235294,1,FALSE,FALSE,1,TRUE,1,FALSE,100,"Swvu.RateBase.","ACwvu.RateBase.",1,FALSE,FALSE,0.1,0.1,0.5,0.5,2,"","&amp;R&amp;F
&amp;D
&amp;T",FALSE,FALSE,FALSE,FALSE,1,#N/A,1,1,"=R50C5:R102C23",FALSE,#N/A,#N/A,FALSE,FALSE}</definedName>
    <definedName name="wvu.RevReq." localSheetId="5" hidden="1">{TRUE,TRUE,7.75,9.25,470.25,272.25,FALSE,TRUE,TRUE,TRUE,0,3,#N/A,1,#N/A,4.56363636363636,17.4705882352941,1,FALSE,FALSE,1,TRUE,1,FALSE,100,"Swvu.RevReq.","ACwvu.RevReq.",1,FALSE,FALSE,0.75,0.75,1,1,1,"","&amp;R&amp;F
&amp;D
&amp;T",FALSE,FALSE,FALSE,FALSE,1,#N/A,1,1,"=R1C5:R38C9",FALSE,#N/A,#N/A,FALSE,FALSE}</definedName>
    <definedName name="wvu.WorkCap." localSheetId="5" hidden="1">{TRUE,TRUE,7.75,9.25,470.25,272.25,FALSE,TRUE,TRUE,TRUE,0,3,#N/A,159,#N/A,5.55339805825243,17.7058823529412,1,FALSE,FALSE,1,TRUE,1,FALSE,100,"Swvu.WorkCap.","ACwvu.WorkCap.",1,FALSE,FALSE,0.1,0.1,0.5,0.5,1,"","&amp;R&amp;F
&amp;D
&amp;T",FALSE,FALSE,FALSE,FALSE,1,#N/A,1,1,"=R167C5:R204C13",FALSE,#N/A,#N/A,FALSE,FALSE}</definedName>
    <definedName name="Z_01516ADE_EB3D_11D1_8033_006008593708_.wvu.PrintArea" localSheetId="5" hidden="1">'Statement H'!#REF!</definedName>
    <definedName name="Z_01516AE3_EB3D_11D1_8033_006008593708_.wvu.PrintArea" localSheetId="5" hidden="1">'Statement H'!$C$1:$AJ$71</definedName>
    <definedName name="Z_01516AE3_EB3D_11D1_8033_006008593708_.wvu.PrintTitles" localSheetId="5" hidden="1">'Statement H'!$A:$B</definedName>
    <definedName name="Z_01516AE8_EB3D_11D1_8033_006008593708_.wvu.PrintArea" localSheetId="5" hidden="1">'Statement H'!#REF!</definedName>
    <definedName name="Z_01516AE8_EB3D_11D1_8033_006008593708_.wvu.PrintTitles" localSheetId="5" hidden="1">'Statement H'!$A:$B</definedName>
    <definedName name="Z_01516AED_EB3D_11D1_8033_006008593708_.wvu.PrintArea" localSheetId="5" hidden="1">'Statement H'!#REF!</definedName>
    <definedName name="Z_01516AF2_EB3D_11D1_8033_006008593708_.wvu.PrintArea" localSheetId="5" hidden="1">'Statement H'!#REF!</definedName>
    <definedName name="Z_01516AF7_EB3D_11D1_8033_006008593708_.wvu.PrintArea" localSheetId="5" hidden="1">'Statement H'!#REF!</definedName>
    <definedName name="Z_01516AFC_EB3D_11D1_8033_006008593708_.wvu.PrintArea" localSheetId="5" hidden="1">'Statement H'!#REF!</definedName>
    <definedName name="Z_06085B87_1668_11D2_803A_006008593708_.wvu.PrintArea" localSheetId="5" hidden="1">'Statement H'!#REF!</definedName>
    <definedName name="Z_06085B8C_1668_11D2_803A_006008593708_.wvu.PrintArea" localSheetId="5" hidden="1">'Statement H'!$C$1:$AJ$71</definedName>
    <definedName name="Z_06085B8C_1668_11D2_803A_006008593708_.wvu.PrintTitles" localSheetId="5" hidden="1">'Statement H'!$A:$B</definedName>
    <definedName name="Z_06085B91_1668_11D2_803A_006008593708_.wvu.PrintArea" localSheetId="5" hidden="1">'Statement H'!#REF!</definedName>
    <definedName name="Z_06085B91_1668_11D2_803A_006008593708_.wvu.PrintTitles" localSheetId="5" hidden="1">'Statement H'!$A:$B</definedName>
    <definedName name="Z_06085B96_1668_11D2_803A_006008593708_.wvu.PrintArea" localSheetId="5" hidden="1">'Statement H'!#REF!</definedName>
    <definedName name="Z_06085B9B_1668_11D2_803A_006008593708_.wvu.PrintArea" localSheetId="5" hidden="1">'Statement H'!#REF!</definedName>
    <definedName name="Z_06085BA0_1668_11D2_803A_006008593708_.wvu.PrintArea" localSheetId="5" hidden="1">'Statement H'!#REF!</definedName>
    <definedName name="Z_06085BA5_1668_11D2_803A_006008593708_.wvu.PrintArea" localSheetId="5" hidden="1">'Statement H'!#REF!</definedName>
    <definedName name="Z_0A6833E7_4CBF_11D2_ACFD_006008593708_.wvu.PrintArea" localSheetId="5" hidden="1">'Statement H'!#REF!</definedName>
    <definedName name="Z_0A6833E7_4CBF_11D2_ACFD_006008593708_.wvu.PrintTitles" localSheetId="5" hidden="1">'Statement H'!$A:$B</definedName>
    <definedName name="Z_0A6833E9_4CBF_11D2_ACFD_006008593708_.wvu.PrintArea" localSheetId="5" hidden="1">'Statement H'!$C$1:$V$72</definedName>
    <definedName name="Z_0A6833E9_4CBF_11D2_ACFD_006008593708_.wvu.PrintTitles" localSheetId="5" hidden="1">'Statement H'!$A:$B</definedName>
    <definedName name="Z_0A6833EB_4CBF_11D2_ACFD_006008593708_.wvu.PrintArea" localSheetId="5" hidden="1">'Statement H'!#REF!</definedName>
    <definedName name="Z_0A6833EB_4CBF_11D2_ACFD_006008593708_.wvu.PrintTitles" localSheetId="5" hidden="1">'Statement H'!$A:$B</definedName>
    <definedName name="Z_0A6833ED_4CBF_11D2_ACFD_006008593708_.wvu.PrintArea" localSheetId="5" hidden="1">'Statement H'!#REF!</definedName>
    <definedName name="Z_0A6833ED_4CBF_11D2_ACFD_006008593708_.wvu.PrintTitles" localSheetId="5" hidden="1">'Statement H'!$A:$B</definedName>
    <definedName name="Z_0A6833EF_4CBF_11D2_ACFD_006008593708_.wvu.PrintArea" localSheetId="5" hidden="1">'Statement H'!#REF!</definedName>
    <definedName name="Z_0A6833EF_4CBF_11D2_ACFD_006008593708_.wvu.PrintTitles" localSheetId="5" hidden="1">'Statement H'!$A:$B</definedName>
    <definedName name="Z_0A6833F1_4CBF_11D2_ACFD_006008593708_.wvu.PrintArea" localSheetId="5" hidden="1">'Statement H'!#REF!</definedName>
    <definedName name="Z_0A6833F1_4CBF_11D2_ACFD_006008593708_.wvu.PrintTitles" localSheetId="5" hidden="1">'Statement H'!$A:$B</definedName>
    <definedName name="Z_0A6833F3_4CBF_11D2_ACFD_006008593708_.wvu.PrintArea" localSheetId="5" hidden="1">'Statement H'!#REF!</definedName>
    <definedName name="Z_0A6833F3_4CBF_11D2_ACFD_006008593708_.wvu.PrintTitles" localSheetId="5" hidden="1">'Statement H'!$A:$B</definedName>
    <definedName name="Z_24BB64B8_52E8_11D2_AD01_006008593708_.wvu.PrintArea" localSheetId="5" hidden="1">'Statement H'!#REF!</definedName>
    <definedName name="Z_24BB64B8_52E8_11D2_AD01_006008593708_.wvu.PrintTitles" localSheetId="5" hidden="1">'Statement H'!$A:$B</definedName>
    <definedName name="Z_24BB64BA_52E8_11D2_AD01_006008593708_.wvu.PrintArea" localSheetId="5" hidden="1">'Statement H'!$C$1:$V$72</definedName>
    <definedName name="Z_24BB64BA_52E8_11D2_AD01_006008593708_.wvu.PrintTitles" localSheetId="5" hidden="1">'Statement H'!$A:$B</definedName>
    <definedName name="Z_24BB64BC_52E8_11D2_AD01_006008593708_.wvu.PrintArea" localSheetId="5" hidden="1">'Statement H'!#REF!</definedName>
    <definedName name="Z_24BB64BC_52E8_11D2_AD01_006008593708_.wvu.PrintTitles" localSheetId="5" hidden="1">'Statement H'!$A:$B</definedName>
    <definedName name="Z_24BB64BE_52E8_11D2_AD01_006008593708_.wvu.PrintArea" localSheetId="5" hidden="1">'Statement H'!#REF!</definedName>
    <definedName name="Z_24BB64BE_52E8_11D2_AD01_006008593708_.wvu.PrintTitles" localSheetId="5" hidden="1">'Statement H'!$A:$B</definedName>
    <definedName name="Z_24BB64C0_52E8_11D2_AD01_006008593708_.wvu.PrintArea" localSheetId="5" hidden="1">'Statement H'!#REF!</definedName>
    <definedName name="Z_24BB64C0_52E8_11D2_AD01_006008593708_.wvu.PrintTitles" localSheetId="5" hidden="1">'Statement H'!$A:$B</definedName>
    <definedName name="Z_24BB64C2_52E8_11D2_AD01_006008593708_.wvu.PrintArea" localSheetId="5" hidden="1">'Statement H'!#REF!</definedName>
    <definedName name="Z_24BB64C2_52E8_11D2_AD01_006008593708_.wvu.PrintTitles" localSheetId="5" hidden="1">'Statement H'!$A:$B</definedName>
    <definedName name="Z_24BB64C4_52E8_11D2_AD01_006008593708_.wvu.PrintArea" localSheetId="5" hidden="1">'Statement H'!#REF!</definedName>
    <definedName name="Z_24BB64C4_52E8_11D2_AD01_006008593708_.wvu.PrintTitles" localSheetId="5" hidden="1">'Statement H'!$A:$B</definedName>
    <definedName name="Z_2F8C97D6_FB04_11D1_8036_006008593708_.wvu.PrintArea" localSheetId="5" hidden="1">'Statement H'!#REF!</definedName>
    <definedName name="Z_2F8C97DB_FB04_11D1_8036_006008593708_.wvu.PrintArea" localSheetId="5" hidden="1">'Statement H'!$C$1:$AJ$71</definedName>
    <definedName name="Z_2F8C97DB_FB04_11D1_8036_006008593708_.wvu.PrintTitles" localSheetId="5" hidden="1">'Statement H'!$A:$B</definedName>
    <definedName name="Z_2F8C97E0_FB04_11D1_8036_006008593708_.wvu.PrintArea" localSheetId="5" hidden="1">'Statement H'!#REF!</definedName>
    <definedName name="Z_2F8C97E0_FB04_11D1_8036_006008593708_.wvu.PrintTitles" localSheetId="5" hidden="1">'Statement H'!$A:$B</definedName>
    <definedName name="Z_2F8C97E5_FB04_11D1_8036_006008593708_.wvu.PrintArea" localSheetId="5" hidden="1">'Statement H'!#REF!</definedName>
    <definedName name="Z_2F8C97EA_FB04_11D1_8036_006008593708_.wvu.PrintArea" localSheetId="5" hidden="1">'Statement H'!#REF!</definedName>
    <definedName name="Z_2F8C97EF_FB04_11D1_8036_006008593708_.wvu.PrintArea" localSheetId="5" hidden="1">'Statement H'!#REF!</definedName>
    <definedName name="Z_2F8C97F4_FB04_11D1_8036_006008593708_.wvu.PrintArea" localSheetId="5" hidden="1">'Statement H'!#REF!</definedName>
    <definedName name="Z_39F4F3EE_EA65_11D1_8032_006008593708_.wvu.PrintArea" localSheetId="5" hidden="1">'Statement H'!#REF!</definedName>
    <definedName name="Z_39F4F3F3_EA65_11D1_8032_006008593708_.wvu.PrintArea" localSheetId="5" hidden="1">'Statement H'!$C$1:$AJ$71</definedName>
    <definedName name="Z_39F4F3F3_EA65_11D1_8032_006008593708_.wvu.PrintTitles" localSheetId="5" hidden="1">'Statement H'!$A:$B</definedName>
    <definedName name="Z_39F4F3F8_EA65_11D1_8032_006008593708_.wvu.PrintArea" localSheetId="5" hidden="1">'Statement H'!#REF!</definedName>
    <definedName name="Z_39F4F3F8_EA65_11D1_8032_006008593708_.wvu.PrintTitles" localSheetId="5" hidden="1">'Statement H'!$A:$B</definedName>
    <definedName name="Z_39F4F3FD_EA65_11D1_8032_006008593708_.wvu.PrintArea" localSheetId="5" hidden="1">'Statement H'!#REF!</definedName>
    <definedName name="Z_39F4F402_EA65_11D1_8032_006008593708_.wvu.PrintArea" localSheetId="5" hidden="1">'Statement H'!#REF!</definedName>
    <definedName name="Z_39F4F407_EA65_11D1_8032_006008593708_.wvu.PrintArea" localSheetId="5" hidden="1">'Statement H'!#REF!</definedName>
    <definedName name="Z_39F4F40C_EA65_11D1_8032_006008593708_.wvu.PrintArea" localSheetId="5" hidden="1">'Statement H'!#REF!</definedName>
    <definedName name="Z_39F4F416_EA65_11D1_8032_006008593708_.wvu.PrintArea" localSheetId="5" hidden="1">'Statement H'!#REF!</definedName>
    <definedName name="Z_39F4F41B_EA65_11D1_8032_006008593708_.wvu.PrintArea" localSheetId="5" hidden="1">'Statement H'!$C$1:$AJ$71</definedName>
    <definedName name="Z_39F4F41B_EA65_11D1_8032_006008593708_.wvu.PrintTitles" localSheetId="5" hidden="1">'Statement H'!$A:$B</definedName>
    <definedName name="Z_39F4F420_EA65_11D1_8032_006008593708_.wvu.PrintArea" localSheetId="5" hidden="1">'Statement H'!#REF!</definedName>
    <definedName name="Z_39F4F420_EA65_11D1_8032_006008593708_.wvu.PrintTitles" localSheetId="5" hidden="1">'Statement H'!$A:$B</definedName>
    <definedName name="Z_39F4F425_EA65_11D1_8032_006008593708_.wvu.PrintArea" localSheetId="5" hidden="1">'Statement H'!#REF!</definedName>
    <definedName name="Z_39F4F42A_EA65_11D1_8032_006008593708_.wvu.PrintArea" localSheetId="5" hidden="1">'Statement H'!#REF!</definedName>
    <definedName name="Z_39F4F42F_EA65_11D1_8032_006008593708_.wvu.PrintArea" localSheetId="5" hidden="1">'Statement H'!#REF!</definedName>
    <definedName name="Z_39F4F434_EA65_11D1_8032_006008593708_.wvu.PrintArea" localSheetId="5" hidden="1">'Statement H'!#REF!</definedName>
    <definedName name="Z_611FC3E6_D91B_11D1_801B_006008593708_.wvu.PrintArea" localSheetId="5" hidden="1">'Statement H'!#REF!</definedName>
    <definedName name="Z_611FC3EB_D91B_11D1_801B_006008593708_.wvu.PrintArea" localSheetId="5" hidden="1">'Statement H'!$C$1:$AJ$71</definedName>
    <definedName name="Z_611FC3EB_D91B_11D1_801B_006008593708_.wvu.PrintTitles" localSheetId="5" hidden="1">'Statement H'!$A:$B</definedName>
    <definedName name="Z_611FC3F0_D91B_11D1_801B_006008593708_.wvu.PrintArea" localSheetId="5" hidden="1">'Statement H'!#REF!</definedName>
    <definedName name="Z_611FC3F0_D91B_11D1_801B_006008593708_.wvu.PrintTitles" localSheetId="5" hidden="1">'Statement H'!$A:$B</definedName>
    <definedName name="Z_611FC3F5_D91B_11D1_801B_006008593708_.wvu.PrintArea" localSheetId="5" hidden="1">'Statement H'!#REF!</definedName>
    <definedName name="Z_611FC3FA_D91B_11D1_801B_006008593708_.wvu.PrintArea" localSheetId="5" hidden="1">'Statement H'!#REF!</definedName>
    <definedName name="Z_611FC3FF_D91B_11D1_801B_006008593708_.wvu.PrintArea" localSheetId="5" hidden="1">'Statement H'!#REF!</definedName>
    <definedName name="Z_611FC404_D91B_11D1_801B_006008593708_.wvu.PrintArea" localSheetId="5" hidden="1">'Statement H'!#REF!</definedName>
    <definedName name="Z_63513367_521F_11D2_ACFF_006008593708_.wvu.PrintArea" localSheetId="5" hidden="1">'Statement H'!#REF!</definedName>
    <definedName name="Z_63513367_521F_11D2_ACFF_006008593708_.wvu.PrintTitles" localSheetId="5" hidden="1">'Statement H'!$A:$B</definedName>
    <definedName name="Z_63513369_521F_11D2_ACFF_006008593708_.wvu.PrintArea" localSheetId="5" hidden="1">'Statement H'!$C$1:$V$72</definedName>
    <definedName name="Z_63513369_521F_11D2_ACFF_006008593708_.wvu.PrintTitles" localSheetId="5" hidden="1">'Statement H'!$A:$B</definedName>
    <definedName name="Z_6351336B_521F_11D2_ACFF_006008593708_.wvu.PrintArea" localSheetId="5" hidden="1">'Statement H'!#REF!</definedName>
    <definedName name="Z_6351336B_521F_11D2_ACFF_006008593708_.wvu.PrintTitles" localSheetId="5" hidden="1">'Statement H'!$A:$B</definedName>
    <definedName name="Z_6351336D_521F_11D2_ACFF_006008593708_.wvu.PrintArea" localSheetId="5" hidden="1">'Statement H'!#REF!</definedName>
    <definedName name="Z_6351336D_521F_11D2_ACFF_006008593708_.wvu.PrintTitles" localSheetId="5" hidden="1">'Statement H'!$A:$B</definedName>
    <definedName name="Z_6351336F_521F_11D2_ACFF_006008593708_.wvu.PrintArea" localSheetId="5" hidden="1">'Statement H'!#REF!</definedName>
    <definedName name="Z_6351336F_521F_11D2_ACFF_006008593708_.wvu.PrintTitles" localSheetId="5" hidden="1">'Statement H'!$A:$B</definedName>
    <definedName name="Z_63513371_521F_11D2_ACFF_006008593708_.wvu.PrintArea" localSheetId="5" hidden="1">'Statement H'!#REF!</definedName>
    <definedName name="Z_63513371_521F_11D2_ACFF_006008593708_.wvu.PrintTitles" localSheetId="5" hidden="1">'Statement H'!$A:$B</definedName>
    <definedName name="Z_63513373_521F_11D2_ACFF_006008593708_.wvu.PrintArea" localSheetId="5" hidden="1">'Statement H'!#REF!</definedName>
    <definedName name="Z_63513373_521F_11D2_ACFF_006008593708_.wvu.PrintTitles" localSheetId="5" hidden="1">'Statement H'!$A:$B</definedName>
    <definedName name="Z_6D6631F5_E379_11D1_802B_006008593708_.wvu.PrintArea" localSheetId="5" hidden="1">'Statement H'!#REF!</definedName>
    <definedName name="Z_6D6631FA_E379_11D1_802B_006008593708_.wvu.PrintArea" localSheetId="5" hidden="1">'Statement H'!$C$1:$AJ$71</definedName>
    <definedName name="Z_6D6631FA_E379_11D1_802B_006008593708_.wvu.PrintTitles" localSheetId="5" hidden="1">'Statement H'!$A:$B</definedName>
    <definedName name="Z_6D6631FF_E379_11D1_802B_006008593708_.wvu.PrintArea" localSheetId="5" hidden="1">'Statement H'!#REF!</definedName>
    <definedName name="Z_6D6631FF_E379_11D1_802B_006008593708_.wvu.PrintTitles" localSheetId="5" hidden="1">'Statement H'!$A:$B</definedName>
    <definedName name="Z_6D663204_E379_11D1_802B_006008593708_.wvu.PrintArea" localSheetId="5" hidden="1">'Statement H'!#REF!</definedName>
    <definedName name="Z_6D663209_E379_11D1_802B_006008593708_.wvu.PrintArea" localSheetId="5" hidden="1">'Statement H'!#REF!</definedName>
    <definedName name="Z_6D66320E_E379_11D1_802B_006008593708_.wvu.PrintArea" localSheetId="5" hidden="1">'Statement H'!#REF!</definedName>
    <definedName name="Z_6D663213_E379_11D1_802B_006008593708_.wvu.PrintArea" localSheetId="5" hidden="1">'Statement H'!#REF!</definedName>
    <definedName name="Z_6E2B7AE7_0A9E_11D2_8037_006008593708_.wvu.PrintArea" localSheetId="5" hidden="1">'Statement H'!#REF!</definedName>
    <definedName name="Z_6E2B7AEC_0A9E_11D2_8037_006008593708_.wvu.PrintArea" localSheetId="5" hidden="1">'Statement H'!$C$1:$AJ$71</definedName>
    <definedName name="Z_6E2B7AEC_0A9E_11D2_8037_006008593708_.wvu.PrintTitles" localSheetId="5" hidden="1">'Statement H'!$A:$B</definedName>
    <definedName name="Z_6E2B7AF1_0A9E_11D2_8037_006008593708_.wvu.PrintArea" localSheetId="5" hidden="1">'Statement H'!#REF!</definedName>
    <definedName name="Z_6E2B7AF1_0A9E_11D2_8037_006008593708_.wvu.PrintTitles" localSheetId="5" hidden="1">'Statement H'!$A:$B</definedName>
    <definedName name="Z_6E2B7AF6_0A9E_11D2_8037_006008593708_.wvu.PrintArea" localSheetId="5" hidden="1">'Statement H'!#REF!</definedName>
    <definedName name="Z_6E2B7AFB_0A9E_11D2_8037_006008593708_.wvu.PrintArea" localSheetId="5" hidden="1">'Statement H'!#REF!</definedName>
    <definedName name="Z_6E2B7B00_0A9E_11D2_8037_006008593708_.wvu.PrintArea" localSheetId="5" hidden="1">'Statement H'!#REF!</definedName>
    <definedName name="Z_6E2B7B05_0A9E_11D2_8037_006008593708_.wvu.PrintArea" localSheetId="5" hidden="1">'Statement H'!#REF!</definedName>
    <definedName name="Z_74FC75E9_5260_11D2_AD00_006008593708_.wvu.PrintArea" localSheetId="5" hidden="1">'Statement H'!#REF!</definedName>
    <definedName name="Z_74FC75E9_5260_11D2_AD00_006008593708_.wvu.PrintTitles" localSheetId="5" hidden="1">'Statement H'!$A:$B</definedName>
    <definedName name="Z_74FC75EB_5260_11D2_AD00_006008593708_.wvu.PrintArea" localSheetId="5" hidden="1">'Statement H'!$C$1:$V$72</definedName>
    <definedName name="Z_74FC75EB_5260_11D2_AD00_006008593708_.wvu.PrintTitles" localSheetId="5" hidden="1">'Statement H'!$A:$B</definedName>
    <definedName name="Z_74FC75ED_5260_11D2_AD00_006008593708_.wvu.PrintArea" localSheetId="5" hidden="1">'Statement H'!#REF!</definedName>
    <definedName name="Z_74FC75ED_5260_11D2_AD00_006008593708_.wvu.PrintTitles" localSheetId="5" hidden="1">'Statement H'!$A:$B</definedName>
    <definedName name="Z_74FC75EF_5260_11D2_AD00_006008593708_.wvu.PrintArea" localSheetId="5" hidden="1">'Statement H'!#REF!</definedName>
    <definedName name="Z_74FC75EF_5260_11D2_AD00_006008593708_.wvu.PrintTitles" localSheetId="5" hidden="1">'Statement H'!$A:$B</definedName>
    <definedName name="Z_74FC75F1_5260_11D2_AD00_006008593708_.wvu.PrintArea" localSheetId="5" hidden="1">'Statement H'!#REF!</definedName>
    <definedName name="Z_74FC75F1_5260_11D2_AD00_006008593708_.wvu.PrintTitles" localSheetId="5" hidden="1">'Statement H'!$A:$B</definedName>
    <definedName name="Z_74FC75F3_5260_11D2_AD00_006008593708_.wvu.PrintArea" localSheetId="5" hidden="1">'Statement H'!#REF!</definedName>
    <definedName name="Z_74FC75F3_5260_11D2_AD00_006008593708_.wvu.PrintTitles" localSheetId="5" hidden="1">'Statement H'!$A:$B</definedName>
    <definedName name="Z_74FC75F5_5260_11D2_AD00_006008593708_.wvu.PrintArea" localSheetId="5" hidden="1">'Statement H'!#REF!</definedName>
    <definedName name="Z_74FC75F5_5260_11D2_AD00_006008593708_.wvu.PrintTitles" localSheetId="5" hidden="1">'Statement H'!$A:$B</definedName>
    <definedName name="Z_9F368D81_D930_11D1_801D_006008593708_.wvu.PrintArea" localSheetId="5" hidden="1">'Statement H'!#REF!</definedName>
    <definedName name="Z_9F368D86_D930_11D1_801D_006008593708_.wvu.PrintArea" localSheetId="5" hidden="1">'Statement H'!$C$1:$AJ$71</definedName>
    <definedName name="Z_9F368D86_D930_11D1_801D_006008593708_.wvu.PrintTitles" localSheetId="5" hidden="1">'Statement H'!$A:$B</definedName>
    <definedName name="Z_9F368D8B_D930_11D1_801D_006008593708_.wvu.PrintArea" localSheetId="5" hidden="1">'Statement H'!#REF!</definedName>
    <definedName name="Z_9F368D8B_D930_11D1_801D_006008593708_.wvu.PrintTitles" localSheetId="5" hidden="1">'Statement H'!$A:$B</definedName>
    <definedName name="Z_9F368D90_D930_11D1_801D_006008593708_.wvu.PrintArea" localSheetId="5" hidden="1">'Statement H'!#REF!</definedName>
    <definedName name="Z_9F368D95_D930_11D1_801D_006008593708_.wvu.PrintArea" localSheetId="5" hidden="1">'Statement H'!#REF!</definedName>
    <definedName name="Z_9F368D9A_D930_11D1_801D_006008593708_.wvu.PrintArea" localSheetId="5" hidden="1">'Statement H'!#REF!</definedName>
    <definedName name="Z_9F368D9F_D930_11D1_801D_006008593708_.wvu.PrintArea" localSheetId="5" hidden="1">'Statement H'!#REF!</definedName>
    <definedName name="Z_A582C2B5_D9E2_11D1_801D_006008593708_.wvu.PrintArea" localSheetId="5" hidden="1">'Statement H'!#REF!</definedName>
    <definedName name="Z_A582C2BA_D9E2_11D1_801D_006008593708_.wvu.PrintArea" localSheetId="5" hidden="1">'Statement H'!$C$1:$AJ$71</definedName>
    <definedName name="Z_A582C2BA_D9E2_11D1_801D_006008593708_.wvu.PrintTitles" localSheetId="5" hidden="1">'Statement H'!$A:$B</definedName>
    <definedName name="Z_A582C2BF_D9E2_11D1_801D_006008593708_.wvu.PrintArea" localSheetId="5" hidden="1">'Statement H'!#REF!</definedName>
    <definedName name="Z_A582C2BF_D9E2_11D1_801D_006008593708_.wvu.PrintTitles" localSheetId="5" hidden="1">'Statement H'!$A:$B</definedName>
    <definedName name="Z_A582C2C4_D9E2_11D1_801D_006008593708_.wvu.PrintArea" localSheetId="5" hidden="1">'Statement H'!#REF!</definedName>
    <definedName name="Z_A582C2C9_D9E2_11D1_801D_006008593708_.wvu.PrintArea" localSheetId="5" hidden="1">'Statement H'!#REF!</definedName>
    <definedName name="Z_A582C2CE_D9E2_11D1_801D_006008593708_.wvu.PrintArea" localSheetId="5" hidden="1">'Statement H'!#REF!</definedName>
    <definedName name="Z_A582C2D3_D9E2_11D1_801D_006008593708_.wvu.PrintArea" localSheetId="5" hidden="1">'Statement H'!#REF!</definedName>
    <definedName name="Z_B7BE2127_CB01_11D1_8011_006008593708_.wvu.PrintArea" localSheetId="5" hidden="1">'Statement H'!#REF!</definedName>
    <definedName name="Z_B7BE212C_CB01_11D1_8011_006008593708_.wvu.PrintArea" localSheetId="5" hidden="1">'Statement H'!$C$1:$AJ$71</definedName>
    <definedName name="Z_B7BE212C_CB01_11D1_8011_006008593708_.wvu.PrintTitles" localSheetId="5" hidden="1">'Statement H'!$A:$B</definedName>
    <definedName name="Z_B7BE2131_CB01_11D1_8011_006008593708_.wvu.PrintArea" localSheetId="5" hidden="1">'Statement H'!#REF!</definedName>
    <definedName name="Z_B7BE2131_CB01_11D1_8011_006008593708_.wvu.PrintTitles" localSheetId="5" hidden="1">'Statement H'!$A:$B</definedName>
    <definedName name="Z_B7BE2136_CB01_11D1_8011_006008593708_.wvu.PrintArea" localSheetId="5" hidden="1">'Statement H'!#REF!</definedName>
    <definedName name="Z_B7BE213B_CB01_11D1_8011_006008593708_.wvu.PrintArea" localSheetId="5" hidden="1">'Statement H'!#REF!</definedName>
    <definedName name="Z_B7BE2140_CB01_11D1_8011_006008593708_.wvu.PrintArea" localSheetId="5" hidden="1">'Statement H'!#REF!</definedName>
    <definedName name="Z_B7BE2145_CB01_11D1_8011_006008593708_.wvu.PrintArea" localSheetId="5" hidden="1">'Statement H'!#REF!</definedName>
    <definedName name="Z_CC8625A7_4BD4_11D2_ACF9_006008593708_.wvu.PrintArea" localSheetId="5" hidden="1">'Statement H'!#REF!</definedName>
    <definedName name="Z_CC8625A7_4BD4_11D2_ACF9_006008593708_.wvu.PrintTitles" localSheetId="5" hidden="1">'Statement H'!$A:$B</definedName>
    <definedName name="Z_CC8625A9_4BD4_11D2_ACF9_006008593708_.wvu.PrintArea" localSheetId="5" hidden="1">'Statement H'!$C$1:$Y$72</definedName>
    <definedName name="Z_CC8625A9_4BD4_11D2_ACF9_006008593708_.wvu.PrintTitles" localSheetId="5" hidden="1">'Statement H'!$A:$B</definedName>
    <definedName name="Z_CC8625AB_4BD4_11D2_ACF9_006008593708_.wvu.PrintArea" localSheetId="5" hidden="1">'Statement H'!#REF!</definedName>
    <definedName name="Z_CC8625AB_4BD4_11D2_ACF9_006008593708_.wvu.PrintTitles" localSheetId="5" hidden="1">'Statement H'!$A:$B</definedName>
    <definedName name="Z_CC8625AD_4BD4_11D2_ACF9_006008593708_.wvu.PrintArea" localSheetId="5" hidden="1">'Statement H'!#REF!</definedName>
    <definedName name="Z_CC8625AD_4BD4_11D2_ACF9_006008593708_.wvu.PrintTitles" localSheetId="5" hidden="1">'Statement H'!$A:$B</definedName>
    <definedName name="Z_CC8625AF_4BD4_11D2_ACF9_006008593708_.wvu.PrintArea" localSheetId="5" hidden="1">'Statement H'!#REF!</definedName>
    <definedName name="Z_CC8625AF_4BD4_11D2_ACF9_006008593708_.wvu.PrintTitles" localSheetId="5" hidden="1">'Statement H'!$A:$B</definedName>
    <definedName name="Z_CC8625B1_4BD4_11D2_ACF9_006008593708_.wvu.PrintArea" localSheetId="5" hidden="1">'Statement H'!#REF!</definedName>
    <definedName name="Z_CC8625B1_4BD4_11D2_ACF9_006008593708_.wvu.PrintTitles" localSheetId="5" hidden="1">'Statement H'!$A:$B</definedName>
    <definedName name="Z_CC8625B3_4BD4_11D2_ACF9_006008593708_.wvu.PrintArea" localSheetId="5" hidden="1">'Statement H'!#REF!</definedName>
    <definedName name="Z_CC8625B3_4BD4_11D2_ACF9_006008593708_.wvu.PrintTitles" localSheetId="5" hidden="1">'Statement H'!$A:$B</definedName>
    <definedName name="Z_F63E7264_4C9D_11D2_ACFA_006008593708_.wvu.PrintArea" localSheetId="5" hidden="1">'Statement H'!#REF!</definedName>
    <definedName name="Z_F63E7264_4C9D_11D2_ACFA_006008593708_.wvu.PrintTitles" localSheetId="5" hidden="1">'Statement H'!$A:$B</definedName>
    <definedName name="Z_F63E7266_4C9D_11D2_ACFA_006008593708_.wvu.PrintArea" localSheetId="5" hidden="1">'Statement H'!$C$1:$V$72</definedName>
    <definedName name="Z_F63E7266_4C9D_11D2_ACFA_006008593708_.wvu.PrintTitles" localSheetId="5" hidden="1">'Statement H'!$A:$B</definedName>
    <definedName name="Z_F63E7268_4C9D_11D2_ACFA_006008593708_.wvu.PrintArea" localSheetId="5" hidden="1">'Statement H'!#REF!</definedName>
    <definedName name="Z_F63E7268_4C9D_11D2_ACFA_006008593708_.wvu.PrintTitles" localSheetId="5" hidden="1">'Statement H'!$A:$B</definedName>
    <definedName name="Z_F63E726A_4C9D_11D2_ACFA_006008593708_.wvu.PrintArea" localSheetId="5" hidden="1">'Statement H'!#REF!</definedName>
    <definedName name="Z_F63E726A_4C9D_11D2_ACFA_006008593708_.wvu.PrintTitles" localSheetId="5" hidden="1">'Statement H'!$A:$B</definedName>
    <definedName name="Z_F63E726C_4C9D_11D2_ACFA_006008593708_.wvu.PrintArea" localSheetId="5" hidden="1">'Statement H'!#REF!</definedName>
    <definedName name="Z_F63E726C_4C9D_11D2_ACFA_006008593708_.wvu.PrintTitles" localSheetId="5" hidden="1">'Statement H'!$A:$B</definedName>
    <definedName name="Z_F63E726E_4C9D_11D2_ACFA_006008593708_.wvu.PrintArea" localSheetId="5" hidden="1">'Statement H'!#REF!</definedName>
    <definedName name="Z_F63E726E_4C9D_11D2_ACFA_006008593708_.wvu.PrintTitles" localSheetId="5" hidden="1">'Statement H'!$A:$B</definedName>
    <definedName name="Z_F63E7270_4C9D_11D2_ACFA_006008593708_.wvu.PrintArea" localSheetId="5" hidden="1">'Statement H'!#REF!</definedName>
    <definedName name="Z_F63E7270_4C9D_11D2_ACFA_006008593708_.wvu.PrintTitles" localSheetId="5" hidden="1">'Statement H'!$A:$B</definedName>
    <definedName name="Z_FAFA6F65_CD55_11D1_8012_006008593708_.wvu.PrintArea" localSheetId="5" hidden="1">'Statement H'!#REF!</definedName>
    <definedName name="Z_FAFA6F6A_CD55_11D1_8012_006008593708_.wvu.PrintArea" localSheetId="5" hidden="1">'Statement H'!$C$1:$AJ$71</definedName>
    <definedName name="Z_FAFA6F6A_CD55_11D1_8012_006008593708_.wvu.PrintTitles" localSheetId="5" hidden="1">'Statement H'!$A:$B</definedName>
    <definedName name="Z_FAFA6F6F_CD55_11D1_8012_006008593708_.wvu.PrintArea" localSheetId="5" hidden="1">'Statement H'!#REF!</definedName>
    <definedName name="Z_FAFA6F6F_CD55_11D1_8012_006008593708_.wvu.PrintTitles" localSheetId="5" hidden="1">'Statement H'!$A:$B</definedName>
    <definedName name="Z_FAFA6F74_CD55_11D1_8012_006008593708_.wvu.PrintArea" localSheetId="5" hidden="1">'Statement H'!#REF!</definedName>
    <definedName name="Z_FAFA6F79_CD55_11D1_8012_006008593708_.wvu.PrintArea" localSheetId="5" hidden="1">'Statement H'!#REF!</definedName>
    <definedName name="Z_FAFA6F7E_CD55_11D1_8012_006008593708_.wvu.PrintArea" localSheetId="5" hidden="1">'Statement H'!#REF!</definedName>
    <definedName name="Z_FAFA6F83_CD55_11D1_8012_006008593708_.wvu.PrintArea" localSheetId="5" hidden="1">'Statement H'!#REF!</definedName>
    <definedName name="Z_FEA3E295_EB52_11D1_8034_006008593708_.wvu.PrintArea" localSheetId="5" hidden="1">'Statement H'!#REF!</definedName>
    <definedName name="Z_FEA3E29A_EB52_11D1_8034_006008593708_.wvu.PrintArea" localSheetId="5" hidden="1">'Statement H'!$C$1:$AJ$71</definedName>
    <definedName name="Z_FEA3E29A_EB52_11D1_8034_006008593708_.wvu.PrintTitles" localSheetId="5" hidden="1">'Statement H'!$A:$B</definedName>
    <definedName name="Z_FEA3E29F_EB52_11D1_8034_006008593708_.wvu.PrintArea" localSheetId="5" hidden="1">'Statement H'!#REF!</definedName>
    <definedName name="Z_FEA3E29F_EB52_11D1_8034_006008593708_.wvu.PrintTitles" localSheetId="5" hidden="1">'Statement H'!$A:$B</definedName>
    <definedName name="Z_FEA3E2A4_EB52_11D1_8034_006008593708_.wvu.PrintArea" localSheetId="5" hidden="1">'Statement H'!#REF!</definedName>
    <definedName name="Z_FEA3E2A9_EB52_11D1_8034_006008593708_.wvu.PrintArea" localSheetId="5" hidden="1">'Statement H'!#REF!</definedName>
    <definedName name="Z_FEA3E2AE_EB52_11D1_8034_006008593708_.wvu.PrintArea" localSheetId="5" hidden="1">'Statement H'!#REF!</definedName>
    <definedName name="Z_FEA3E2B3_EB52_11D1_8034_006008593708_.wvu.PrintArea" localSheetId="5" hidden="1">'Statement H'!#REF!</definedName>
  </definedNames>
  <calcPr calcId="191028"/>
  <customWorkbookViews>
    <customWorkbookView name="CostCap (WPPIncStmt)" guid="{E17B5FA0-97ED-11D5-9023-444553540000}" xWindow="14" yWindow="35" windowWidth="617" windowHeight="334" activeSheetId="24"/>
    <customWorkbookView name="HUGO (WPPIncStmt)" guid="{E17B5FA1-97ED-11D5-9023-444553540000}" xWindow="14" yWindow="35" windowWidth="617" windowHeight="334" activeSheetId="24"/>
    <customWorkbookView name="IncStat (WPPIncStmt)" guid="{E17B5FA2-97ED-11D5-9023-444553540000}" xWindow="14" yWindow="35" windowWidth="617" windowHeight="334" activeSheetId="24"/>
    <customWorkbookView name="Input (WPPIncStmt)" guid="{E17B5FA3-97ED-11D5-9023-444553540000}" xWindow="14" yWindow="35" windowWidth="617" windowHeight="334" activeSheetId="24"/>
    <customWorkbookView name="RateBase (WPPIncStmt)" guid="{E17B5FA4-97ED-11D5-9023-444553540000}" xWindow="14" yWindow="35" windowWidth="617" windowHeight="334" activeSheetId="24"/>
    <customWorkbookView name="RevReq (WPPIncStmt)" guid="{E17B5FA5-97ED-11D5-9023-444553540000}" xWindow="14" yWindow="35" windowWidth="617" windowHeight="334" activeSheetId="24"/>
    <customWorkbookView name="WorkCap (WPPIncStmt)" guid="{E17B5FA6-97ED-11D5-9023-444553540000}" xWindow="14" yWindow="35" windowWidth="617" windowHeight="334" activeSheetId="2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86" l="1"/>
  <c r="G56" i="82"/>
  <c r="G26" i="84"/>
  <c r="G26" i="85"/>
  <c r="E35" i="1"/>
  <c r="A80" i="58"/>
  <c r="A81" i="58" s="1"/>
  <c r="A82" i="58" s="1"/>
  <c r="A83" i="58" s="1"/>
  <c r="A84" i="58" s="1"/>
  <c r="A85" i="58" s="1"/>
  <c r="A86" i="58" s="1"/>
  <c r="A87" i="58" s="1"/>
  <c r="A88" i="58" s="1"/>
  <c r="A89" i="58" s="1"/>
  <c r="A90" i="58" s="1"/>
  <c r="A91" i="58" s="1"/>
  <c r="A92" i="58" s="1"/>
  <c r="A53" i="58"/>
  <c r="A54" i="58" s="1"/>
  <c r="A55" i="58" s="1"/>
  <c r="A56" i="58" s="1"/>
  <c r="A57" i="58" s="1"/>
  <c r="A58" i="58" s="1"/>
  <c r="A59" i="58" s="1"/>
  <c r="A60" i="58" s="1"/>
  <c r="A61" i="58" s="1"/>
  <c r="A62" i="58" s="1"/>
  <c r="A63" i="58" s="1"/>
  <c r="A64" i="58" s="1"/>
  <c r="A65" i="58" s="1"/>
  <c r="A66" i="58" s="1"/>
  <c r="A67" i="58" s="1"/>
  <c r="A18" i="66" l="1"/>
  <c r="Q15" i="64" l="1"/>
  <c r="AG15" i="3"/>
  <c r="E313" i="4"/>
  <c r="E18" i="94"/>
  <c r="E21" i="94" s="1"/>
  <c r="E23" i="94" s="1"/>
  <c r="F18" i="61" l="1"/>
  <c r="N76" i="64"/>
  <c r="A238" i="4"/>
  <c r="A239" i="4" s="1"/>
  <c r="F17" i="61"/>
  <c r="F24" i="61" s="1"/>
  <c r="E238" i="4" s="1"/>
  <c r="A15" i="94"/>
  <c r="A16" i="94" s="1"/>
  <c r="A17" i="94" s="1"/>
  <c r="A5" i="94"/>
  <c r="A2" i="94"/>
  <c r="A20" i="55"/>
  <c r="A21" i="55"/>
  <c r="A22" i="55" s="1"/>
  <c r="A23" i="55" s="1"/>
  <c r="A24" i="55" s="1"/>
  <c r="A25" i="55" s="1"/>
  <c r="AG14" i="3"/>
  <c r="A311" i="4"/>
  <c r="A300" i="4"/>
  <c r="A298" i="4"/>
  <c r="E18" i="2"/>
  <c r="U47" i="93"/>
  <c r="U46" i="93"/>
  <c r="S44" i="93"/>
  <c r="S43" i="93"/>
  <c r="S51" i="93" s="1"/>
  <c r="E22" i="2" s="1"/>
  <c r="I27" i="93"/>
  <c r="W51" i="93"/>
  <c r="E24" i="2" s="1"/>
  <c r="Q51" i="93"/>
  <c r="E20" i="2" s="1"/>
  <c r="O51" i="93"/>
  <c r="E19" i="2" s="1"/>
  <c r="M51" i="93"/>
  <c r="I32" i="93"/>
  <c r="I26" i="93"/>
  <c r="I25" i="93"/>
  <c r="A23" i="94" l="1"/>
  <c r="A18" i="94"/>
  <c r="N78" i="64"/>
  <c r="U51" i="93"/>
  <c r="E23" i="2" s="1"/>
  <c r="K33" i="93"/>
  <c r="K31" i="93"/>
  <c r="K30" i="93"/>
  <c r="K29" i="93"/>
  <c r="I28" i="93"/>
  <c r="I24" i="93"/>
  <c r="I23" i="93"/>
  <c r="K22" i="93"/>
  <c r="I21" i="93"/>
  <c r="I20" i="93"/>
  <c r="I19" i="93"/>
  <c r="K18" i="93"/>
  <c r="K17" i="93"/>
  <c r="K16" i="93"/>
  <c r="K15" i="93"/>
  <c r="K14" i="93"/>
  <c r="K13" i="93"/>
  <c r="I12" i="93"/>
  <c r="I51" i="93" l="1"/>
  <c r="K51" i="93"/>
  <c r="E14" i="2" s="1"/>
  <c r="E13" i="2"/>
  <c r="A6" i="93"/>
  <c r="A2" i="93"/>
  <c r="E15" i="2" l="1"/>
  <c r="E21" i="55"/>
  <c r="AG16" i="3"/>
  <c r="A21" i="91"/>
  <c r="A18" i="91"/>
  <c r="A19" i="91" s="1"/>
  <c r="A14" i="91"/>
  <c r="A15" i="91" s="1"/>
  <c r="A16" i="91" s="1"/>
  <c r="A5" i="91"/>
  <c r="A2" i="91"/>
  <c r="R79" i="64"/>
  <c r="R78" i="64"/>
  <c r="R76" i="64"/>
  <c r="R74" i="64"/>
  <c r="F22" i="61"/>
  <c r="Q71" i="64" l="1"/>
  <c r="A23" i="91"/>
  <c r="A15" i="29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14" i="29"/>
  <c r="AG27" i="3" l="1"/>
  <c r="AG28" i="3" s="1"/>
  <c r="Q80" i="64"/>
  <c r="Q81" i="64" s="1"/>
  <c r="F19" i="51"/>
  <c r="F18" i="51"/>
  <c r="F20" i="51" s="1"/>
  <c r="F23" i="51" s="1"/>
  <c r="A5" i="28"/>
  <c r="A2" i="57"/>
  <c r="A5" i="61"/>
  <c r="A2" i="61"/>
  <c r="A5" i="60"/>
  <c r="A2" i="58"/>
  <c r="E17" i="60" l="1"/>
  <c r="E20" i="60" s="1"/>
  <c r="E22" i="49" l="1"/>
  <c r="E20" i="8" l="1"/>
  <c r="A18" i="62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F27" i="62"/>
  <c r="F21" i="62"/>
  <c r="F33" i="62" s="1"/>
  <c r="E263" i="4" s="1"/>
  <c r="F35" i="62"/>
  <c r="E264" i="4" s="1"/>
  <c r="O67" i="64" s="1"/>
  <c r="G21" i="58"/>
  <c r="E21" i="58"/>
  <c r="AC20" i="3" l="1"/>
  <c r="F37" i="62"/>
  <c r="E265" i="4" s="1"/>
  <c r="F17" i="62"/>
  <c r="O73" i="64" l="1"/>
  <c r="AC22" i="3"/>
  <c r="F16" i="57"/>
  <c r="E19" i="8"/>
  <c r="E52" i="29"/>
  <c r="E38" i="29"/>
  <c r="E41" i="29" l="1"/>
  <c r="E42" i="29"/>
  <c r="E40" i="29" l="1"/>
  <c r="E16" i="29"/>
  <c r="E19" i="29" s="1"/>
  <c r="E20" i="29" l="1"/>
  <c r="E22" i="29" s="1"/>
  <c r="E39" i="29" l="1"/>
  <c r="E43" i="29" s="1"/>
  <c r="E28" i="29"/>
  <c r="E35" i="29" s="1"/>
  <c r="H36" i="39" l="1"/>
  <c r="L16" i="39"/>
  <c r="J16" i="39"/>
  <c r="L12" i="39"/>
  <c r="J12" i="39"/>
  <c r="H14" i="39"/>
  <c r="H12" i="39"/>
  <c r="H38" i="39"/>
  <c r="H37" i="39"/>
  <c r="H16" i="39" s="1"/>
  <c r="A6" i="64" l="1"/>
  <c r="C78" i="64"/>
  <c r="C74" i="64"/>
  <c r="C75" i="64"/>
  <c r="C73" i="64"/>
  <c r="C72" i="64"/>
  <c r="C28" i="64"/>
  <c r="C27" i="64"/>
  <c r="D51" i="75" l="1"/>
  <c r="S32" i="73"/>
  <c r="S24" i="70" l="1"/>
  <c r="S23" i="70"/>
  <c r="S22" i="70"/>
  <c r="S21" i="70"/>
  <c r="S20" i="70"/>
  <c r="S19" i="70"/>
  <c r="S18" i="70"/>
  <c r="S17" i="70"/>
  <c r="S16" i="70"/>
  <c r="S15" i="70"/>
  <c r="S14" i="70"/>
  <c r="S13" i="70"/>
  <c r="D29" i="76"/>
  <c r="D27" i="75" l="1"/>
  <c r="R43" i="73" l="1"/>
  <c r="Q43" i="73"/>
  <c r="P43" i="73"/>
  <c r="O43" i="73"/>
  <c r="N43" i="73"/>
  <c r="R49" i="70"/>
  <c r="Q49" i="70"/>
  <c r="P49" i="70"/>
  <c r="O49" i="70"/>
  <c r="N49" i="70"/>
  <c r="M49" i="70"/>
  <c r="L49" i="70"/>
  <c r="K49" i="70"/>
  <c r="J49" i="70"/>
  <c r="I49" i="70"/>
  <c r="H49" i="70"/>
  <c r="A4" i="62" l="1"/>
  <c r="A4" i="88"/>
  <c r="A2" i="88"/>
  <c r="P13" i="87"/>
  <c r="P14" i="87"/>
  <c r="P15" i="87"/>
  <c r="D55" i="85"/>
  <c r="A4" i="85"/>
  <c r="A2" i="85"/>
  <c r="D55" i="84"/>
  <c r="A4" i="84"/>
  <c r="A2" i="84"/>
  <c r="A4" i="82"/>
  <c r="A2" i="82"/>
  <c r="F56" i="82"/>
  <c r="D56" i="82"/>
  <c r="F56" i="81"/>
  <c r="A4" i="81"/>
  <c r="A2" i="81"/>
  <c r="D55" i="83"/>
  <c r="D56" i="81"/>
  <c r="A4" i="83"/>
  <c r="A2" i="83"/>
  <c r="A4" i="78"/>
  <c r="A2" i="78"/>
  <c r="A4" i="79"/>
  <c r="A2" i="79"/>
  <c r="D17" i="79"/>
  <c r="D33" i="86" s="1"/>
  <c r="A4" i="77"/>
  <c r="A2" i="77"/>
  <c r="A4" i="76"/>
  <c r="A2" i="76"/>
  <c r="A4" i="75"/>
  <c r="A2" i="75"/>
  <c r="A4" i="80"/>
  <c r="A2" i="80"/>
  <c r="G26" i="80" l="1"/>
  <c r="G25" i="80"/>
  <c r="G24" i="80"/>
  <c r="G23" i="80"/>
  <c r="G22" i="80"/>
  <c r="G21" i="80"/>
  <c r="G20" i="80"/>
  <c r="G19" i="80"/>
  <c r="A4" i="73" l="1"/>
  <c r="A2" i="73"/>
  <c r="R27" i="71"/>
  <c r="Q27" i="71"/>
  <c r="P27" i="71"/>
  <c r="O27" i="71"/>
  <c r="N27" i="71"/>
  <c r="M27" i="71"/>
  <c r="L27" i="71"/>
  <c r="K27" i="71"/>
  <c r="J27" i="71"/>
  <c r="I27" i="71"/>
  <c r="H27" i="71"/>
  <c r="G27" i="71"/>
  <c r="S26" i="71"/>
  <c r="S25" i="71"/>
  <c r="S24" i="71"/>
  <c r="S23" i="71"/>
  <c r="S22" i="71"/>
  <c r="S21" i="71"/>
  <c r="S20" i="71"/>
  <c r="S19" i="71"/>
  <c r="A31" i="71"/>
  <c r="A4" i="71"/>
  <c r="A2" i="71"/>
  <c r="S48" i="70"/>
  <c r="G49" i="70"/>
  <c r="S25" i="70"/>
  <c r="R25" i="70"/>
  <c r="Q25" i="70"/>
  <c r="P25" i="70"/>
  <c r="O25" i="70"/>
  <c r="N25" i="70"/>
  <c r="M25" i="70"/>
  <c r="L25" i="70"/>
  <c r="K25" i="70"/>
  <c r="J25" i="70"/>
  <c r="I25" i="70"/>
  <c r="H25" i="70"/>
  <c r="G25" i="70"/>
  <c r="A4" i="70"/>
  <c r="A2" i="70"/>
  <c r="A4" i="69"/>
  <c r="A2" i="69"/>
  <c r="A4" i="74"/>
  <c r="A2" i="74"/>
  <c r="A19" i="72"/>
  <c r="A4" i="72"/>
  <c r="A2" i="72"/>
  <c r="R50" i="69"/>
  <c r="Q50" i="69"/>
  <c r="P50" i="69"/>
  <c r="O50" i="69"/>
  <c r="N50" i="69"/>
  <c r="M50" i="69"/>
  <c r="L50" i="69"/>
  <c r="K50" i="69"/>
  <c r="J50" i="69"/>
  <c r="I50" i="69"/>
  <c r="H50" i="69"/>
  <c r="G50" i="69"/>
  <c r="S49" i="69"/>
  <c r="E51" i="80" s="1"/>
  <c r="R26" i="69" l="1"/>
  <c r="Q26" i="69"/>
  <c r="P26" i="69"/>
  <c r="O26" i="69"/>
  <c r="N26" i="69"/>
  <c r="M26" i="69"/>
  <c r="L26" i="69"/>
  <c r="K26" i="69"/>
  <c r="J26" i="69"/>
  <c r="I26" i="69"/>
  <c r="H26" i="69"/>
  <c r="G26" i="69"/>
  <c r="S25" i="69"/>
  <c r="E27" i="80" s="1"/>
  <c r="E28" i="80" s="1"/>
  <c r="S24" i="69"/>
  <c r="S23" i="69"/>
  <c r="S22" i="69"/>
  <c r="S21" i="69"/>
  <c r="S20" i="69"/>
  <c r="S19" i="69"/>
  <c r="S18" i="69"/>
  <c r="A2" i="86"/>
  <c r="A4" i="86"/>
  <c r="A4" i="64" l="1"/>
  <c r="A5" i="65"/>
  <c r="A2" i="65" l="1"/>
  <c r="N17" i="87" l="1"/>
  <c r="M17" i="87"/>
  <c r="L17" i="87"/>
  <c r="K17" i="87"/>
  <c r="J17" i="87"/>
  <c r="I17" i="87"/>
  <c r="H17" i="87"/>
  <c r="G17" i="87"/>
  <c r="F17" i="87"/>
  <c r="E17" i="87"/>
  <c r="D17" i="87"/>
  <c r="P12" i="87"/>
  <c r="P11" i="87"/>
  <c r="A4" i="87"/>
  <c r="B58" i="85"/>
  <c r="B57" i="85"/>
  <c r="A29" i="85"/>
  <c r="A30" i="85" s="1"/>
  <c r="A31" i="85" s="1"/>
  <c r="A32" i="85" s="1"/>
  <c r="A33" i="85" s="1"/>
  <c r="A34" i="85" s="1"/>
  <c r="A35" i="85" s="1"/>
  <c r="A36" i="85" s="1"/>
  <c r="A37" i="85" s="1"/>
  <c r="A38" i="85" s="1"/>
  <c r="A39" i="85" s="1"/>
  <c r="A40" i="85" s="1"/>
  <c r="A41" i="85" s="1"/>
  <c r="A42" i="85" s="1"/>
  <c r="A43" i="85" s="1"/>
  <c r="A44" i="85" s="1"/>
  <c r="A45" i="85" s="1"/>
  <c r="A46" i="85" s="1"/>
  <c r="A47" i="85" s="1"/>
  <c r="G18" i="85"/>
  <c r="G19" i="85" s="1"/>
  <c r="B58" i="84"/>
  <c r="B57" i="84"/>
  <c r="A29" i="84"/>
  <c r="A30" i="84" s="1"/>
  <c r="A31" i="84" s="1"/>
  <c r="A32" i="84" s="1"/>
  <c r="A33" i="84" s="1"/>
  <c r="A34" i="84" s="1"/>
  <c r="A35" i="84" s="1"/>
  <c r="A36" i="84" s="1"/>
  <c r="A37" i="84" s="1"/>
  <c r="A38" i="84" s="1"/>
  <c r="A39" i="84" s="1"/>
  <c r="A40" i="84" s="1"/>
  <c r="A41" i="84" s="1"/>
  <c r="A42" i="84" s="1"/>
  <c r="A43" i="84" s="1"/>
  <c r="A44" i="84" s="1"/>
  <c r="A45" i="84" s="1"/>
  <c r="A46" i="84" s="1"/>
  <c r="A47" i="84" s="1"/>
  <c r="G18" i="84"/>
  <c r="G19" i="84" s="1"/>
  <c r="B58" i="83"/>
  <c r="B57" i="83"/>
  <c r="A29" i="83"/>
  <c r="A30" i="83" s="1"/>
  <c r="A31" i="83" s="1"/>
  <c r="A32" i="83" s="1"/>
  <c r="A33" i="83" s="1"/>
  <c r="A34" i="83" s="1"/>
  <c r="A35" i="83" s="1"/>
  <c r="A36" i="83" s="1"/>
  <c r="A37" i="83" s="1"/>
  <c r="A38" i="83" s="1"/>
  <c r="A39" i="83" s="1"/>
  <c r="A40" i="83" s="1"/>
  <c r="A41" i="83" s="1"/>
  <c r="A42" i="83" s="1"/>
  <c r="A43" i="83" s="1"/>
  <c r="A44" i="83" s="1"/>
  <c r="A45" i="83" s="1"/>
  <c r="A46" i="83" s="1"/>
  <c r="A47" i="83" s="1"/>
  <c r="G18" i="83"/>
  <c r="G23" i="83" s="1"/>
  <c r="B59" i="82"/>
  <c r="B58" i="82"/>
  <c r="A30" i="82"/>
  <c r="A31" i="82" s="1"/>
  <c r="A32" i="82" s="1"/>
  <c r="A33" i="82" s="1"/>
  <c r="A34" i="82" s="1"/>
  <c r="A35" i="82" s="1"/>
  <c r="A36" i="82" s="1"/>
  <c r="A37" i="82" s="1"/>
  <c r="A38" i="82" s="1"/>
  <c r="A39" i="82" s="1"/>
  <c r="A40" i="82" s="1"/>
  <c r="A41" i="82" s="1"/>
  <c r="A42" i="82" s="1"/>
  <c r="A43" i="82" s="1"/>
  <c r="A44" i="82" s="1"/>
  <c r="A45" i="82" s="1"/>
  <c r="A46" i="82" s="1"/>
  <c r="A47" i="82" s="1"/>
  <c r="A48" i="82" s="1"/>
  <c r="I19" i="82"/>
  <c r="I20" i="82" s="1"/>
  <c r="G19" i="82"/>
  <c r="G20" i="82" s="1"/>
  <c r="J18" i="82"/>
  <c r="J17" i="82"/>
  <c r="J16" i="82"/>
  <c r="J15" i="82"/>
  <c r="A30" i="81"/>
  <c r="A31" i="81" s="1"/>
  <c r="A32" i="81" s="1"/>
  <c r="A33" i="81" s="1"/>
  <c r="A34" i="81" s="1"/>
  <c r="A35" i="81" s="1"/>
  <c r="A36" i="81" s="1"/>
  <c r="A37" i="81" s="1"/>
  <c r="A38" i="81" s="1"/>
  <c r="A39" i="81" s="1"/>
  <c r="A40" i="81" s="1"/>
  <c r="A41" i="81" s="1"/>
  <c r="A42" i="81" s="1"/>
  <c r="A43" i="81" s="1"/>
  <c r="A44" i="81" s="1"/>
  <c r="A45" i="81" s="1"/>
  <c r="A46" i="81" s="1"/>
  <c r="A47" i="81" s="1"/>
  <c r="A48" i="81" s="1"/>
  <c r="I19" i="81"/>
  <c r="I20" i="81" s="1"/>
  <c r="G19" i="81"/>
  <c r="J18" i="81"/>
  <c r="J17" i="81"/>
  <c r="J16" i="81"/>
  <c r="J15" i="81"/>
  <c r="G40" i="80"/>
  <c r="A33" i="80"/>
  <c r="A34" i="80" s="1"/>
  <c r="A35" i="80" s="1"/>
  <c r="A36" i="80" s="1"/>
  <c r="A37" i="80" s="1"/>
  <c r="A38" i="80" s="1"/>
  <c r="A39" i="80" s="1"/>
  <c r="A40" i="80" s="1"/>
  <c r="A44" i="80" s="1"/>
  <c r="A45" i="80" s="1"/>
  <c r="A46" i="80" s="1"/>
  <c r="A47" i="80" s="1"/>
  <c r="A48" i="80" s="1"/>
  <c r="A49" i="80" s="1"/>
  <c r="A50" i="80" s="1"/>
  <c r="D37" i="77"/>
  <c r="D30" i="77"/>
  <c r="A28" i="77"/>
  <c r="A29" i="77" s="1"/>
  <c r="A30" i="77" s="1"/>
  <c r="A34" i="77" s="1"/>
  <c r="A35" i="77" s="1"/>
  <c r="A36" i="77" s="1"/>
  <c r="A37" i="77" s="1"/>
  <c r="D24" i="77"/>
  <c r="D48" i="76"/>
  <c r="D41" i="76"/>
  <c r="A33" i="76"/>
  <c r="A34" i="76" s="1"/>
  <c r="A35" i="76" s="1"/>
  <c r="A36" i="76" s="1"/>
  <c r="A37" i="76" s="1"/>
  <c r="A38" i="76" s="1"/>
  <c r="A39" i="76" s="1"/>
  <c r="A40" i="76" s="1"/>
  <c r="A41" i="76" s="1"/>
  <c r="A45" i="76" s="1"/>
  <c r="A46" i="76" s="1"/>
  <c r="A47" i="76" s="1"/>
  <c r="A48" i="76" s="1"/>
  <c r="A31" i="75"/>
  <c r="A32" i="75" s="1"/>
  <c r="A33" i="75" s="1"/>
  <c r="A34" i="75" s="1"/>
  <c r="A35" i="75" s="1"/>
  <c r="A36" i="75" s="1"/>
  <c r="A37" i="75" s="1"/>
  <c r="A38" i="75" s="1"/>
  <c r="A39" i="75" s="1"/>
  <c r="A43" i="75" s="1"/>
  <c r="A44" i="75" s="1"/>
  <c r="A45" i="75" s="1"/>
  <c r="A46" i="75" s="1"/>
  <c r="A47" i="75" s="1"/>
  <c r="A48" i="75" s="1"/>
  <c r="A49" i="75" s="1"/>
  <c r="A50" i="75" s="1"/>
  <c r="A51" i="75" s="1"/>
  <c r="M43" i="73"/>
  <c r="L43" i="73"/>
  <c r="K43" i="73"/>
  <c r="J43" i="73"/>
  <c r="I43" i="73"/>
  <c r="H43" i="73"/>
  <c r="G43" i="73"/>
  <c r="R34" i="73"/>
  <c r="Q34" i="73"/>
  <c r="P34" i="73"/>
  <c r="O34" i="73"/>
  <c r="N34" i="73"/>
  <c r="M34" i="73"/>
  <c r="L34" i="73"/>
  <c r="K34" i="73"/>
  <c r="J34" i="73"/>
  <c r="I34" i="73"/>
  <c r="H34" i="73"/>
  <c r="G34" i="73"/>
  <c r="S33" i="73"/>
  <c r="S31" i="73"/>
  <c r="R28" i="73"/>
  <c r="Q28" i="73"/>
  <c r="P28" i="73"/>
  <c r="O28" i="73"/>
  <c r="N28" i="73"/>
  <c r="M28" i="73"/>
  <c r="L28" i="73"/>
  <c r="K28" i="73"/>
  <c r="J28" i="73"/>
  <c r="I28" i="73"/>
  <c r="H28" i="73"/>
  <c r="G28" i="73"/>
  <c r="S27" i="73"/>
  <c r="S26" i="73"/>
  <c r="R22" i="73"/>
  <c r="Q22" i="73"/>
  <c r="P22" i="73"/>
  <c r="O22" i="73"/>
  <c r="N22" i="73"/>
  <c r="M22" i="73"/>
  <c r="L22" i="73"/>
  <c r="K22" i="73"/>
  <c r="J22" i="73"/>
  <c r="I22" i="73"/>
  <c r="H22" i="73"/>
  <c r="G22" i="73"/>
  <c r="S21" i="73"/>
  <c r="S20" i="73"/>
  <c r="S19" i="73"/>
  <c r="S18" i="73"/>
  <c r="S17" i="73"/>
  <c r="S16" i="73"/>
  <c r="S15" i="73"/>
  <c r="S14" i="73"/>
  <c r="R15" i="72"/>
  <c r="R19" i="72" s="1"/>
  <c r="Q15" i="72"/>
  <c r="Q19" i="72" s="1"/>
  <c r="P15" i="72"/>
  <c r="P19" i="72" s="1"/>
  <c r="O15" i="72"/>
  <c r="O19" i="72" s="1"/>
  <c r="N15" i="72"/>
  <c r="N19" i="72" s="1"/>
  <c r="M15" i="72"/>
  <c r="M19" i="72" s="1"/>
  <c r="L15" i="72"/>
  <c r="L19" i="72" s="1"/>
  <c r="K15" i="72"/>
  <c r="K19" i="72" s="1"/>
  <c r="J15" i="72"/>
  <c r="J19" i="72" s="1"/>
  <c r="I15" i="72"/>
  <c r="I19" i="72" s="1"/>
  <c r="H15" i="72"/>
  <c r="H19" i="72" s="1"/>
  <c r="G15" i="72"/>
  <c r="G19" i="72" s="1"/>
  <c r="S14" i="72"/>
  <c r="S13" i="72"/>
  <c r="S50" i="71"/>
  <c r="R46" i="71"/>
  <c r="Q46" i="71"/>
  <c r="P46" i="71"/>
  <c r="O46" i="71"/>
  <c r="N46" i="71"/>
  <c r="M46" i="71"/>
  <c r="L46" i="71"/>
  <c r="K46" i="71"/>
  <c r="J46" i="71"/>
  <c r="I46" i="71"/>
  <c r="H46" i="71"/>
  <c r="G46" i="71"/>
  <c r="S45" i="71"/>
  <c r="S44" i="71"/>
  <c r="S43" i="71"/>
  <c r="R39" i="71"/>
  <c r="Q39" i="71"/>
  <c r="P39" i="71"/>
  <c r="O39" i="71"/>
  <c r="N39" i="71"/>
  <c r="M39" i="71"/>
  <c r="L39" i="71"/>
  <c r="K39" i="71"/>
  <c r="J39" i="71"/>
  <c r="I39" i="71"/>
  <c r="H39" i="71"/>
  <c r="G39" i="71"/>
  <c r="S38" i="71"/>
  <c r="S37" i="71"/>
  <c r="S36" i="71"/>
  <c r="S35" i="71"/>
  <c r="S34" i="71"/>
  <c r="S33" i="71"/>
  <c r="S32" i="71"/>
  <c r="A32" i="71"/>
  <c r="A33" i="71" s="1"/>
  <c r="A34" i="71" s="1"/>
  <c r="A35" i="71" s="1"/>
  <c r="A36" i="71" s="1"/>
  <c r="A37" i="71" s="1"/>
  <c r="A38" i="71" s="1"/>
  <c r="A39" i="71" s="1"/>
  <c r="A43" i="71" s="1"/>
  <c r="S31" i="71"/>
  <c r="S18" i="71"/>
  <c r="S17" i="71"/>
  <c r="S16" i="71"/>
  <c r="S15" i="71"/>
  <c r="S14" i="71"/>
  <c r="S13" i="71"/>
  <c r="R55" i="70"/>
  <c r="Q55" i="70"/>
  <c r="P55" i="70"/>
  <c r="O55" i="70"/>
  <c r="N55" i="70"/>
  <c r="M55" i="70"/>
  <c r="L55" i="70"/>
  <c r="K55" i="70"/>
  <c r="J55" i="70"/>
  <c r="I55" i="70"/>
  <c r="H55" i="70"/>
  <c r="G55" i="70"/>
  <c r="S47" i="70"/>
  <c r="S46" i="70"/>
  <c r="S45" i="70"/>
  <c r="S44" i="70"/>
  <c r="S43" i="70"/>
  <c r="S42" i="70"/>
  <c r="S41" i="70"/>
  <c r="S49" i="70" s="1"/>
  <c r="R37" i="70"/>
  <c r="Q37" i="70"/>
  <c r="Q58" i="70" s="1"/>
  <c r="P37" i="70"/>
  <c r="O37" i="70"/>
  <c r="N37" i="70"/>
  <c r="M37" i="70"/>
  <c r="M58" i="70" s="1"/>
  <c r="L37" i="70"/>
  <c r="K37" i="70"/>
  <c r="J37" i="70"/>
  <c r="I37" i="70"/>
  <c r="I58" i="70" s="1"/>
  <c r="H37" i="70"/>
  <c r="G37" i="70"/>
  <c r="S36" i="70"/>
  <c r="S35" i="70"/>
  <c r="S34" i="70"/>
  <c r="S33" i="70"/>
  <c r="S32" i="70"/>
  <c r="S31" i="70"/>
  <c r="S30" i="70"/>
  <c r="S29" i="70"/>
  <c r="A29" i="70"/>
  <c r="A30" i="70" s="1"/>
  <c r="A31" i="70" s="1"/>
  <c r="A32" i="70" s="1"/>
  <c r="A33" i="70" s="1"/>
  <c r="A34" i="70" s="1"/>
  <c r="A35" i="70" s="1"/>
  <c r="A36" i="70" s="1"/>
  <c r="A37" i="70" s="1"/>
  <c r="A41" i="70" s="1"/>
  <c r="A42" i="70" s="1"/>
  <c r="A43" i="70" s="1"/>
  <c r="A44" i="70" s="1"/>
  <c r="A45" i="70" s="1"/>
  <c r="A46" i="70" s="1"/>
  <c r="A47" i="70" s="1"/>
  <c r="N58" i="70"/>
  <c r="R56" i="69"/>
  <c r="Q56" i="69"/>
  <c r="P56" i="69"/>
  <c r="O56" i="69"/>
  <c r="N56" i="69"/>
  <c r="M56" i="69"/>
  <c r="L56" i="69"/>
  <c r="K56" i="69"/>
  <c r="J56" i="69"/>
  <c r="I56" i="69"/>
  <c r="H56" i="69"/>
  <c r="G56" i="69"/>
  <c r="G58" i="80"/>
  <c r="S48" i="69"/>
  <c r="E50" i="80" s="1"/>
  <c r="S47" i="69"/>
  <c r="E49" i="80" s="1"/>
  <c r="S46" i="69"/>
  <c r="E48" i="80" s="1"/>
  <c r="S45" i="69"/>
  <c r="E47" i="80" s="1"/>
  <c r="E52" i="80" s="1"/>
  <c r="S44" i="69"/>
  <c r="G46" i="80" s="1"/>
  <c r="S43" i="69"/>
  <c r="G45" i="80" s="1"/>
  <c r="S42" i="69"/>
  <c r="R38" i="69"/>
  <c r="Q38" i="69"/>
  <c r="Q59" i="69" s="1"/>
  <c r="P38" i="69"/>
  <c r="O38" i="69"/>
  <c r="O59" i="69" s="1"/>
  <c r="N38" i="69"/>
  <c r="M38" i="69"/>
  <c r="M59" i="69" s="1"/>
  <c r="L38" i="69"/>
  <c r="K38" i="69"/>
  <c r="K59" i="69" s="1"/>
  <c r="J38" i="69"/>
  <c r="I38" i="69"/>
  <c r="I59" i="69" s="1"/>
  <c r="H38" i="69"/>
  <c r="G38" i="69"/>
  <c r="S37" i="69"/>
  <c r="E39" i="80" s="1"/>
  <c r="S36" i="69"/>
  <c r="E38" i="80" s="1"/>
  <c r="S35" i="69"/>
  <c r="E37" i="80" s="1"/>
  <c r="S34" i="69"/>
  <c r="E36" i="80" s="1"/>
  <c r="S33" i="69"/>
  <c r="E35" i="80" s="1"/>
  <c r="S32" i="69"/>
  <c r="E34" i="80" s="1"/>
  <c r="S31" i="69"/>
  <c r="E33" i="80" s="1"/>
  <c r="S30" i="69"/>
  <c r="E32" i="80" s="1"/>
  <c r="A30" i="69"/>
  <c r="A31" i="69" s="1"/>
  <c r="A32" i="69" s="1"/>
  <c r="A33" i="69" s="1"/>
  <c r="A34" i="69" s="1"/>
  <c r="A35" i="69" s="1"/>
  <c r="A36" i="69" s="1"/>
  <c r="A37" i="69" s="1"/>
  <c r="A38" i="69" s="1"/>
  <c r="A42" i="69" s="1"/>
  <c r="A43" i="69" s="1"/>
  <c r="A44" i="69" s="1"/>
  <c r="A45" i="69" s="1"/>
  <c r="A46" i="69" s="1"/>
  <c r="A47" i="69" s="1"/>
  <c r="A48" i="69" s="1"/>
  <c r="G59" i="69"/>
  <c r="S17" i="69"/>
  <c r="S16" i="69"/>
  <c r="G18" i="80" s="1"/>
  <c r="S15" i="69"/>
  <c r="G17" i="80" s="1"/>
  <c r="S14" i="69"/>
  <c r="G16" i="80" s="1"/>
  <c r="S13" i="69"/>
  <c r="S12" i="69"/>
  <c r="G14" i="80" s="1"/>
  <c r="A51" i="80" l="1"/>
  <c r="A52" i="80" s="1"/>
  <c r="A56" i="80" s="1"/>
  <c r="A57" i="80" s="1"/>
  <c r="A58" i="80" s="1"/>
  <c r="A61" i="80" s="1"/>
  <c r="A48" i="70"/>
  <c r="A49" i="70" s="1"/>
  <c r="A53" i="70" s="1"/>
  <c r="A54" i="70" s="1"/>
  <c r="A55" i="70" s="1"/>
  <c r="A58" i="70" s="1"/>
  <c r="A50" i="69"/>
  <c r="A54" i="69" s="1"/>
  <c r="A55" i="69" s="1"/>
  <c r="A56" i="69" s="1"/>
  <c r="A59" i="69" s="1"/>
  <c r="A49" i="69"/>
  <c r="G19" i="83"/>
  <c r="I24" i="81"/>
  <c r="J19" i="81"/>
  <c r="G20" i="81"/>
  <c r="S50" i="69"/>
  <c r="A48" i="85"/>
  <c r="A49" i="85" s="1"/>
  <c r="A50" i="85" s="1"/>
  <c r="A51" i="85" s="1"/>
  <c r="A52" i="85" s="1"/>
  <c r="A53" i="85" s="1"/>
  <c r="A54" i="85" s="1"/>
  <c r="A55" i="85" s="1"/>
  <c r="A48" i="84"/>
  <c r="A49" i="84" s="1"/>
  <c r="A50" i="84" s="1"/>
  <c r="A51" i="84" s="1"/>
  <c r="A52" i="84" s="1"/>
  <c r="A53" i="84" s="1"/>
  <c r="A54" i="84" s="1"/>
  <c r="A55" i="84" s="1"/>
  <c r="A49" i="82"/>
  <c r="A50" i="82" s="1"/>
  <c r="A51" i="82" s="1"/>
  <c r="A52" i="82" s="1"/>
  <c r="A53" i="82" s="1"/>
  <c r="A54" i="82" s="1"/>
  <c r="A55" i="82" s="1"/>
  <c r="A56" i="82" s="1"/>
  <c r="A49" i="81"/>
  <c r="A50" i="81" s="1"/>
  <c r="A51" i="81" s="1"/>
  <c r="A52" i="81" s="1"/>
  <c r="A53" i="81" s="1"/>
  <c r="A54" i="81" s="1"/>
  <c r="A55" i="81" s="1"/>
  <c r="A56" i="81" s="1"/>
  <c r="A48" i="83"/>
  <c r="A49" i="83" s="1"/>
  <c r="A50" i="83" s="1"/>
  <c r="A51" i="83" s="1"/>
  <c r="A52" i="83" s="1"/>
  <c r="A53" i="83" s="1"/>
  <c r="A54" i="83" s="1"/>
  <c r="A55" i="83" s="1"/>
  <c r="S28" i="73"/>
  <c r="A44" i="71"/>
  <c r="A45" i="71" s="1"/>
  <c r="A46" i="71" s="1"/>
  <c r="S27" i="71"/>
  <c r="J53" i="71"/>
  <c r="N53" i="71"/>
  <c r="R53" i="71"/>
  <c r="I53" i="71"/>
  <c r="M53" i="71"/>
  <c r="Q53" i="71"/>
  <c r="G53" i="71"/>
  <c r="K53" i="71"/>
  <c r="O53" i="71"/>
  <c r="H53" i="71"/>
  <c r="L53" i="71"/>
  <c r="P53" i="71"/>
  <c r="S26" i="69"/>
  <c r="S15" i="72"/>
  <c r="S19" i="72" s="1"/>
  <c r="D14" i="86" s="1"/>
  <c r="S43" i="73"/>
  <c r="J58" i="70"/>
  <c r="R58" i="70"/>
  <c r="S55" i="70"/>
  <c r="S34" i="73"/>
  <c r="G24" i="83"/>
  <c r="G58" i="83" s="1"/>
  <c r="O21" i="88" s="1"/>
  <c r="N21" i="88" s="1"/>
  <c r="M21" i="88" s="1"/>
  <c r="L21" i="88" s="1"/>
  <c r="K21" i="88" s="1"/>
  <c r="J21" i="88" s="1"/>
  <c r="I21" i="88" s="1"/>
  <c r="H21" i="88" s="1"/>
  <c r="G21" i="88" s="1"/>
  <c r="F21" i="88" s="1"/>
  <c r="E21" i="88" s="1"/>
  <c r="D21" i="88" s="1"/>
  <c r="J59" i="69"/>
  <c r="N59" i="69"/>
  <c r="R59" i="69"/>
  <c r="H59" i="69"/>
  <c r="L59" i="69"/>
  <c r="P59" i="69"/>
  <c r="H58" i="70"/>
  <c r="L58" i="70"/>
  <c r="P58" i="70"/>
  <c r="S37" i="70"/>
  <c r="G58" i="70"/>
  <c r="K58" i="70"/>
  <c r="O58" i="70"/>
  <c r="S39" i="71"/>
  <c r="S22" i="73"/>
  <c r="G24" i="85"/>
  <c r="G58" i="85" s="1"/>
  <c r="O17" i="88" s="1"/>
  <c r="N17" i="88" s="1"/>
  <c r="M17" i="88" s="1"/>
  <c r="L17" i="88" s="1"/>
  <c r="K17" i="88" s="1"/>
  <c r="J17" i="88" s="1"/>
  <c r="I17" i="88" s="1"/>
  <c r="H17" i="88" s="1"/>
  <c r="G17" i="88" s="1"/>
  <c r="F17" i="88" s="1"/>
  <c r="E17" i="88" s="1"/>
  <c r="D17" i="88" s="1"/>
  <c r="S46" i="71"/>
  <c r="S56" i="69"/>
  <c r="I25" i="81"/>
  <c r="I59" i="81" s="1"/>
  <c r="E58" i="80"/>
  <c r="E40" i="80"/>
  <c r="S38" i="69"/>
  <c r="G24" i="81"/>
  <c r="G56" i="81" s="1"/>
  <c r="I24" i="82"/>
  <c r="I27" i="82" s="1"/>
  <c r="G26" i="83"/>
  <c r="G23" i="84"/>
  <c r="D14" i="78" s="1"/>
  <c r="G23" i="85"/>
  <c r="D56" i="76"/>
  <c r="D29" i="86" s="1"/>
  <c r="G24" i="82"/>
  <c r="J19" i="82"/>
  <c r="G55" i="83"/>
  <c r="G57" i="83" s="1"/>
  <c r="R38" i="73" s="1"/>
  <c r="Q38" i="73" s="1"/>
  <c r="P38" i="73" s="1"/>
  <c r="O38" i="73" s="1"/>
  <c r="N38" i="73" s="1"/>
  <c r="M38" i="73" s="1"/>
  <c r="L38" i="73" s="1"/>
  <c r="K38" i="73" s="1"/>
  <c r="J38" i="73" s="1"/>
  <c r="I38" i="73" s="1"/>
  <c r="H38" i="73" s="1"/>
  <c r="G38" i="73" s="1"/>
  <c r="P17" i="87"/>
  <c r="I27" i="81" l="1"/>
  <c r="I56" i="81"/>
  <c r="S58" i="70"/>
  <c r="D18" i="86" s="1"/>
  <c r="D43" i="77"/>
  <c r="D47" i="77" s="1"/>
  <c r="D30" i="86" s="1"/>
  <c r="S53" i="71"/>
  <c r="D19" i="86" s="1"/>
  <c r="P21" i="88"/>
  <c r="I56" i="82"/>
  <c r="I58" i="82" s="1"/>
  <c r="G46" i="73"/>
  <c r="J24" i="82"/>
  <c r="G27" i="82"/>
  <c r="J27" i="82" s="1"/>
  <c r="D13" i="78" s="1"/>
  <c r="I25" i="82"/>
  <c r="G25" i="82"/>
  <c r="J20" i="82"/>
  <c r="S59" i="69"/>
  <c r="D11" i="86" s="1"/>
  <c r="G15" i="80"/>
  <c r="G28" i="80" s="1"/>
  <c r="G55" i="84"/>
  <c r="G57" i="84" s="1"/>
  <c r="G24" i="84"/>
  <c r="G27" i="81"/>
  <c r="J27" i="81" s="1"/>
  <c r="D12" i="78" s="1"/>
  <c r="J24" i="81"/>
  <c r="G44" i="80"/>
  <c r="G52" i="80" s="1"/>
  <c r="G55" i="85"/>
  <c r="G57" i="85" s="1"/>
  <c r="D15" i="78"/>
  <c r="J20" i="81"/>
  <c r="G25" i="81"/>
  <c r="J25" i="81" s="1"/>
  <c r="I58" i="81" l="1"/>
  <c r="J56" i="81"/>
  <c r="G58" i="84"/>
  <c r="O16" i="88" s="1"/>
  <c r="N16" i="88" s="1"/>
  <c r="M16" i="88" s="1"/>
  <c r="L16" i="88" s="1"/>
  <c r="K16" i="88" s="1"/>
  <c r="J16" i="88" s="1"/>
  <c r="I16" i="88" s="1"/>
  <c r="H16" i="88" s="1"/>
  <c r="G16" i="88" s="1"/>
  <c r="F16" i="88" s="1"/>
  <c r="E16" i="88" s="1"/>
  <c r="D16" i="88" s="1"/>
  <c r="J25" i="82"/>
  <c r="I59" i="82"/>
  <c r="G59" i="81"/>
  <c r="J59" i="81" s="1"/>
  <c r="O14" i="88" s="1"/>
  <c r="N14" i="88" s="1"/>
  <c r="M14" i="88" s="1"/>
  <c r="L14" i="88" s="1"/>
  <c r="K14" i="88" s="1"/>
  <c r="J14" i="88" s="1"/>
  <c r="I14" i="88" s="1"/>
  <c r="H14" i="88" s="1"/>
  <c r="G14" i="88" s="1"/>
  <c r="F14" i="88" s="1"/>
  <c r="E14" i="88" s="1"/>
  <c r="D14" i="88" s="1"/>
  <c r="D18" i="78"/>
  <c r="D34" i="86" s="1"/>
  <c r="D15" i="74"/>
  <c r="E61" i="80"/>
  <c r="P17" i="88"/>
  <c r="G59" i="82"/>
  <c r="J59" i="82" s="1"/>
  <c r="O15" i="88" s="1"/>
  <c r="N15" i="88" s="1"/>
  <c r="M15" i="88" s="1"/>
  <c r="L15" i="88" s="1"/>
  <c r="K15" i="88" s="1"/>
  <c r="J15" i="88" s="1"/>
  <c r="I15" i="88" s="1"/>
  <c r="H15" i="88" s="1"/>
  <c r="G15" i="88" s="1"/>
  <c r="F15" i="88" s="1"/>
  <c r="E15" i="88" s="1"/>
  <c r="D15" i="88" s="1"/>
  <c r="H46" i="73"/>
  <c r="G58" i="81"/>
  <c r="J58" i="81" s="1"/>
  <c r="G61" i="80"/>
  <c r="D25" i="86" s="1"/>
  <c r="D18" i="88"/>
  <c r="D24" i="88" s="1"/>
  <c r="D16" i="87" s="1"/>
  <c r="J56" i="82"/>
  <c r="G58" i="82"/>
  <c r="J58" i="82" s="1"/>
  <c r="P13" i="74"/>
  <c r="P14" i="74"/>
  <c r="A2" i="68"/>
  <c r="F14" i="68"/>
  <c r="F18" i="68" s="1"/>
  <c r="F21" i="68" s="1"/>
  <c r="E167" i="4" s="1"/>
  <c r="A5" i="68"/>
  <c r="A15" i="55"/>
  <c r="A16" i="55" s="1"/>
  <c r="A17" i="55" s="1"/>
  <c r="A18" i="55" s="1"/>
  <c r="A19" i="55" l="1"/>
  <c r="K66" i="64"/>
  <c r="E169" i="4"/>
  <c r="P12" i="74"/>
  <c r="D20" i="87"/>
  <c r="P16" i="88"/>
  <c r="I46" i="73"/>
  <c r="E15" i="74"/>
  <c r="F18" i="88" l="1"/>
  <c r="F24" i="88" s="1"/>
  <c r="F15" i="74"/>
  <c r="E18" i="88"/>
  <c r="E24" i="88" s="1"/>
  <c r="E16" i="87" s="1"/>
  <c r="P15" i="88"/>
  <c r="J46" i="73"/>
  <c r="A10" i="66"/>
  <c r="A11" i="66" s="1"/>
  <c r="A12" i="66" s="1"/>
  <c r="A13" i="66" s="1"/>
  <c r="A14" i="66" s="1"/>
  <c r="A15" i="66" s="1"/>
  <c r="A16" i="66" s="1"/>
  <c r="A17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F16" i="87" l="1"/>
  <c r="F20" i="87" s="1"/>
  <c r="K46" i="73"/>
  <c r="G15" i="74"/>
  <c r="E20" i="87"/>
  <c r="G18" i="88"/>
  <c r="G24" i="88" s="1"/>
  <c r="E69" i="64"/>
  <c r="R69" i="64" s="1"/>
  <c r="E67" i="64"/>
  <c r="R67" i="64" s="1"/>
  <c r="E62" i="64"/>
  <c r="R62" i="64" s="1"/>
  <c r="E60" i="64"/>
  <c r="R60" i="64" s="1"/>
  <c r="E56" i="64"/>
  <c r="R56" i="64" s="1"/>
  <c r="E55" i="64"/>
  <c r="R55" i="64" s="1"/>
  <c r="E42" i="64"/>
  <c r="R42" i="64" s="1"/>
  <c r="E32" i="64"/>
  <c r="R32" i="64" s="1"/>
  <c r="E28" i="64"/>
  <c r="R28" i="64" s="1"/>
  <c r="E27" i="64"/>
  <c r="R27" i="64" s="1"/>
  <c r="E26" i="64"/>
  <c r="R26" i="64" s="1"/>
  <c r="E25" i="64"/>
  <c r="R25" i="64" s="1"/>
  <c r="E24" i="64"/>
  <c r="E23" i="64"/>
  <c r="R23" i="64" s="1"/>
  <c r="E22" i="64"/>
  <c r="R22" i="64" s="1"/>
  <c r="E20" i="64"/>
  <c r="R20" i="64" s="1"/>
  <c r="E19" i="64"/>
  <c r="R19" i="64" s="1"/>
  <c r="E18" i="64"/>
  <c r="R18" i="64" s="1"/>
  <c r="E17" i="64"/>
  <c r="R17" i="64" s="1"/>
  <c r="D49" i="65"/>
  <c r="G16" i="87" l="1"/>
  <c r="G20" i="87" s="1"/>
  <c r="H18" i="88"/>
  <c r="H24" i="88" s="1"/>
  <c r="H16" i="87" s="1"/>
  <c r="H15" i="74"/>
  <c r="L46" i="73"/>
  <c r="A14" i="65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A29" i="65" s="1"/>
  <c r="A30" i="65" s="1"/>
  <c r="A31" i="65" s="1"/>
  <c r="A32" i="65" s="1"/>
  <c r="A33" i="65" s="1"/>
  <c r="A34" i="65" s="1"/>
  <c r="A35" i="65" s="1"/>
  <c r="A36" i="65" s="1"/>
  <c r="A37" i="65" s="1"/>
  <c r="A38" i="65" s="1"/>
  <c r="A39" i="65" s="1"/>
  <c r="A40" i="65" s="1"/>
  <c r="A41" i="65" s="1"/>
  <c r="A42" i="65" s="1"/>
  <c r="A43" i="65" s="1"/>
  <c r="A44" i="65" s="1"/>
  <c r="A45" i="65" s="1"/>
  <c r="A46" i="65" s="1"/>
  <c r="A47" i="65" s="1"/>
  <c r="A48" i="65" s="1"/>
  <c r="A49" i="65" s="1"/>
  <c r="M46" i="73" l="1"/>
  <c r="H20" i="87"/>
  <c r="I15" i="74"/>
  <c r="I18" i="88"/>
  <c r="I24" i="88" s="1"/>
  <c r="A6" i="29"/>
  <c r="I16" i="87" l="1"/>
  <c r="I20" i="87" s="1"/>
  <c r="J18" i="88"/>
  <c r="J24" i="88" s="1"/>
  <c r="J15" i="74"/>
  <c r="N46" i="73"/>
  <c r="K71" i="64"/>
  <c r="S79" i="64"/>
  <c r="U79" i="64" s="1"/>
  <c r="S76" i="64"/>
  <c r="U76" i="64" s="1"/>
  <c r="S74" i="64"/>
  <c r="L71" i="64"/>
  <c r="H71" i="64"/>
  <c r="F71" i="64"/>
  <c r="D71" i="64"/>
  <c r="S69" i="64"/>
  <c r="U69" i="64" s="1"/>
  <c r="S67" i="64"/>
  <c r="U67" i="64" s="1"/>
  <c r="S62" i="64"/>
  <c r="U62" i="64" s="1"/>
  <c r="S60" i="64"/>
  <c r="U60" i="64" s="1"/>
  <c r="S56" i="64"/>
  <c r="U56" i="64" s="1"/>
  <c r="S55" i="64"/>
  <c r="U55" i="64" s="1"/>
  <c r="S42" i="64"/>
  <c r="U42" i="64" s="1"/>
  <c r="S32" i="64"/>
  <c r="U32" i="64" s="1"/>
  <c r="S26" i="64"/>
  <c r="U26" i="64" s="1"/>
  <c r="S25" i="64"/>
  <c r="U25" i="64" s="1"/>
  <c r="S23" i="64"/>
  <c r="U23" i="64" s="1"/>
  <c r="S22" i="64"/>
  <c r="U22" i="64" s="1"/>
  <c r="S20" i="64"/>
  <c r="U20" i="64" s="1"/>
  <c r="S18" i="64"/>
  <c r="U18" i="64" s="1"/>
  <c r="S17" i="64"/>
  <c r="J16" i="87" l="1"/>
  <c r="J20" i="87" s="1"/>
  <c r="C71" i="64"/>
  <c r="C80" i="64" s="1"/>
  <c r="C81" i="64" s="1"/>
  <c r="K15" i="74"/>
  <c r="O46" i="73"/>
  <c r="K18" i="88"/>
  <c r="K24" i="88" s="1"/>
  <c r="K16" i="87" s="1"/>
  <c r="S78" i="64"/>
  <c r="U78" i="64" s="1"/>
  <c r="S27" i="64"/>
  <c r="U27" i="64" s="1"/>
  <c r="U17" i="64"/>
  <c r="S19" i="64"/>
  <c r="U19" i="64" s="1"/>
  <c r="S28" i="64"/>
  <c r="U28" i="64" s="1"/>
  <c r="G24" i="58"/>
  <c r="E24" i="58"/>
  <c r="L18" i="88" l="1"/>
  <c r="L24" i="88" s="1"/>
  <c r="P46" i="73"/>
  <c r="K20" i="87"/>
  <c r="L15" i="74"/>
  <c r="E235" i="4"/>
  <c r="E237" i="4" s="1"/>
  <c r="E239" i="4" s="1"/>
  <c r="AA24" i="3" s="1"/>
  <c r="L16" i="87" l="1"/>
  <c r="L20" i="87" s="1"/>
  <c r="AA22" i="3"/>
  <c r="N73" i="64"/>
  <c r="Q46" i="73"/>
  <c r="M15" i="74"/>
  <c r="M18" i="88"/>
  <c r="M24" i="88" s="1"/>
  <c r="A224" i="4"/>
  <c r="A222" i="4"/>
  <c r="A12" i="62"/>
  <c r="A13" i="62" s="1"/>
  <c r="A14" i="62" s="1"/>
  <c r="A15" i="62" s="1"/>
  <c r="A16" i="62" s="1"/>
  <c r="A17" i="62" s="1"/>
  <c r="A258" i="4"/>
  <c r="A259" i="4" s="1"/>
  <c r="A262" i="4"/>
  <c r="A263" i="4" s="1"/>
  <c r="A264" i="4" s="1"/>
  <c r="A265" i="4" s="1"/>
  <c r="A248" i="4"/>
  <c r="A246" i="4"/>
  <c r="M16" i="87" l="1"/>
  <c r="M20" i="87" s="1"/>
  <c r="R73" i="64"/>
  <c r="S73" i="64" s="1"/>
  <c r="U73" i="64" s="1"/>
  <c r="O24" i="64"/>
  <c r="N15" i="74"/>
  <c r="N18" i="88"/>
  <c r="N24" i="88" s="1"/>
  <c r="R46" i="73"/>
  <c r="S38" i="73"/>
  <c r="S46" i="73" s="1"/>
  <c r="N71" i="64"/>
  <c r="AC19" i="3"/>
  <c r="F31" i="62"/>
  <c r="E259" i="4" s="1"/>
  <c r="E268" i="4" s="1"/>
  <c r="A13" i="61"/>
  <c r="A14" i="61" s="1"/>
  <c r="A15" i="61" s="1"/>
  <c r="A16" i="61" s="1"/>
  <c r="A17" i="61" s="1"/>
  <c r="A18" i="61" s="1"/>
  <c r="A20" i="61" s="1"/>
  <c r="A21" i="61" s="1"/>
  <c r="A22" i="61" s="1"/>
  <c r="A23" i="61" s="1"/>
  <c r="A24" i="61" s="1"/>
  <c r="N16" i="87" l="1"/>
  <c r="N20" i="87" s="1"/>
  <c r="O71" i="64"/>
  <c r="R24" i="64"/>
  <c r="S24" i="64" s="1"/>
  <c r="U24" i="64" s="1"/>
  <c r="O18" i="88"/>
  <c r="O24" i="88" s="1"/>
  <c r="O16" i="87" s="1"/>
  <c r="P14" i="88"/>
  <c r="P18" i="88" s="1"/>
  <c r="P24" i="88" s="1"/>
  <c r="D20" i="86"/>
  <c r="O15" i="74"/>
  <c r="P11" i="74"/>
  <c r="P15" i="74" s="1"/>
  <c r="D15" i="86" s="1"/>
  <c r="AC24" i="3"/>
  <c r="O77" i="64"/>
  <c r="O15" i="64"/>
  <c r="AC14" i="3"/>
  <c r="AA16" i="3" l="1"/>
  <c r="D22" i="86"/>
  <c r="O20" i="87"/>
  <c r="P16" i="87"/>
  <c r="P20" i="87" s="1"/>
  <c r="D14" i="89" s="1"/>
  <c r="O80" i="64"/>
  <c r="E25" i="55"/>
  <c r="N77" i="64" l="1"/>
  <c r="N80" i="64" s="1"/>
  <c r="N81" i="64" s="1"/>
  <c r="AA27" i="3"/>
  <c r="AA28" i="3" s="1"/>
  <c r="D12" i="89"/>
  <c r="O81" i="64"/>
  <c r="E146" i="4"/>
  <c r="A16" i="60"/>
  <c r="A17" i="60" s="1"/>
  <c r="A2" i="60"/>
  <c r="S20" i="3" l="1"/>
  <c r="J54" i="64"/>
  <c r="E148" i="4"/>
  <c r="D16" i="89"/>
  <c r="E14" i="89" s="1"/>
  <c r="G14" i="89" s="1"/>
  <c r="J71" i="64" l="1"/>
  <c r="E12" i="89"/>
  <c r="E16" i="89" l="1"/>
  <c r="L38" i="49"/>
  <c r="L39" i="49" s="1"/>
  <c r="K31" i="49"/>
  <c r="L28" i="49"/>
  <c r="L31" i="49" s="1"/>
  <c r="K22" i="49"/>
  <c r="J35" i="49"/>
  <c r="H35" i="49"/>
  <c r="H38" i="49" s="1"/>
  <c r="J45" i="49"/>
  <c r="N38" i="49"/>
  <c r="N39" i="49" s="1"/>
  <c r="O37" i="49"/>
  <c r="O36" i="49"/>
  <c r="O30" i="49"/>
  <c r="O29" i="49"/>
  <c r="N28" i="49"/>
  <c r="M31" i="49"/>
  <c r="I31" i="49"/>
  <c r="H28" i="49"/>
  <c r="H31" i="49" s="1"/>
  <c r="J48" i="49" l="1"/>
  <c r="J47" i="49"/>
  <c r="K38" i="49"/>
  <c r="K39" i="49" s="1"/>
  <c r="K48" i="49"/>
  <c r="K47" i="49"/>
  <c r="O28" i="49"/>
  <c r="L45" i="49"/>
  <c r="L48" i="49" s="1"/>
  <c r="L32" i="49"/>
  <c r="H45" i="49"/>
  <c r="H48" i="49" s="1"/>
  <c r="I32" i="49"/>
  <c r="G31" i="49"/>
  <c r="G32" i="49" s="1"/>
  <c r="N31" i="49"/>
  <c r="E31" i="49"/>
  <c r="K45" i="49" l="1"/>
  <c r="H47" i="49"/>
  <c r="L47" i="49"/>
  <c r="O31" i="49"/>
  <c r="O32" i="49" s="1"/>
  <c r="N45" i="49"/>
  <c r="N48" i="49" s="1"/>
  <c r="N32" i="49"/>
  <c r="E32" i="49"/>
  <c r="A125" i="4" l="1"/>
  <c r="A126" i="4" s="1"/>
  <c r="A5" i="58"/>
  <c r="G92" i="58"/>
  <c r="G16" i="58" s="1"/>
  <c r="E92" i="58"/>
  <c r="E16" i="58" s="1"/>
  <c r="G65" i="58"/>
  <c r="G66" i="58" s="1"/>
  <c r="G67" i="58" s="1"/>
  <c r="E65" i="58"/>
  <c r="E66" i="58" s="1"/>
  <c r="E67" i="58" s="1"/>
  <c r="G13" i="58"/>
  <c r="E13" i="58"/>
  <c r="A13" i="58"/>
  <c r="A14" i="58" s="1"/>
  <c r="A16" i="58" s="1"/>
  <c r="A18" i="58" s="1"/>
  <c r="A19" i="58" s="1"/>
  <c r="A20" i="58" s="1"/>
  <c r="A21" i="58" s="1"/>
  <c r="A22" i="58" s="1"/>
  <c r="A23" i="58" l="1"/>
  <c r="A24" i="58" s="1"/>
  <c r="A26" i="58" s="1"/>
  <c r="A27" i="58" s="1"/>
  <c r="A29" i="58" s="1"/>
  <c r="A30" i="58" s="1"/>
  <c r="A32" i="58" s="1"/>
  <c r="A33" i="58" s="1"/>
  <c r="A34" i="58" s="1"/>
  <c r="A36" i="58" s="1"/>
  <c r="A37" i="58" s="1"/>
  <c r="A38" i="58" s="1"/>
  <c r="A41" i="58" s="1"/>
  <c r="A74" i="58"/>
  <c r="A48" i="58"/>
  <c r="E12" i="58"/>
  <c r="E14" i="58" s="1"/>
  <c r="G12" i="58"/>
  <c r="G30" i="58" s="1"/>
  <c r="G33" i="58" s="1"/>
  <c r="E27" i="58"/>
  <c r="G27" i="58"/>
  <c r="G34" i="58" l="1"/>
  <c r="G38" i="58" s="1"/>
  <c r="G37" i="58"/>
  <c r="E30" i="58"/>
  <c r="E33" i="58" s="1"/>
  <c r="G14" i="58"/>
  <c r="E37" i="58" l="1"/>
  <c r="E34" i="58"/>
  <c r="E38" i="58" s="1"/>
  <c r="E41" i="58" s="1"/>
  <c r="E126" i="4" s="1"/>
  <c r="I15" i="64" l="1"/>
  <c r="E128" i="4"/>
  <c r="I77" i="64" s="1"/>
  <c r="I80" i="64" s="1"/>
  <c r="I81" i="64" s="1"/>
  <c r="Q14" i="3"/>
  <c r="A5" i="57"/>
  <c r="A13" i="57"/>
  <c r="A14" i="57" s="1"/>
  <c r="A15" i="57" s="1"/>
  <c r="A16" i="57" s="1"/>
  <c r="A5" i="49"/>
  <c r="A5" i="55"/>
  <c r="A4" i="54"/>
  <c r="F19" i="38"/>
  <c r="F18" i="38"/>
  <c r="F17" i="38"/>
  <c r="L17" i="39"/>
  <c r="J17" i="39"/>
  <c r="L15" i="39"/>
  <c r="J15" i="39"/>
  <c r="L13" i="39"/>
  <c r="J13" i="39"/>
  <c r="H31" i="39"/>
  <c r="H23" i="39"/>
  <c r="A13" i="39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F17" i="15"/>
  <c r="H39" i="39" l="1"/>
  <c r="J40" i="39" s="1"/>
  <c r="L41" i="39" s="1"/>
  <c r="F14" i="38" s="1"/>
  <c r="E212" i="4"/>
  <c r="J24" i="39"/>
  <c r="L25" i="39" s="1"/>
  <c r="F12" i="38" s="1"/>
  <c r="J32" i="39"/>
  <c r="L33" i="39" s="1"/>
  <c r="F13" i="38" s="1"/>
  <c r="F20" i="38"/>
  <c r="A29" i="8"/>
  <c r="E21" i="8"/>
  <c r="M65" i="64" l="1"/>
  <c r="M71" i="64" s="1"/>
  <c r="E214" i="4"/>
  <c r="E14" i="8"/>
  <c r="K77" i="64" l="1"/>
  <c r="K80" i="64" s="1"/>
  <c r="K81" i="64" s="1"/>
  <c r="A69" i="4"/>
  <c r="A71" i="4"/>
  <c r="A81" i="4"/>
  <c r="A82" i="4" s="1"/>
  <c r="A84" i="4" s="1"/>
  <c r="A91" i="4"/>
  <c r="A93" i="4"/>
  <c r="A103" i="4"/>
  <c r="A104" i="4" s="1"/>
  <c r="A106" i="4" s="1"/>
  <c r="F16" i="51" l="1"/>
  <c r="A2" i="55"/>
  <c r="A2" i="4"/>
  <c r="A2" i="51"/>
  <c r="A2" i="39"/>
  <c r="A2" i="38"/>
  <c r="A2" i="49"/>
  <c r="A2" i="29"/>
  <c r="A2" i="28"/>
  <c r="A2" i="15"/>
  <c r="A2" i="8"/>
  <c r="A14" i="54"/>
  <c r="A15" i="54"/>
  <c r="A19" i="54"/>
  <c r="E19" i="54"/>
  <c r="E60" i="4" s="1"/>
  <c r="E62" i="4" s="1"/>
  <c r="F14" i="15"/>
  <c r="A5" i="51"/>
  <c r="A5" i="39"/>
  <c r="A5" i="38"/>
  <c r="A5" i="15"/>
  <c r="A5" i="8"/>
  <c r="A5" i="4"/>
  <c r="I21" i="4"/>
  <c r="E19" i="3"/>
  <c r="J77" i="64"/>
  <c r="J80" i="64" s="1"/>
  <c r="J81" i="64" s="1"/>
  <c r="U24" i="3"/>
  <c r="E19" i="28"/>
  <c r="E190" i="4" s="1"/>
  <c r="E192" i="4" s="1"/>
  <c r="U20" i="3"/>
  <c r="E25" i="3"/>
  <c r="G23" i="2" s="1"/>
  <c r="I23" i="2" s="1"/>
  <c r="M23" i="2" s="1"/>
  <c r="E26" i="3"/>
  <c r="G24" i="2" s="1"/>
  <c r="I24" i="2" s="1"/>
  <c r="M24" i="2" s="1"/>
  <c r="E23" i="3"/>
  <c r="A14" i="8"/>
  <c r="A16" i="8" s="1"/>
  <c r="A289" i="4"/>
  <c r="A290" i="4" s="1"/>
  <c r="A292" i="4" s="1"/>
  <c r="A279" i="4"/>
  <c r="A277" i="4"/>
  <c r="AE16" i="3"/>
  <c r="A14" i="1"/>
  <c r="A16" i="1" s="1"/>
  <c r="A18" i="1" s="1"/>
  <c r="A20" i="1" s="1"/>
  <c r="A22" i="1" s="1"/>
  <c r="A23" i="1" s="1"/>
  <c r="A25" i="1" s="1"/>
  <c r="A27" i="1" s="1"/>
  <c r="A29" i="1" s="1"/>
  <c r="A31" i="1" s="1"/>
  <c r="A33" i="1" s="1"/>
  <c r="A35" i="1" s="1"/>
  <c r="A37" i="1" s="1"/>
  <c r="A39" i="1" s="1"/>
  <c r="A14" i="49"/>
  <c r="A15" i="49" s="1"/>
  <c r="A16" i="49" s="1"/>
  <c r="A17" i="49" s="1"/>
  <c r="A18" i="49" s="1"/>
  <c r="A19" i="49" s="1"/>
  <c r="A20" i="49" s="1"/>
  <c r="A21" i="49" s="1"/>
  <c r="A22" i="49" s="1"/>
  <c r="A24" i="49" s="1"/>
  <c r="A28" i="49" s="1"/>
  <c r="A29" i="49" s="1"/>
  <c r="A30" i="49" s="1"/>
  <c r="A31" i="49" s="1"/>
  <c r="A32" i="49" s="1"/>
  <c r="A35" i="49" s="1"/>
  <c r="A36" i="49" s="1"/>
  <c r="A37" i="49" s="1"/>
  <c r="A38" i="49" s="1"/>
  <c r="A39" i="49" s="1"/>
  <c r="A41" i="49" s="1"/>
  <c r="A42" i="49" s="1"/>
  <c r="A45" i="49" s="1"/>
  <c r="A47" i="49" s="1"/>
  <c r="A48" i="49" s="1"/>
  <c r="O14" i="49"/>
  <c r="O15" i="49"/>
  <c r="O16" i="49"/>
  <c r="O17" i="49"/>
  <c r="O18" i="49"/>
  <c r="O19" i="49"/>
  <c r="O20" i="49"/>
  <c r="O21" i="49"/>
  <c r="M22" i="49"/>
  <c r="M35" i="49" s="1"/>
  <c r="I22" i="49"/>
  <c r="G22" i="49"/>
  <c r="AC16" i="3"/>
  <c r="A13" i="38"/>
  <c r="A14" i="38" s="1"/>
  <c r="A15" i="38" s="1"/>
  <c r="A16" i="38" s="1"/>
  <c r="A17" i="38" s="1"/>
  <c r="A18" i="38" s="1"/>
  <c r="A19" i="38" s="1"/>
  <c r="A20" i="38" s="1"/>
  <c r="A21" i="38" s="1"/>
  <c r="A5" i="3"/>
  <c r="A2" i="3"/>
  <c r="A4" i="2"/>
  <c r="A2" i="2"/>
  <c r="A211" i="4"/>
  <c r="A212" i="4" s="1"/>
  <c r="A214" i="4" s="1"/>
  <c r="A201" i="4"/>
  <c r="A199" i="4"/>
  <c r="A189" i="4"/>
  <c r="A190" i="4" s="1"/>
  <c r="A192" i="4" s="1"/>
  <c r="A179" i="4"/>
  <c r="A177" i="4"/>
  <c r="A166" i="4"/>
  <c r="A167" i="4" s="1"/>
  <c r="A169" i="4" s="1"/>
  <c r="A157" i="4"/>
  <c r="A155" i="4"/>
  <c r="A145" i="4"/>
  <c r="A146" i="4" s="1"/>
  <c r="A148" i="4" s="1"/>
  <c r="A136" i="4"/>
  <c r="A134" i="4"/>
  <c r="A115" i="4"/>
  <c r="A113" i="4"/>
  <c r="A59" i="4"/>
  <c r="A60" i="4" s="1"/>
  <c r="A62" i="4" s="1"/>
  <c r="A49" i="4"/>
  <c r="A47" i="4"/>
  <c r="A33" i="4"/>
  <c r="A34" i="4" s="1"/>
  <c r="A36" i="4" s="1"/>
  <c r="A37" i="4" s="1"/>
  <c r="A39" i="4" s="1"/>
  <c r="A23" i="4"/>
  <c r="A21" i="4"/>
  <c r="A14" i="4"/>
  <c r="A15" i="4" s="1"/>
  <c r="Q16" i="3"/>
  <c r="A14" i="3"/>
  <c r="A15" i="3" s="1"/>
  <c r="A16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Y16" i="3"/>
  <c r="U16" i="3"/>
  <c r="S16" i="3"/>
  <c r="O16" i="3"/>
  <c r="G16" i="3"/>
  <c r="I16" i="3"/>
  <c r="M16" i="3"/>
  <c r="A13" i="2"/>
  <c r="A14" i="2" s="1"/>
  <c r="A15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E25" i="2"/>
  <c r="A17" i="8"/>
  <c r="A19" i="8" s="1"/>
  <c r="A13" i="15"/>
  <c r="A14" i="15" s="1"/>
  <c r="A15" i="28"/>
  <c r="A16" i="28"/>
  <c r="A17" i="28" s="1"/>
  <c r="A19" i="28" s="1"/>
  <c r="A299" i="4" l="1"/>
  <c r="A302" i="4"/>
  <c r="I47" i="4"/>
  <c r="I69" i="4" s="1"/>
  <c r="I91" i="4" s="1"/>
  <c r="A20" i="8"/>
  <c r="A21" i="8" s="1"/>
  <c r="A23" i="8" s="1"/>
  <c r="L77" i="64"/>
  <c r="L80" i="64" s="1"/>
  <c r="L15" i="64"/>
  <c r="F15" i="64"/>
  <c r="I38" i="49"/>
  <c r="I39" i="49" s="1"/>
  <c r="I48" i="49"/>
  <c r="I47" i="49"/>
  <c r="E48" i="49"/>
  <c r="E47" i="49"/>
  <c r="G48" i="49"/>
  <c r="G47" i="49"/>
  <c r="A226" i="4"/>
  <c r="A250" i="4"/>
  <c r="A223" i="4"/>
  <c r="A247" i="4"/>
  <c r="A156" i="4"/>
  <c r="A22" i="38"/>
  <c r="A23" i="38" s="1"/>
  <c r="A24" i="38" s="1"/>
  <c r="A25" i="38" s="1"/>
  <c r="A26" i="38" s="1"/>
  <c r="A27" i="38" s="1"/>
  <c r="E104" i="4"/>
  <c r="E106" i="4" s="1"/>
  <c r="A16" i="15"/>
  <c r="A17" i="15" s="1"/>
  <c r="A19" i="15" s="1"/>
  <c r="A21" i="15" s="1"/>
  <c r="E38" i="49"/>
  <c r="E45" i="49" s="1"/>
  <c r="G38" i="49"/>
  <c r="G45" i="49" s="1"/>
  <c r="M38" i="49"/>
  <c r="O35" i="49"/>
  <c r="E290" i="4"/>
  <c r="E292" i="4" s="1"/>
  <c r="A70" i="4"/>
  <c r="A92" i="4"/>
  <c r="A73" i="4"/>
  <c r="A95" i="4"/>
  <c r="A200" i="4"/>
  <c r="U27" i="3"/>
  <c r="U28" i="3" s="1"/>
  <c r="A117" i="4"/>
  <c r="A25" i="4"/>
  <c r="A48" i="4"/>
  <c r="A114" i="4"/>
  <c r="A203" i="4"/>
  <c r="A51" i="4"/>
  <c r="O22" i="49"/>
  <c r="O24" i="49" s="1"/>
  <c r="A278" i="4"/>
  <c r="W15" i="3"/>
  <c r="E15" i="3" s="1"/>
  <c r="G14" i="2" s="1"/>
  <c r="A159" i="4"/>
  <c r="A138" i="4"/>
  <c r="A181" i="4"/>
  <c r="A281" i="4"/>
  <c r="S24" i="3"/>
  <c r="S27" i="3" s="1"/>
  <c r="S28" i="3" s="1"/>
  <c r="F77" i="64"/>
  <c r="F80" i="64" s="1"/>
  <c r="K14" i="3"/>
  <c r="E14" i="3" s="1"/>
  <c r="A22" i="4"/>
  <c r="A135" i="4"/>
  <c r="A178" i="4"/>
  <c r="R15" i="64" l="1"/>
  <c r="S15" i="64" s="1"/>
  <c r="E39" i="49"/>
  <c r="I113" i="4"/>
  <c r="I134" i="4" s="1"/>
  <c r="I155" i="4" s="1"/>
  <c r="I177" i="4" s="1"/>
  <c r="I199" i="4" s="1"/>
  <c r="I222" i="4" s="1"/>
  <c r="I246" i="4" s="1"/>
  <c r="I277" i="4" s="1"/>
  <c r="I45" i="49"/>
  <c r="W24" i="3"/>
  <c r="W27" i="3" s="1"/>
  <c r="L81" i="64"/>
  <c r="AE20" i="3"/>
  <c r="P57" i="64"/>
  <c r="H77" i="64"/>
  <c r="H72" i="64"/>
  <c r="R72" i="64" s="1"/>
  <c r="F81" i="64"/>
  <c r="O38" i="49"/>
  <c r="O45" i="49" s="1"/>
  <c r="O47" i="49"/>
  <c r="O48" i="49"/>
  <c r="Q24" i="3"/>
  <c r="Q27" i="3" s="1"/>
  <c r="Q28" i="3" s="1"/>
  <c r="A22" i="15"/>
  <c r="A23" i="15" s="1"/>
  <c r="A25" i="15" s="1"/>
  <c r="A26" i="15" s="1"/>
  <c r="A27" i="15" s="1"/>
  <c r="A29" i="15" s="1"/>
  <c r="A30" i="15" s="1"/>
  <c r="A31" i="15" s="1"/>
  <c r="A32" i="15" s="1"/>
  <c r="A33" i="15" s="1"/>
  <c r="A35" i="15" s="1"/>
  <c r="A36" i="15" s="1"/>
  <c r="A37" i="15" s="1"/>
  <c r="A38" i="15" s="1"/>
  <c r="A39" i="15" s="1"/>
  <c r="A41" i="15" s="1"/>
  <c r="A42" i="15" s="1"/>
  <c r="A43" i="15" s="1"/>
  <c r="A44" i="15" s="1"/>
  <c r="A45" i="15" s="1"/>
  <c r="A47" i="15" s="1"/>
  <c r="A48" i="15" s="1"/>
  <c r="G39" i="49"/>
  <c r="M45" i="49"/>
  <c r="M24" i="49"/>
  <c r="K24" i="49"/>
  <c r="D33" i="15" s="1"/>
  <c r="E24" i="49"/>
  <c r="D30" i="15" s="1"/>
  <c r="G24" i="49"/>
  <c r="D31" i="15" s="1"/>
  <c r="I24" i="49"/>
  <c r="D32" i="15" s="1"/>
  <c r="W16" i="3"/>
  <c r="F15" i="38"/>
  <c r="F22" i="38" s="1"/>
  <c r="K24" i="3"/>
  <c r="K27" i="3" s="1"/>
  <c r="I14" i="2"/>
  <c r="M14" i="2" s="1"/>
  <c r="E26" i="2"/>
  <c r="K16" i="3"/>
  <c r="W28" i="3" l="1"/>
  <c r="O39" i="49"/>
  <c r="F19" i="15" s="1"/>
  <c r="AE24" i="3"/>
  <c r="AE27" i="3" s="1"/>
  <c r="AE28" i="3" s="1"/>
  <c r="P77" i="64"/>
  <c r="P71" i="64"/>
  <c r="H80" i="64"/>
  <c r="H81" i="64" s="1"/>
  <c r="S72" i="64"/>
  <c r="U72" i="64" s="1"/>
  <c r="D38" i="15"/>
  <c r="D44" i="15"/>
  <c r="D37" i="15"/>
  <c r="D43" i="15"/>
  <c r="D36" i="15"/>
  <c r="D42" i="15"/>
  <c r="D26" i="15"/>
  <c r="D25" i="15"/>
  <c r="D27" i="15"/>
  <c r="D39" i="15"/>
  <c r="D45" i="15"/>
  <c r="A50" i="15"/>
  <c r="A51" i="15" s="1"/>
  <c r="A53" i="15" s="1"/>
  <c r="A54" i="15" s="1"/>
  <c r="A55" i="15" s="1"/>
  <c r="A56" i="15" s="1"/>
  <c r="A57" i="15" s="1"/>
  <c r="K28" i="3"/>
  <c r="G13" i="2"/>
  <c r="E16" i="3"/>
  <c r="O21" i="3"/>
  <c r="E21" i="3" s="1"/>
  <c r="G19" i="2" s="1"/>
  <c r="I19" i="2" s="1"/>
  <c r="M19" i="2" s="1"/>
  <c r="AC27" i="3"/>
  <c r="AC28" i="3" s="1"/>
  <c r="F23" i="38" l="1"/>
  <c r="F24" i="38" s="1"/>
  <c r="F27" i="38" s="1"/>
  <c r="E82" i="4" s="1"/>
  <c r="E84" i="4" s="1"/>
  <c r="P80" i="64"/>
  <c r="P81" i="64" s="1"/>
  <c r="F22" i="15"/>
  <c r="F26" i="15" s="1"/>
  <c r="F21" i="15"/>
  <c r="F25" i="15" s="1"/>
  <c r="F23" i="15"/>
  <c r="F27" i="15" s="1"/>
  <c r="Y20" i="3"/>
  <c r="G15" i="2"/>
  <c r="I13" i="2"/>
  <c r="E33" i="1" s="1"/>
  <c r="E37" i="1" s="1"/>
  <c r="O24" i="3"/>
  <c r="G65" i="64" l="1"/>
  <c r="M20" i="3"/>
  <c r="Y24" i="3"/>
  <c r="Y27" i="3" s="1"/>
  <c r="Y28" i="3" s="1"/>
  <c r="M77" i="64"/>
  <c r="M80" i="64" s="1"/>
  <c r="M81" i="64" s="1"/>
  <c r="F38" i="15"/>
  <c r="F51" i="15" s="1"/>
  <c r="F44" i="65" s="1"/>
  <c r="F49" i="65" s="1"/>
  <c r="F37" i="15"/>
  <c r="F36" i="15"/>
  <c r="F39" i="15"/>
  <c r="G71" i="64"/>
  <c r="F32" i="15"/>
  <c r="F48" i="15" s="1"/>
  <c r="F31" i="15"/>
  <c r="F33" i="15"/>
  <c r="F30" i="15"/>
  <c r="F45" i="15"/>
  <c r="F42" i="15"/>
  <c r="F44" i="15"/>
  <c r="F43" i="15"/>
  <c r="M24" i="3"/>
  <c r="G77" i="64"/>
  <c r="O27" i="3"/>
  <c r="O28" i="3" s="1"/>
  <c r="I15" i="2"/>
  <c r="E49" i="65" l="1"/>
  <c r="F56" i="15"/>
  <c r="F55" i="15"/>
  <c r="F54" i="15"/>
  <c r="M27" i="3"/>
  <c r="M28" i="3" s="1"/>
  <c r="E40" i="65"/>
  <c r="H40" i="65" s="1"/>
  <c r="E59" i="64" s="1"/>
  <c r="E17" i="65"/>
  <c r="H17" i="65" s="1"/>
  <c r="E33" i="64" s="1"/>
  <c r="E33" i="65"/>
  <c r="H33" i="65" s="1"/>
  <c r="E50" i="64" s="1"/>
  <c r="E16" i="65"/>
  <c r="H16" i="65" s="1"/>
  <c r="E31" i="64" s="1"/>
  <c r="E18" i="65"/>
  <c r="H18" i="65" s="1"/>
  <c r="E34" i="64" s="1"/>
  <c r="E34" i="65"/>
  <c r="H34" i="65" s="1"/>
  <c r="E51" i="64" s="1"/>
  <c r="E24" i="65"/>
  <c r="H24" i="65" s="1"/>
  <c r="E40" i="64" s="1"/>
  <c r="E27" i="65"/>
  <c r="H27" i="65" s="1"/>
  <c r="E44" i="64" s="1"/>
  <c r="E43" i="65"/>
  <c r="H43" i="65" s="1"/>
  <c r="E64" i="64" s="1"/>
  <c r="E20" i="65"/>
  <c r="H20" i="65" s="1"/>
  <c r="E36" i="64" s="1"/>
  <c r="E21" i="65"/>
  <c r="H21" i="65" s="1"/>
  <c r="E37" i="64" s="1"/>
  <c r="E37" i="65"/>
  <c r="H37" i="65" s="1"/>
  <c r="E54" i="64" s="1"/>
  <c r="E32" i="65"/>
  <c r="H32" i="65" s="1"/>
  <c r="E49" i="64" s="1"/>
  <c r="E22" i="65"/>
  <c r="H22" i="65" s="1"/>
  <c r="E38" i="64" s="1"/>
  <c r="E38" i="65"/>
  <c r="H38" i="65" s="1"/>
  <c r="E57" i="64" s="1"/>
  <c r="E15" i="65"/>
  <c r="H15" i="65" s="1"/>
  <c r="E30" i="64" s="1"/>
  <c r="E31" i="65"/>
  <c r="H31" i="65" s="1"/>
  <c r="E48" i="64" s="1"/>
  <c r="E47" i="65"/>
  <c r="H47" i="65" s="1"/>
  <c r="E70" i="64" s="1"/>
  <c r="E36" i="65"/>
  <c r="H36" i="65" s="1"/>
  <c r="E53" i="64" s="1"/>
  <c r="E25" i="65"/>
  <c r="H25" i="65" s="1"/>
  <c r="E41" i="64" s="1"/>
  <c r="E41" i="65"/>
  <c r="H41" i="65" s="1"/>
  <c r="E61" i="64" s="1"/>
  <c r="E44" i="65"/>
  <c r="H44" i="65" s="1"/>
  <c r="E65" i="64" s="1"/>
  <c r="E26" i="65"/>
  <c r="H26" i="65" s="1"/>
  <c r="E43" i="64" s="1"/>
  <c r="E42" i="65"/>
  <c r="H42" i="65" s="1"/>
  <c r="E63" i="64" s="1"/>
  <c r="E19" i="65"/>
  <c r="H19" i="65" s="1"/>
  <c r="E35" i="64" s="1"/>
  <c r="E35" i="65"/>
  <c r="H35" i="65" s="1"/>
  <c r="E52" i="64" s="1"/>
  <c r="E28" i="65"/>
  <c r="H28" i="65" s="1"/>
  <c r="E45" i="64" s="1"/>
  <c r="E13" i="65"/>
  <c r="H13" i="65" s="1"/>
  <c r="E29" i="65"/>
  <c r="H29" i="65" s="1"/>
  <c r="E46" i="64" s="1"/>
  <c r="E45" i="65"/>
  <c r="H45" i="65" s="1"/>
  <c r="E66" i="64" s="1"/>
  <c r="E14" i="65"/>
  <c r="H14" i="65" s="1"/>
  <c r="E29" i="64" s="1"/>
  <c r="E30" i="65"/>
  <c r="H30" i="65" s="1"/>
  <c r="E47" i="64" s="1"/>
  <c r="E46" i="65"/>
  <c r="H46" i="65" s="1"/>
  <c r="E68" i="64" s="1"/>
  <c r="E23" i="65"/>
  <c r="H23" i="65" s="1"/>
  <c r="E39" i="64" s="1"/>
  <c r="E39" i="65"/>
  <c r="H39" i="65" s="1"/>
  <c r="E58" i="64" s="1"/>
  <c r="E34" i="4"/>
  <c r="G80" i="64"/>
  <c r="G81" i="64" s="1"/>
  <c r="R58" i="64" l="1"/>
  <c r="S58" i="64" s="1"/>
  <c r="U58" i="64" s="1"/>
  <c r="R39" i="64"/>
  <c r="S39" i="64" s="1"/>
  <c r="U39" i="64" s="1"/>
  <c r="R68" i="64"/>
  <c r="S68" i="64" s="1"/>
  <c r="U68" i="64" s="1"/>
  <c r="R47" i="64"/>
  <c r="S47" i="64" s="1"/>
  <c r="U47" i="64" s="1"/>
  <c r="R29" i="64"/>
  <c r="S29" i="64" s="1"/>
  <c r="U29" i="64" s="1"/>
  <c r="R66" i="64"/>
  <c r="S66" i="64" s="1"/>
  <c r="U66" i="64" s="1"/>
  <c r="R46" i="64"/>
  <c r="S46" i="64" s="1"/>
  <c r="U46" i="64" s="1"/>
  <c r="R45" i="64"/>
  <c r="S45" i="64" s="1"/>
  <c r="U45" i="64" s="1"/>
  <c r="R52" i="64"/>
  <c r="S52" i="64" s="1"/>
  <c r="U52" i="64" s="1"/>
  <c r="R35" i="64"/>
  <c r="S35" i="64" s="1"/>
  <c r="U35" i="64" s="1"/>
  <c r="R63" i="64"/>
  <c r="S63" i="64" s="1"/>
  <c r="U63" i="64" s="1"/>
  <c r="R43" i="64"/>
  <c r="S43" i="64" s="1"/>
  <c r="U43" i="64" s="1"/>
  <c r="R65" i="64"/>
  <c r="S65" i="64" s="1"/>
  <c r="R61" i="64"/>
  <c r="S61" i="64" s="1"/>
  <c r="U61" i="64" s="1"/>
  <c r="R41" i="64"/>
  <c r="S41" i="64" s="1"/>
  <c r="U41" i="64" s="1"/>
  <c r="R53" i="64"/>
  <c r="S53" i="64" s="1"/>
  <c r="U53" i="64" s="1"/>
  <c r="R70" i="64"/>
  <c r="S70" i="64" s="1"/>
  <c r="U70" i="64" s="1"/>
  <c r="R48" i="64"/>
  <c r="S48" i="64" s="1"/>
  <c r="U48" i="64" s="1"/>
  <c r="R30" i="64"/>
  <c r="S30" i="64" s="1"/>
  <c r="U30" i="64" s="1"/>
  <c r="R57" i="64"/>
  <c r="S57" i="64" s="1"/>
  <c r="U57" i="64" s="1"/>
  <c r="R38" i="64"/>
  <c r="S38" i="64" s="1"/>
  <c r="U38" i="64" s="1"/>
  <c r="R49" i="64"/>
  <c r="S49" i="64" s="1"/>
  <c r="R54" i="64"/>
  <c r="S54" i="64" s="1"/>
  <c r="U54" i="64" s="1"/>
  <c r="R37" i="64"/>
  <c r="S37" i="64" s="1"/>
  <c r="U37" i="64" s="1"/>
  <c r="R36" i="64"/>
  <c r="S36" i="64" s="1"/>
  <c r="U36" i="64" s="1"/>
  <c r="R64" i="64"/>
  <c r="S64" i="64" s="1"/>
  <c r="U64" i="64" s="1"/>
  <c r="R44" i="64"/>
  <c r="S44" i="64" s="1"/>
  <c r="U44" i="64" s="1"/>
  <c r="R40" i="64"/>
  <c r="S40" i="64" s="1"/>
  <c r="U40" i="64" s="1"/>
  <c r="R51" i="64"/>
  <c r="S51" i="64" s="1"/>
  <c r="R34" i="64"/>
  <c r="S34" i="64" s="1"/>
  <c r="U34" i="64" s="1"/>
  <c r="R31" i="64"/>
  <c r="S31" i="64" s="1"/>
  <c r="U31" i="64" s="1"/>
  <c r="R50" i="64"/>
  <c r="S50" i="64" s="1"/>
  <c r="R33" i="64"/>
  <c r="S33" i="64" s="1"/>
  <c r="U33" i="64" s="1"/>
  <c r="R59" i="64"/>
  <c r="S59" i="64" s="1"/>
  <c r="U59" i="64" s="1"/>
  <c r="I20" i="3"/>
  <c r="E21" i="64"/>
  <c r="R21" i="64" s="1"/>
  <c r="F57" i="15"/>
  <c r="U65" i="64"/>
  <c r="E20" i="3"/>
  <c r="E37" i="4" l="1"/>
  <c r="E39" i="4" s="1"/>
  <c r="E77" i="64" s="1"/>
  <c r="G48" i="65"/>
  <c r="E71" i="64"/>
  <c r="G18" i="2"/>
  <c r="I22" i="3" l="1"/>
  <c r="E22" i="3" s="1"/>
  <c r="S21" i="64"/>
  <c r="R71" i="64"/>
  <c r="G49" i="65"/>
  <c r="H48" i="65"/>
  <c r="I18" i="2"/>
  <c r="I24" i="3"/>
  <c r="E75" i="64" l="1"/>
  <c r="R75" i="64" s="1"/>
  <c r="H49" i="65"/>
  <c r="U21" i="64"/>
  <c r="S71" i="64"/>
  <c r="I27" i="3"/>
  <c r="I28" i="3" s="1"/>
  <c r="G20" i="2"/>
  <c r="S75" i="64" l="1"/>
  <c r="E80" i="64"/>
  <c r="I20" i="2"/>
  <c r="E81" i="64" l="1"/>
  <c r="U75" i="64"/>
  <c r="D58" i="75" l="1"/>
  <c r="D28" i="86" s="1"/>
  <c r="D35" i="86" s="1"/>
  <c r="F12" i="89" s="1"/>
  <c r="G12" i="89" s="1"/>
  <c r="G16" i="89" l="1"/>
  <c r="E14" i="1" s="1"/>
  <c r="E16" i="1" s="1"/>
  <c r="E16" i="8"/>
  <c r="E17" i="8" s="1"/>
  <c r="E23" i="8" s="1"/>
  <c r="E25" i="8" s="1"/>
  <c r="E29" i="8" s="1"/>
  <c r="E15" i="4" l="1"/>
  <c r="G24" i="3" s="1"/>
  <c r="D77" i="64"/>
  <c r="D80" i="64" l="1"/>
  <c r="R77" i="64"/>
  <c r="S77" i="64" s="1"/>
  <c r="S80" i="64" s="1"/>
  <c r="G27" i="3"/>
  <c r="G28" i="3" s="1"/>
  <c r="E24" i="3"/>
  <c r="G22" i="2" l="1"/>
  <c r="E27" i="3"/>
  <c r="E28" i="3" s="1"/>
  <c r="S81" i="64"/>
  <c r="D81" i="64"/>
  <c r="R81" i="64" s="1"/>
  <c r="R80" i="64"/>
  <c r="I22" i="2" l="1"/>
  <c r="I25" i="2" s="1"/>
  <c r="I26" i="2" s="1"/>
  <c r="E18" i="1" s="1"/>
  <c r="E20" i="1" s="1"/>
  <c r="G25" i="2"/>
  <c r="G26" i="2" s="1"/>
  <c r="E23" i="1" l="1"/>
  <c r="E25" i="1" l="1"/>
  <c r="K22" i="2"/>
  <c r="M22" i="2" l="1"/>
  <c r="T77" i="64"/>
  <c r="U77" i="64" s="1"/>
  <c r="K18" i="2"/>
  <c r="E27" i="1"/>
  <c r="E29" i="1" l="1"/>
  <c r="K20" i="2" s="1"/>
  <c r="E31" i="1"/>
  <c r="T51" i="64"/>
  <c r="M18" i="2"/>
  <c r="K25" i="2"/>
  <c r="T71" i="64" l="1"/>
  <c r="U51" i="64"/>
  <c r="E39" i="1"/>
  <c r="K13" i="2"/>
  <c r="M20" i="2"/>
  <c r="M25" i="2" s="1"/>
  <c r="T74" i="64"/>
  <c r="U74" i="64" s="1"/>
  <c r="T15" i="64" l="1"/>
  <c r="M13" i="2"/>
  <c r="M15" i="2" s="1"/>
  <c r="M26" i="2" s="1"/>
  <c r="K15" i="2"/>
  <c r="K26" i="2" s="1"/>
  <c r="U71" i="64"/>
  <c r="T80" i="64"/>
  <c r="U80" i="64" s="1"/>
  <c r="U15" i="64" l="1"/>
  <c r="T81" i="64"/>
  <c r="U81" i="64" s="1"/>
</calcChain>
</file>

<file path=xl/sharedStrings.xml><?xml version="1.0" encoding="utf-8"?>
<sst xmlns="http://schemas.openxmlformats.org/spreadsheetml/2006/main" count="2530" uniqueCount="1066">
  <si>
    <t>MidAmerican Energy Company</t>
  </si>
  <si>
    <t>Docket No. NG22-___</t>
  </si>
  <si>
    <t>Schedule Index</t>
  </si>
  <si>
    <t>Test Year Ended December 31, 2021</t>
  </si>
  <si>
    <t>Line</t>
  </si>
  <si>
    <t>No.</t>
  </si>
  <si>
    <t>Description</t>
  </si>
  <si>
    <t>Schedule 1</t>
  </si>
  <si>
    <t>South Dakota Gas Revenue Requirement</t>
  </si>
  <si>
    <t>Schedule 2</t>
  </si>
  <si>
    <t>South Dakota Gas Operating Income Statement with Pro Forma Adjustments</t>
  </si>
  <si>
    <t>Schedule 3</t>
  </si>
  <si>
    <t>Pro Forma Summary</t>
  </si>
  <si>
    <t>Schedule 4</t>
  </si>
  <si>
    <t>Interest Synchronization Pro Forma Adjustment</t>
  </si>
  <si>
    <t>Schedule 5</t>
  </si>
  <si>
    <t>Payroll Pro Forma Adjustment</t>
  </si>
  <si>
    <t>Schedule 6</t>
  </si>
  <si>
    <t>Weather Normalization Pro Forma Adjustment</t>
  </si>
  <si>
    <t>Schedule 7</t>
  </si>
  <si>
    <t>Retirement Plan Cost Pro Forma Adjustment</t>
  </si>
  <si>
    <t>Schedule 8</t>
  </si>
  <si>
    <t>Depreciation on Rate Base Pro Forma Adjustment</t>
  </si>
  <si>
    <t>Schedule 9</t>
  </si>
  <si>
    <t>Sales Growth Pro Forma Adjustment</t>
  </si>
  <si>
    <t>Schedule 10</t>
  </si>
  <si>
    <t>Meter Reading Labor</t>
  </si>
  <si>
    <t>Schedule 11</t>
  </si>
  <si>
    <t>Rate Case Expense Pro Forma Adjustment</t>
  </si>
  <si>
    <t>Schedule 12</t>
  </si>
  <si>
    <t>Late Payment Charge Pro Forma Adjustment</t>
  </si>
  <si>
    <t>Schedule 13</t>
  </si>
  <si>
    <t>LTIP Cost Pro Forma Adjustment</t>
  </si>
  <si>
    <t>Schedule 14</t>
  </si>
  <si>
    <t>Tax Adjustments</t>
  </si>
  <si>
    <t>Schedule 15</t>
  </si>
  <si>
    <t>PGA Costs and Revenue Pro Forma Adjustment</t>
  </si>
  <si>
    <t>Schedule 16</t>
  </si>
  <si>
    <t>Economic Development Cost Pro Forma Adjustment</t>
  </si>
  <si>
    <t>Schedule 17</t>
  </si>
  <si>
    <t>Revenue Reclass</t>
  </si>
  <si>
    <t>Schedule 18-24</t>
  </si>
  <si>
    <t>Not used.</t>
  </si>
  <si>
    <t>Schedule 25</t>
  </si>
  <si>
    <t>Weighted Average Cost of Capital</t>
  </si>
  <si>
    <t>Schedule 26</t>
  </si>
  <si>
    <t>Cost of Long-term Debt</t>
  </si>
  <si>
    <t>Schedule 27</t>
  </si>
  <si>
    <t>Cost of Common Equity</t>
  </si>
  <si>
    <t>(Thousands of Dollars)</t>
  </si>
  <si>
    <t>South</t>
  </si>
  <si>
    <t>Dakota</t>
  </si>
  <si>
    <t>Gas</t>
  </si>
  <si>
    <t>(a)</t>
  </si>
  <si>
    <t>(b)</t>
  </si>
  <si>
    <t>Rate Base</t>
  </si>
  <si>
    <t>Rate of Return</t>
  </si>
  <si>
    <t>Allowed Return</t>
  </si>
  <si>
    <t>Adjusted Test Year Operating Income</t>
  </si>
  <si>
    <t>Change in Operating Income</t>
  </si>
  <si>
    <t>Income Tax -Effect -</t>
  </si>
  <si>
    <t xml:space="preserve">  Federal @ 21%</t>
  </si>
  <si>
    <t xml:space="preserve">  Bad Debt Expense @ 0.34%</t>
  </si>
  <si>
    <t>Revenue (Excess) Deficiency</t>
  </si>
  <si>
    <t>Gross Receipts Tax @ 0.0038</t>
  </si>
  <si>
    <t>Total Revenue (Excess) Deficiency</t>
  </si>
  <si>
    <t>Test Year Pro Forma Tariffed Revenue</t>
  </si>
  <si>
    <t>Test Year PGA Costs &amp; Revenue</t>
  </si>
  <si>
    <t>Test Year Pro Forma Tariffed Revenue, including PGA Costs &amp; Revenue</t>
  </si>
  <si>
    <t>Proposed Revenue Requirement Increase, including PGA Costs &amp; Revenue</t>
  </si>
  <si>
    <t>Sources:</t>
  </si>
  <si>
    <t>Line 1 - Exhibit ASR 1.1, Sch. 1, Col.(d), Line 20</t>
  </si>
  <si>
    <t>Line 2 - Exhibit BMG 1.1, Sch. 25, Line 3, col. (e)</t>
  </si>
  <si>
    <t>Line 3 - Line 1 multiplied by Line 2</t>
  </si>
  <si>
    <t>Line 4 - Exhibit BMG1.1, Sch. 2, Col. (d), Line 14</t>
  </si>
  <si>
    <t>Line 5 - Line 3 minus Line 4</t>
  </si>
  <si>
    <t>Line 7 - Line 5 divided by (1 minus 21%) multiplied by 21%</t>
  </si>
  <si>
    <t>Line 8 - (Line 5 plus line 7) multiplied by 0.34%</t>
  </si>
  <si>
    <t>Line 9 - Line 5 plus Line 7 plus Line 8</t>
  </si>
  <si>
    <t>Line 10 - Line 9 multiplied by 0.0038</t>
  </si>
  <si>
    <t>Line 11 - Line 9 plus Line 10</t>
  </si>
  <si>
    <t>Line 12 - Exhibit BMG 1.1, Sch. 2, Col. (d), Line 2</t>
  </si>
  <si>
    <t>Line 13 - Exhibit BMG 1.1, Sch. 15, Col. (b), Line 3 multiplied by negative one</t>
  </si>
  <si>
    <t>Line 14 - Line 12 plus Line 13</t>
  </si>
  <si>
    <t>Line 15 - Line 11 divided by Line 14</t>
  </si>
  <si>
    <t>South Dakota Gas Operating Income Statement With Pro Forma Adjustments</t>
  </si>
  <si>
    <t>South Dakota</t>
  </si>
  <si>
    <t>Test</t>
  </si>
  <si>
    <t>Total</t>
  </si>
  <si>
    <t>Before</t>
  </si>
  <si>
    <t>With</t>
  </si>
  <si>
    <t>Period</t>
  </si>
  <si>
    <t>Pro Forma</t>
  </si>
  <si>
    <t>Revenue</t>
  </si>
  <si>
    <t>Actual</t>
  </si>
  <si>
    <t>Adjustments</t>
  </si>
  <si>
    <t>Adjustment</t>
  </si>
  <si>
    <t>(c)</t>
  </si>
  <si>
    <t>(d)</t>
  </si>
  <si>
    <t>(e)</t>
  </si>
  <si>
    <t>(f)</t>
  </si>
  <si>
    <t>Operating Revenues:</t>
  </si>
  <si>
    <t xml:space="preserve">  Tariffed Revenues</t>
  </si>
  <si>
    <t xml:space="preserve">  Other Revenues</t>
  </si>
  <si>
    <t>Total Operating Revenues</t>
  </si>
  <si>
    <t>Operating Expenses:</t>
  </si>
  <si>
    <t xml:space="preserve">  Operation and Maintenance</t>
  </si>
  <si>
    <t xml:space="preserve">  Depreciation and Amortization</t>
  </si>
  <si>
    <t xml:space="preserve">  Taxes Other Than Income</t>
  </si>
  <si>
    <t>Income Taxes -</t>
  </si>
  <si>
    <t xml:space="preserve">  Current</t>
  </si>
  <si>
    <t xml:space="preserve">  Deferred</t>
  </si>
  <si>
    <t xml:space="preserve">  Investment Tax Credit</t>
  </si>
  <si>
    <t>Total Operating Expenses</t>
  </si>
  <si>
    <t>Pro Forma Operating Income</t>
  </si>
  <si>
    <t>Source:</t>
  </si>
  <si>
    <t>Column (b) - Company Books and Records; WP BMG 2</t>
  </si>
  <si>
    <t>Column (c) - Exhibit BMG 1.1, Sch. 3, Col. (b)</t>
  </si>
  <si>
    <t>Column (d) - Column (b) plus Column (c)</t>
  </si>
  <si>
    <t>Column (e), Line 2 - Exhibit BMG 1.1, Sch. 1, Line 11</t>
  </si>
  <si>
    <t>Column (e), Line 6 - Exhibit BMG 1.1, Sch. 1, Line 8</t>
  </si>
  <si>
    <t>Column (e), Line 8 - Exhibit BMG 1.1, Sch. 1, Line 10</t>
  </si>
  <si>
    <t>Column (e), Line 10 - Exhibit BMG 1.1, Sch. 1, Line 7</t>
  </si>
  <si>
    <t>Column (f) - Column (d) plus Column (e)</t>
  </si>
  <si>
    <t>South Dakota Gas Operating Income Statement</t>
  </si>
  <si>
    <t>Pro Forma Adjustments</t>
  </si>
  <si>
    <t>Meter</t>
  </si>
  <si>
    <t>Late</t>
  </si>
  <si>
    <t>Interest</t>
  </si>
  <si>
    <t>Payroll</t>
  </si>
  <si>
    <t>Weather</t>
  </si>
  <si>
    <t>Retirement</t>
  </si>
  <si>
    <t>Depreciation</t>
  </si>
  <si>
    <t>Sales</t>
  </si>
  <si>
    <t>Reading</t>
  </si>
  <si>
    <t>Rate Case</t>
  </si>
  <si>
    <t>Payment</t>
  </si>
  <si>
    <t>LTIP</t>
  </si>
  <si>
    <t>Tax</t>
  </si>
  <si>
    <t>PGA Costs</t>
  </si>
  <si>
    <t>Economic</t>
  </si>
  <si>
    <t>Synch.</t>
  </si>
  <si>
    <t>Normalization</t>
  </si>
  <si>
    <t>Plan Costs</t>
  </si>
  <si>
    <t>Growth</t>
  </si>
  <si>
    <t>Labor</t>
  </si>
  <si>
    <t>Expense</t>
  </si>
  <si>
    <t>Charges</t>
  </si>
  <si>
    <t>Costs</t>
  </si>
  <si>
    <t>&amp; Revenue</t>
  </si>
  <si>
    <t>Development</t>
  </si>
  <si>
    <t>Reclass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</si>
  <si>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</si>
  <si>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</si>
  <si>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</si>
  <si>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</si>
  <si>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</si>
  <si>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</si>
  <si>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</si>
  <si>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</si>
  <si>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</si>
  <si>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</si>
  <si>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(r)</t>
  </si>
  <si>
    <t>South Dakota Operating Revenues:</t>
  </si>
  <si>
    <t xml:space="preserve">  Gas Service Revenues</t>
  </si>
  <si>
    <t xml:space="preserve">  Other Operating Revenues</t>
  </si>
  <si>
    <t>South Dakota Gas Operating Expenses:</t>
  </si>
  <si>
    <t xml:space="preserve">  Cost of Gas Purchased</t>
  </si>
  <si>
    <t xml:space="preserve">  Other Operation &amp; Maint.</t>
  </si>
  <si>
    <t xml:space="preserve">  Depreciation &amp; Amort.</t>
  </si>
  <si>
    <t xml:space="preserve">  Other Taxes</t>
  </si>
  <si>
    <t xml:space="preserve">  Income Taxes -</t>
  </si>
  <si>
    <t xml:space="preserve">    Federal (21%)</t>
  </si>
  <si>
    <t xml:space="preserve">    Deferred</t>
  </si>
  <si>
    <t xml:space="preserve">    Investment Tax Credit</t>
  </si>
  <si>
    <t>South Dakota Gas Operating Income</t>
  </si>
  <si>
    <t>Sch. 4</t>
  </si>
  <si>
    <t>Sch. 5</t>
  </si>
  <si>
    <t>Sch. 6</t>
  </si>
  <si>
    <t>Sch. 7</t>
  </si>
  <si>
    <t>Sch. 8</t>
  </si>
  <si>
    <t>Sch. 9</t>
  </si>
  <si>
    <t>Sch. 10</t>
  </si>
  <si>
    <t>Sch. 11</t>
  </si>
  <si>
    <t>Sch. 12</t>
  </si>
  <si>
    <t>Sch. 13</t>
  </si>
  <si>
    <t>Sch. 14</t>
  </si>
  <si>
    <t>Sch. 15</t>
  </si>
  <si>
    <t>Sch. 16</t>
  </si>
  <si>
    <t>Sch. 17</t>
  </si>
  <si>
    <t>Sch. 18</t>
  </si>
  <si>
    <t xml:space="preserve">Sch. </t>
  </si>
  <si>
    <t>Pro Forma Adjustment - Interest Synchronization</t>
  </si>
  <si>
    <t>South Dakota Gas Operating Expenses</t>
  </si>
  <si>
    <t xml:space="preserve">  Interest Synchronization</t>
  </si>
  <si>
    <t xml:space="preserve">    Federal Income Tax (21%)</t>
  </si>
  <si>
    <t xml:space="preserve">  Line 3 - Workpaper BMG 4,  Line 11</t>
  </si>
  <si>
    <t>Pro Forma Adjustment - Payroll Adjustment</t>
  </si>
  <si>
    <t xml:space="preserve">  Other Operation and Maintenance</t>
  </si>
  <si>
    <t xml:space="preserve">    Labor Increase</t>
  </si>
  <si>
    <t>Other Taxes</t>
  </si>
  <si>
    <t xml:space="preserve">  Union Labor Increase</t>
  </si>
  <si>
    <t>Federal Income Tax (21%)</t>
  </si>
  <si>
    <t xml:space="preserve">  Line 3 - Workpaper BMG 5, Page 1, Line 29 + line 31</t>
  </si>
  <si>
    <t xml:space="preserve">  Line 5 - Workpaper BMG 5, Page 1, Line 36</t>
  </si>
  <si>
    <t xml:space="preserve">  Line 6 - Sum of Line 3 plus Line 5 multiplied by -21%</t>
  </si>
  <si>
    <t>Pro Forma Adjustment - Weather Normalization</t>
  </si>
  <si>
    <t>South Dakota Gas Operating Revenues</t>
  </si>
  <si>
    <t xml:space="preserve">  Sales to Ultimate Consumers</t>
  </si>
  <si>
    <t xml:space="preserve">    Weather Normalization</t>
  </si>
  <si>
    <t xml:space="preserve">  Line 3 - Workpaper BMG 6, Page 1, Line 5</t>
  </si>
  <si>
    <t xml:space="preserve">  Line 4 - Line 3 multiplied by 21%</t>
  </si>
  <si>
    <t>Pro Forma Adjustment - Retirement Plan Costs</t>
  </si>
  <si>
    <t xml:space="preserve">    Retirement Plan Costs</t>
  </si>
  <si>
    <t xml:space="preserve">  Line 3 - Workpaper BMG 7, Page 1, Line 16</t>
  </si>
  <si>
    <t xml:space="preserve">  Line 4 - Line 3 multiplied by -21%</t>
  </si>
  <si>
    <t>Pro Forma Adjustment - Depreciation on Rate Base Adjustments</t>
  </si>
  <si>
    <t xml:space="preserve">  Depreciation</t>
  </si>
  <si>
    <t xml:space="preserve">    Depreciation on Rate Base Adjustments</t>
  </si>
  <si>
    <t xml:space="preserve">  Line 3 - Workpaper BMG 8, Page 1, Line 13</t>
  </si>
  <si>
    <t>Pro Forma Adjustment - Sales Growth</t>
  </si>
  <si>
    <t xml:space="preserve">    Sales Growth</t>
  </si>
  <si>
    <t xml:space="preserve">  Line 3 - Workpaper BMG 9, Page 1 Line 22</t>
  </si>
  <si>
    <t>Pro Forma Adjustment - Meter Reading Labor</t>
  </si>
  <si>
    <t xml:space="preserve">    Meter Reading Labor</t>
  </si>
  <si>
    <t xml:space="preserve">  Line 3 - Workpaper BMG 10, Page 1 Line 5</t>
  </si>
  <si>
    <t>Pro Forma Adjustment - Rate Case Expense</t>
  </si>
  <si>
    <t xml:space="preserve">    Rate Case Expense</t>
  </si>
  <si>
    <t xml:space="preserve">  Line 3 - Workpaper BMG 11, Page 1, Line 7</t>
  </si>
  <si>
    <t>Pro Forma Adjustment - Late Payment Charge</t>
  </si>
  <si>
    <t xml:space="preserve">    Forfeited Discounts</t>
  </si>
  <si>
    <t xml:space="preserve">  Line 3 - Workpaper BMG 12, Page 1, Line 5</t>
  </si>
  <si>
    <t>Pro Forma Adjustment -LTIP Costs</t>
  </si>
  <si>
    <t xml:space="preserve">    LTIP Costs</t>
  </si>
  <si>
    <t xml:space="preserve">  Line 3 - Workpaper BMG 13, Line 5</t>
  </si>
  <si>
    <t>Pro Forma Adjustment - Tax Adjustments</t>
  </si>
  <si>
    <t>South Dakota Electric Operating Expenses</t>
  </si>
  <si>
    <t xml:space="preserve">  Other Tax Expense</t>
  </si>
  <si>
    <t xml:space="preserve">    Property Tax Expense</t>
  </si>
  <si>
    <t>State Income Tax</t>
  </si>
  <si>
    <t xml:space="preserve">  Line 3 - Workpaper BMG 14, Page 1 Line 10</t>
  </si>
  <si>
    <t xml:space="preserve">  Line 4 - Line 3 multiplied by -21% </t>
  </si>
  <si>
    <t xml:space="preserve">  Line 5 - Workpaper BMG 14 page 1 line 12</t>
  </si>
  <si>
    <t xml:space="preserve">  Line 6 - Line 4 plus Line 5</t>
  </si>
  <si>
    <t>Pro Forma Adjustment - PGA Costs and Revenue</t>
  </si>
  <si>
    <t xml:space="preserve">  Other Electric Revenue</t>
  </si>
  <si>
    <t xml:space="preserve">    PGA Revenue</t>
  </si>
  <si>
    <t xml:space="preserve">    PGA Costs</t>
  </si>
  <si>
    <t>Other Operating Expense</t>
  </si>
  <si>
    <t xml:space="preserve">  Line 3 - Workpaper BMG 15, Page 1 Line 21</t>
  </si>
  <si>
    <t xml:space="preserve">  Line 6 - Workpaper BMG 15, Page 1 Line 23</t>
  </si>
  <si>
    <t xml:space="preserve">  Line 7 - Workpaper BMG 15 Page 1 Line 25</t>
  </si>
  <si>
    <t xml:space="preserve">  Line 8 - Workpaper BMG 15 Page 1 Line 27</t>
  </si>
  <si>
    <t xml:space="preserve">  Line 9 - (Line 3 - line 6 + line 7 - line 8) multiplied by 21%</t>
  </si>
  <si>
    <t>Pro Forma Adjustment - Economic Development</t>
  </si>
  <si>
    <t xml:space="preserve">    Economic Development</t>
  </si>
  <si>
    <t xml:space="preserve">  Line 3 - Workpaper BMG 16 Line 7</t>
  </si>
  <si>
    <t>Pro Forma Adjustment - Revenue Reclass</t>
  </si>
  <si>
    <t>Tariffed Revenues</t>
  </si>
  <si>
    <t>Other Revenues</t>
  </si>
  <si>
    <t xml:space="preserve">  Line 2 - Workpaper BMG 17, Line 6</t>
  </si>
  <si>
    <t xml:space="preserve">  Line 3 - Workpaper BMG 17, Line 7</t>
  </si>
  <si>
    <t>q</t>
  </si>
  <si>
    <t>RULE 20:10:13:80</t>
  </si>
  <si>
    <t>STATEMENT H</t>
  </si>
  <si>
    <t>Operation and Maintenance Expense</t>
  </si>
  <si>
    <t>Utility: MidAmerican Energy Company</t>
  </si>
  <si>
    <t>Individual Responsible: Blake Groen</t>
  </si>
  <si>
    <t>(q)</t>
  </si>
  <si>
    <t>(s)</t>
  </si>
  <si>
    <t>(t)</t>
  </si>
  <si>
    <t xml:space="preserve"> </t>
  </si>
  <si>
    <t>Rate</t>
  </si>
  <si>
    <t>Additional</t>
  </si>
  <si>
    <t>Adjusted</t>
  </si>
  <si>
    <t>Acct</t>
  </si>
  <si>
    <t>Meter Reading</t>
  </si>
  <si>
    <t>Case</t>
  </si>
  <si>
    <t>PGA</t>
  </si>
  <si>
    <t>Income</t>
  </si>
  <si>
    <t>Income Statement Component</t>
  </si>
  <si>
    <t>Jurisdiction</t>
  </si>
  <si>
    <t>Synchroniz.</t>
  </si>
  <si>
    <t>Costs/Revenue</t>
  </si>
  <si>
    <t>Subtotal</t>
  </si>
  <si>
    <t>Requirement</t>
  </si>
  <si>
    <t>Statement</t>
  </si>
  <si>
    <t>Gas Operating Revenues</t>
  </si>
  <si>
    <t>Oper &amp; Maint Expenses</t>
  </si>
  <si>
    <t xml:space="preserve">  Super &amp; Eng</t>
  </si>
  <si>
    <t xml:space="preserve">  Other Power Expense</t>
  </si>
  <si>
    <t xml:space="preserve">  LPG Cleanup</t>
  </si>
  <si>
    <t xml:space="preserve">  LPG Gas</t>
  </si>
  <si>
    <t xml:space="preserve">  Misc Prod Exp</t>
  </si>
  <si>
    <t xml:space="preserve">  Struct &amp; Improv</t>
  </si>
  <si>
    <t xml:space="preserve">  Prod Equip</t>
  </si>
  <si>
    <t xml:space="preserve">  Nat Gas City Gate</t>
  </si>
  <si>
    <t xml:space="preserve">  Other Gas Purchase</t>
  </si>
  <si>
    <t xml:space="preserve">  Other Purchased Gas Exp</t>
  </si>
  <si>
    <t xml:space="preserve">  Gas W/D Storage-Dr</t>
  </si>
  <si>
    <t xml:space="preserve">  Gas Del Storage - Cr</t>
  </si>
  <si>
    <t xml:space="preserve">  Other Gas Supply Expense</t>
  </si>
  <si>
    <t xml:space="preserve">  Oper Super &amp; Eng</t>
  </si>
  <si>
    <t xml:space="preserve">  Other Labor &amp; Exp</t>
  </si>
  <si>
    <t xml:space="preserve">  Rents</t>
  </si>
  <si>
    <t xml:space="preserve">  Maint Strct &amp; Imp</t>
  </si>
  <si>
    <t xml:space="preserve">  Distr Load Dispatch</t>
  </si>
  <si>
    <t xml:space="preserve">  Mains &amp; Serv Exp</t>
  </si>
  <si>
    <t xml:space="preserve">  Meas/Reg Operations</t>
  </si>
  <si>
    <t xml:space="preserve">  Meas/Reg Stations</t>
  </si>
  <si>
    <t xml:space="preserve">  Meter &amp; House Reg</t>
  </si>
  <si>
    <t xml:space="preserve">  Cust Install Exp</t>
  </si>
  <si>
    <t xml:space="preserve">  Other Expenses</t>
  </si>
  <si>
    <t xml:space="preserve">  Maint of Mains</t>
  </si>
  <si>
    <t xml:space="preserve">  Maint Meas &amp; Reg - Gen</t>
  </si>
  <si>
    <t xml:space="preserve">  Maint Town Border Equip</t>
  </si>
  <si>
    <t xml:space="preserve">  Maint of Services</t>
  </si>
  <si>
    <t xml:space="preserve">  Maint Met &amp;: Hse Reg</t>
  </si>
  <si>
    <t xml:space="preserve">  Supervision</t>
  </si>
  <si>
    <t xml:space="preserve">  Meter Reading</t>
  </si>
  <si>
    <t xml:space="preserve">  Customer Rec. &amp; Collect.</t>
  </si>
  <si>
    <t xml:space="preserve">  Uncollect Accts</t>
  </si>
  <si>
    <t xml:space="preserve">  Misc Cust Accts</t>
  </si>
  <si>
    <t xml:space="preserve">  Cust Assist Exp</t>
  </si>
  <si>
    <t xml:space="preserve">  Info &amp; Instruct Exp</t>
  </si>
  <si>
    <t xml:space="preserve">  Misc Customer Service</t>
  </si>
  <si>
    <t xml:space="preserve">  Demo &amp; Selling</t>
  </si>
  <si>
    <t xml:space="preserve">  Misc Sales Exp</t>
  </si>
  <si>
    <t xml:space="preserve">  Admin &amp; Gen Salaries</t>
  </si>
  <si>
    <t xml:space="preserve">  Office Supplies &amp; Exp</t>
  </si>
  <si>
    <t xml:space="preserve">  Admin Exp Trans - Cr</t>
  </si>
  <si>
    <t xml:space="preserve">  Outside Serv Exp</t>
  </si>
  <si>
    <t xml:space="preserve">  Property Insurance</t>
  </si>
  <si>
    <t xml:space="preserve">  Injuries &amp; Damages</t>
  </si>
  <si>
    <t xml:space="preserve">  Employee Pens &amp; Ben</t>
  </si>
  <si>
    <t xml:space="preserve">  Reg Commission Exp</t>
  </si>
  <si>
    <t xml:space="preserve">  Duplicate Charges - Cr</t>
  </si>
  <si>
    <t xml:space="preserve">  Misc. Gen &amp; Adv Expenses</t>
  </si>
  <si>
    <t xml:space="preserve">  Maint of Gen Plt</t>
  </si>
  <si>
    <t>Total Oper &amp; Maint</t>
  </si>
  <si>
    <t xml:space="preserve">  Other Taxes - Property</t>
  </si>
  <si>
    <t xml:space="preserve">  Other Taxes - Misc.</t>
  </si>
  <si>
    <t xml:space="preserve">  Other Taxes - Payroll</t>
  </si>
  <si>
    <t xml:space="preserve">  State Income Taxes</t>
  </si>
  <si>
    <t xml:space="preserve">  Federal Income Taxes</t>
  </si>
  <si>
    <t xml:space="preserve">  Deferred Taxes</t>
  </si>
  <si>
    <t xml:space="preserve">  Total Gas Oper Exp.</t>
  </si>
  <si>
    <t>Net Gas Oper Income</t>
  </si>
  <si>
    <t>Source for actuals: FRC040.</t>
  </si>
  <si>
    <t>Gas Revenue</t>
  </si>
  <si>
    <t>Total SD</t>
  </si>
  <si>
    <t>Tariffed</t>
  </si>
  <si>
    <t>Other</t>
  </si>
  <si>
    <t xml:space="preserve">  Operation</t>
  </si>
  <si>
    <t xml:space="preserve">Taxes Other </t>
  </si>
  <si>
    <t>Investment</t>
  </si>
  <si>
    <t>Activity</t>
  </si>
  <si>
    <t>Jurisdictional</t>
  </si>
  <si>
    <t>Revenues</t>
  </si>
  <si>
    <t xml:space="preserve"> and Maintenance</t>
  </si>
  <si>
    <t xml:space="preserve">  and Amortization</t>
  </si>
  <si>
    <t>Than Income</t>
  </si>
  <si>
    <t>Current</t>
  </si>
  <si>
    <t>Deferred</t>
  </si>
  <si>
    <t>Tax Credit</t>
  </si>
  <si>
    <t>Multiple</t>
  </si>
  <si>
    <t>TOTAL G-RETAIL REVENUE</t>
  </si>
  <si>
    <t>G-WHOLESALE SALES</t>
  </si>
  <si>
    <t>G-FORFEITED DISCOUNT</t>
  </si>
  <si>
    <t>G-MISC SERVICE REV</t>
  </si>
  <si>
    <t>G-BAD CHECK CHARGE</t>
  </si>
  <si>
    <t>G-DIVERSN &amp; INVESTIG</t>
  </si>
  <si>
    <t>G-RECONNECT FEES</t>
  </si>
  <si>
    <t>G-METER CLASS CHG</t>
  </si>
  <si>
    <t>G-TRANS REV-ESTIMATE</t>
  </si>
  <si>
    <t>G-TRANSPORT FEE</t>
  </si>
  <si>
    <t>G-CUST FEE-GROUP BAL</t>
  </si>
  <si>
    <t>TRANS ADMIN CHARGE</t>
  </si>
  <si>
    <t>DISTB DEMAND CHG MDR</t>
  </si>
  <si>
    <t>EXC PENALTY USE CHRG</t>
  </si>
  <si>
    <t>IL TRANS METER CHRG</t>
  </si>
  <si>
    <t>G-TRANS REV-MMT</t>
  </si>
  <si>
    <t>G-TRANS CHG-STANDBY</t>
  </si>
  <si>
    <t>G-TRANS-LATE NOM FEE</t>
  </si>
  <si>
    <t>G-DBS/RESERVATION</t>
  </si>
  <si>
    <t>G-DBS/COMMODITY</t>
  </si>
  <si>
    <t>G-TRANSP-EE RCVR O/U</t>
  </si>
  <si>
    <t>G-OTHER GAS REVENUE</t>
  </si>
  <si>
    <t>OPERATING</t>
  </si>
  <si>
    <t>MAINTENANCE</t>
  </si>
  <si>
    <t>TOTAL DEPRECIATION EXPENSE</t>
  </si>
  <si>
    <t>AMORT &amp; DEPLET PLT</t>
  </si>
  <si>
    <t>408 - OTHER TAXES</t>
  </si>
  <si>
    <t>CURRENT FED INC TAX</t>
  </si>
  <si>
    <t>CURRENT ST INC TAX</t>
  </si>
  <si>
    <t>PROVISION - DEFER TAX</t>
  </si>
  <si>
    <t>CREDIT - D.I.T.</t>
  </si>
  <si>
    <t>ITC ADJUSTMENT</t>
  </si>
  <si>
    <t>To MidAmerican Exhibit BMG 1.1, Schedule 2, Column (b)</t>
  </si>
  <si>
    <t>Line 2</t>
  </si>
  <si>
    <t>Line 3</t>
  </si>
  <si>
    <t>Line 6</t>
  </si>
  <si>
    <t>Line 7</t>
  </si>
  <si>
    <t>Line 8</t>
  </si>
  <si>
    <t>Line 10</t>
  </si>
  <si>
    <t>Line 11</t>
  </si>
  <si>
    <t>Line 12</t>
  </si>
  <si>
    <t>South Dakota Operating Income Statement</t>
  </si>
  <si>
    <t>Reference</t>
  </si>
  <si>
    <t>OPERATING EXPENSE</t>
  </si>
  <si>
    <t>From Exhibit ASR 1.1, Sch 1, Col (d), Ln 20</t>
  </si>
  <si>
    <t>Weighted Cost of Debt</t>
  </si>
  <si>
    <t>From Exhibit BMG 1.1, Sch 25, Pg 1, Col (e), Ln 1</t>
  </si>
  <si>
    <t>Pro Forma Interest</t>
  </si>
  <si>
    <t>Line 2 times Line 3</t>
  </si>
  <si>
    <t>Interest in jurisdictional tax calculation</t>
  </si>
  <si>
    <t>WP BMG 4 Page 2 line 2</t>
  </si>
  <si>
    <t>Pre-tax impact of book interest synch</t>
  </si>
  <si>
    <t>WP BMG 4 Page 2 line 11 divided by -21%</t>
  </si>
  <si>
    <t>Book interest</t>
  </si>
  <si>
    <t>Difference</t>
  </si>
  <si>
    <t>Line 4 minus Line 7</t>
  </si>
  <si>
    <t>Federal tax difference</t>
  </si>
  <si>
    <t>Line 8 times 21% * -1</t>
  </si>
  <si>
    <t>Pro Forma Adjustment</t>
  </si>
  <si>
    <t>Federal Income Taxes (21%)</t>
  </si>
  <si>
    <t>Line 9</t>
  </si>
  <si>
    <t>To Exhibit BMG 1.1 Sch. 4</t>
  </si>
  <si>
    <t>Jurisdictional Income Taxes</t>
  </si>
  <si>
    <t>SD</t>
  </si>
  <si>
    <t>(1)</t>
  </si>
  <si>
    <t>Pre tax, pre interest net income</t>
  </si>
  <si>
    <t>Interest Expense</t>
  </si>
  <si>
    <t>Less amounts treated as tax (431 accts), see below</t>
  </si>
  <si>
    <t>Pre Tax Book Income</t>
  </si>
  <si>
    <t>Schedule "M" Items</t>
  </si>
  <si>
    <t>State Tax Deduction</t>
  </si>
  <si>
    <t>Federal Taxable Income</t>
  </si>
  <si>
    <t>Federal Current</t>
  </si>
  <si>
    <t>South Dakota State Curr. Tax Allocation</t>
  </si>
  <si>
    <t xml:space="preserve">Total Federal Current </t>
  </si>
  <si>
    <t>Federal Interest sync</t>
  </si>
  <si>
    <t>State Current</t>
  </si>
  <si>
    <t>State Interest Sync</t>
  </si>
  <si>
    <t>Federal Deferred Taxes</t>
  </si>
  <si>
    <t>State Deferred Taxes</t>
  </si>
  <si>
    <t>Book-to-Tax / Reserves:</t>
  </si>
  <si>
    <t>Federal Deferred</t>
  </si>
  <si>
    <t xml:space="preserve">State Deferred </t>
  </si>
  <si>
    <t>Net ITC</t>
  </si>
  <si>
    <t>SUMMARY</t>
  </si>
  <si>
    <t>Deferred Fed</t>
  </si>
  <si>
    <t>Deferred State</t>
  </si>
  <si>
    <t>Source: Company Books and Records (FRC040)</t>
  </si>
  <si>
    <t>DEFERRED FED INC TAX</t>
  </si>
  <si>
    <t>DEFERRED ST INC TAX</t>
  </si>
  <si>
    <t>Pro-Forma Adjustment - Payroll Adjustment</t>
  </si>
  <si>
    <t>Amount</t>
  </si>
  <si>
    <t>Total payroll  increase</t>
  </si>
  <si>
    <t>WP BMG 5, Page 2</t>
  </si>
  <si>
    <t>FICA, FUTA, SUTA %</t>
  </si>
  <si>
    <t>WP BMG 5, Page 3</t>
  </si>
  <si>
    <t>Total payroll paxes increase</t>
  </si>
  <si>
    <t>Line 1 * Line 2</t>
  </si>
  <si>
    <t>401(k) %</t>
  </si>
  <si>
    <t>WP BMG 5 Page 3</t>
  </si>
  <si>
    <t>Total 401(k) benefit increase</t>
  </si>
  <si>
    <t>Line 1 * Line 4</t>
  </si>
  <si>
    <t>O&amp;M vs total labor %</t>
  </si>
  <si>
    <t>WP BMG 5, Page 5, Line 21</t>
  </si>
  <si>
    <t>O&amp;M labor increase</t>
  </si>
  <si>
    <t>Line 1* Line 6</t>
  </si>
  <si>
    <t>401(k) increase</t>
  </si>
  <si>
    <t>Line 5 * Line 6</t>
  </si>
  <si>
    <t>Payroll tax increase</t>
  </si>
  <si>
    <t>Line 3 * Line 6</t>
  </si>
  <si>
    <t>Gas labor amount</t>
  </si>
  <si>
    <t>Gas Labor % (WP BMG 5 Page 5)* Line 7</t>
  </si>
  <si>
    <t>Gas 401(k)</t>
  </si>
  <si>
    <t>Gas Labor % (WP BMG 5 Page 5) * Line 8</t>
  </si>
  <si>
    <t>Gas payroll Taxes</t>
  </si>
  <si>
    <t>Gas Labor % (WP BMG 5 Page 5) * Line 9</t>
  </si>
  <si>
    <t>Pro Forma Adjustment - Jurisdictional Distribution of Gas O&amp;M Expense Increase</t>
  </si>
  <si>
    <t xml:space="preserve">  Iowa</t>
  </si>
  <si>
    <t>WP BMG 5 Page 5 Line 11 * Line 10</t>
  </si>
  <si>
    <t xml:space="preserve">  Illinois</t>
  </si>
  <si>
    <t xml:space="preserve">  South Dakota</t>
  </si>
  <si>
    <t xml:space="preserve">  Nebraska</t>
  </si>
  <si>
    <t>Pro Forma Adjustment - Jurisdictional Distribution of Gas 401(k) Increase</t>
  </si>
  <si>
    <t>WP BMG 5 Page 5 Line 11 * Line 11</t>
  </si>
  <si>
    <t>Pro Forma Adjustment - Jurisdictional Distribution of Gas Payroll Tax Expense Increase</t>
  </si>
  <si>
    <t>WP BMG 5 Page 5 Line 11 * Line 12</t>
  </si>
  <si>
    <t>Pro Forma Adjustment - SD</t>
  </si>
  <si>
    <t xml:space="preserve">  Increase Labor Expense</t>
  </si>
  <si>
    <t>Line 16</t>
  </si>
  <si>
    <t xml:space="preserve">  Increase 401(k) Expense</t>
  </si>
  <si>
    <t>Line 21</t>
  </si>
  <si>
    <t>Pro Forma Adjustment -SD</t>
  </si>
  <si>
    <t xml:space="preserve">  Increase Payroll Tax Expense - FICA</t>
  </si>
  <si>
    <t xml:space="preserve">  Increase Payroll Tax Expense - FUTA</t>
  </si>
  <si>
    <t xml:space="preserve">  Increase Payroll Tax Expense - SUTA</t>
  </si>
  <si>
    <t xml:space="preserve">  Total</t>
  </si>
  <si>
    <t>Line 26</t>
  </si>
  <si>
    <t>To Exh. BMG 1.1 Sch. 5</t>
  </si>
  <si>
    <t>Distribution of Salaries and Wages</t>
  </si>
  <si>
    <t>Per FERC Form 1 Labor Distribution Workpapers</t>
  </si>
  <si>
    <t xml:space="preserve">Total </t>
  </si>
  <si>
    <t>Company</t>
  </si>
  <si>
    <t>Iowa</t>
  </si>
  <si>
    <t>Illinois</t>
  </si>
  <si>
    <t>Nebraska</t>
  </si>
  <si>
    <t>FERC</t>
  </si>
  <si>
    <t xml:space="preserve">Direct Payroll Distribution Summary - </t>
  </si>
  <si>
    <t xml:space="preserve">  Manufactured Gas</t>
  </si>
  <si>
    <t xml:space="preserve">  Other Gas Supply</t>
  </si>
  <si>
    <t xml:space="preserve">  Storage, LNG</t>
  </si>
  <si>
    <t xml:space="preserve">  Distribution</t>
  </si>
  <si>
    <t xml:space="preserve">  Customer Accounts</t>
  </si>
  <si>
    <t xml:space="preserve">  Customer Serv. And Info.</t>
  </si>
  <si>
    <t xml:space="preserve">  Sales</t>
  </si>
  <si>
    <t xml:space="preserve">  Admin. And General</t>
  </si>
  <si>
    <t xml:space="preserve">   Total</t>
  </si>
  <si>
    <t>Percent</t>
  </si>
  <si>
    <t>Electric Direct Labor</t>
  </si>
  <si>
    <t>Charged to O&amp;M</t>
  </si>
  <si>
    <t>Charged to Construction</t>
  </si>
  <si>
    <t>Charged to Removal</t>
  </si>
  <si>
    <t>Total Direct Labor</t>
  </si>
  <si>
    <t>Percent O&amp;M to Total</t>
  </si>
  <si>
    <t>Gas Direct Labor</t>
  </si>
  <si>
    <t>Other Income</t>
  </si>
  <si>
    <t>Other Balance Sheet</t>
  </si>
  <si>
    <t>Clearing Accounts</t>
  </si>
  <si>
    <t>Total MEC Direct Labor</t>
  </si>
  <si>
    <t>Percent Gas to Total</t>
  </si>
  <si>
    <t>Percent Electric to Total</t>
  </si>
  <si>
    <t>Test Year</t>
  </si>
  <si>
    <t>Account</t>
  </si>
  <si>
    <t>Benefits</t>
  </si>
  <si>
    <t>Taxes</t>
  </si>
  <si>
    <t>Other taxes</t>
  </si>
  <si>
    <t>Column C source: Schedule H-1</t>
  </si>
  <si>
    <t xml:space="preserve">  Sales to Ulitimate Consumers</t>
  </si>
  <si>
    <t>Exhibit AAH 1.2 Schedule E</t>
  </si>
  <si>
    <t>Pro Forma Adjustment for Weather Normalization</t>
  </si>
  <si>
    <t>Increase Operating Revenue</t>
  </si>
  <si>
    <t>To Exh. BMG 1.1 Sch. 6</t>
  </si>
  <si>
    <t>Pro-Forma Adjustment - Retirement Plan Costs</t>
  </si>
  <si>
    <t>Three-Year Average Pension Costs - SD Gas</t>
  </si>
  <si>
    <t>WP BMG 7 Page 2</t>
  </si>
  <si>
    <t>Three-Year Average SERP Costs - SD Gas</t>
  </si>
  <si>
    <t>Three-Year Average OPEB Costs - SD Gas</t>
  </si>
  <si>
    <t>Sum lines 1 -3</t>
  </si>
  <si>
    <t>Test Year Pension Costs - SD Gas</t>
  </si>
  <si>
    <t>Test Year SERP Costs - SD Gas</t>
  </si>
  <si>
    <t>Test Year OPEB Costs - SD Gas</t>
  </si>
  <si>
    <t>Sum lines 6 - 8</t>
  </si>
  <si>
    <t>Line 4 - line 9</t>
  </si>
  <si>
    <t>% O&amp;M</t>
  </si>
  <si>
    <t>WP BMG 5 p. 5 Line 21</t>
  </si>
  <si>
    <t>Change to O&amp;M</t>
  </si>
  <si>
    <t>Line 11 times line 12</t>
  </si>
  <si>
    <t xml:space="preserve">  Increase O&amp;M Expense</t>
  </si>
  <si>
    <t>To Exh. BMG 1.1 Sch. 7</t>
  </si>
  <si>
    <t>Test Year Pension Costs</t>
  </si>
  <si>
    <t>926.101 &amp; 926.102</t>
  </si>
  <si>
    <t>WP BMG 7 Pg 7, 15</t>
  </si>
  <si>
    <t>Jurisdictional Distribution</t>
  </si>
  <si>
    <t>Test Year SERP Costs</t>
  </si>
  <si>
    <t>WP BMG 7 Pg 8, 15</t>
  </si>
  <si>
    <t>Test Year OPEB Costs</t>
  </si>
  <si>
    <t>926.215 &amp; 926.216</t>
  </si>
  <si>
    <t>WP BMG 7 Pg 9,10, 15</t>
  </si>
  <si>
    <t>2022 Pension Costs</t>
  </si>
  <si>
    <t>WP BMG 7 Pg 3</t>
  </si>
  <si>
    <t>2021 Pension Costs</t>
  </si>
  <si>
    <t>WP BMG 7 Pg 7</t>
  </si>
  <si>
    <t>2020 Pension Costs</t>
  </si>
  <si>
    <t>WP BMG 7 Pg 11</t>
  </si>
  <si>
    <t>3-YearAverage</t>
  </si>
  <si>
    <t>Aveage: lines 9-11</t>
  </si>
  <si>
    <t>Gas Portion of Average Pension Costs</t>
  </si>
  <si>
    <t>Line 12 * line 2</t>
  </si>
  <si>
    <t>SD Gas Portion</t>
  </si>
  <si>
    <t>Line 13 * line 2</t>
  </si>
  <si>
    <t>2022 SERP Costs</t>
  </si>
  <si>
    <t>WP BMG 7 Pg 4</t>
  </si>
  <si>
    <t>2021 SERP Costs</t>
  </si>
  <si>
    <t>WP BMG 7 Pg 8</t>
  </si>
  <si>
    <t>2020 SERP Costs</t>
  </si>
  <si>
    <t>WP BMG 7 Pg 12</t>
  </si>
  <si>
    <t>Average: lines 17-19</t>
  </si>
  <si>
    <t>Gas Portion of Average SERP Costs</t>
  </si>
  <si>
    <t>Line 20 * line 4</t>
  </si>
  <si>
    <t xml:space="preserve">SD Gas Portion </t>
  </si>
  <si>
    <t>Line 21 * line 4</t>
  </si>
  <si>
    <t>2022 OPEB Costs</t>
  </si>
  <si>
    <t>WP BMG 7 Pg 5, 6</t>
  </si>
  <si>
    <t>2021 OPEB Costs</t>
  </si>
  <si>
    <t>WP BMG 7 Pg 9, 10</t>
  </si>
  <si>
    <t>2020 OPEB Costs</t>
  </si>
  <si>
    <t>WP BMG 7 Pg 13, 14</t>
  </si>
  <si>
    <t>Average: lines 25-27</t>
  </si>
  <si>
    <t>Gas Portion of Average OPEB Costs</t>
  </si>
  <si>
    <t>Line 28 * line 6</t>
  </si>
  <si>
    <t>Line 29 * line 6</t>
  </si>
  <si>
    <t>Depreciation on Rate Base Adjustments</t>
  </si>
  <si>
    <t>MidAmerican witness Rooney supports these adjustments.</t>
  </si>
  <si>
    <t xml:space="preserve">  Depreciation Expense:</t>
  </si>
  <si>
    <t xml:space="preserve">    Projects in service in test year</t>
  </si>
  <si>
    <t>WP ASR B</t>
  </si>
  <si>
    <t xml:space="preserve">    System reliability</t>
  </si>
  <si>
    <t>WP ASR C</t>
  </si>
  <si>
    <t xml:space="preserve">    Integrity management</t>
  </si>
  <si>
    <t>WP ASR D</t>
  </si>
  <si>
    <t xml:space="preserve"> Business Transformation</t>
  </si>
  <si>
    <t>WP ASR E</t>
  </si>
  <si>
    <t xml:space="preserve">    New depreciation rates</t>
  </si>
  <si>
    <t>WP ASR F</t>
  </si>
  <si>
    <t>Pro Forma Adjustments for:</t>
  </si>
  <si>
    <t xml:space="preserve">    Increase Depreciation Expense</t>
  </si>
  <si>
    <t>To Exh. BMG 1.1, Sch. 8</t>
  </si>
  <si>
    <t>Residential</t>
  </si>
  <si>
    <t>Commercial</t>
  </si>
  <si>
    <t>Average Customers</t>
  </si>
  <si>
    <t>W/P BMG 9 P. 2</t>
  </si>
  <si>
    <t>EOP Customers</t>
  </si>
  <si>
    <t>Change in Customers</t>
  </si>
  <si>
    <t>Line 2 - Line 1</t>
  </si>
  <si>
    <t>Test Year Sales (therms)</t>
  </si>
  <si>
    <t>W/P BMG 9 P. 3</t>
  </si>
  <si>
    <t>Test Year Billed Revenues -</t>
  </si>
  <si>
    <t xml:space="preserve">  Account</t>
  </si>
  <si>
    <t xml:space="preserve">  Amount</t>
  </si>
  <si>
    <t>W/P BMG 9 P. 4</t>
  </si>
  <si>
    <t xml:space="preserve">  Less:  PGA Recoveries</t>
  </si>
  <si>
    <t>W/P BMG 15 P. 2</t>
  </si>
  <si>
    <t xml:space="preserve">            Energy Efficiency Recoveries</t>
  </si>
  <si>
    <t>Net Revenues</t>
  </si>
  <si>
    <t xml:space="preserve">Line 7 - Line 8 - Line 9 </t>
  </si>
  <si>
    <t>Average Margin -</t>
  </si>
  <si>
    <t xml:space="preserve">  Cents per therms</t>
  </si>
  <si>
    <t>Line 11 / Line 4</t>
  </si>
  <si>
    <t>Average therms</t>
  </si>
  <si>
    <t xml:space="preserve">  Per Customer</t>
  </si>
  <si>
    <t>Line 4 / Line 1</t>
  </si>
  <si>
    <t>End of Period Customers -</t>
  </si>
  <si>
    <t>Line 2 * Line 15</t>
  </si>
  <si>
    <t xml:space="preserve">  Margins</t>
  </si>
  <si>
    <t>(Line 13 * Line 17)/100</t>
  </si>
  <si>
    <t>End of Period Customer Pro Forma Adjustments -</t>
  </si>
  <si>
    <t>Line 17 - Line 4</t>
  </si>
  <si>
    <t xml:space="preserve">  Revenue</t>
  </si>
  <si>
    <t>Line 18 - Line 11</t>
  </si>
  <si>
    <t>Pro Forma Adjustment:</t>
  </si>
  <si>
    <t xml:space="preserve">   Increase Revenue</t>
  </si>
  <si>
    <t>Line 21 col. B + C,</t>
  </si>
  <si>
    <t>Exhibit BGM 1.1, WP 9</t>
  </si>
  <si>
    <t>Page 1 of 4</t>
  </si>
  <si>
    <t>South Dakota Gas Residential and Commercial Customers</t>
  </si>
  <si>
    <t>Account 480091</t>
  </si>
  <si>
    <t>Account 481091</t>
  </si>
  <si>
    <t>Month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</si>
  <si>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</si>
  <si>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</si>
  <si>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</si>
  <si>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</si>
  <si>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</si>
  <si>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</si>
  <si>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</si>
  <si>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</si>
  <si>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</si>
  <si>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</si>
  <si>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</si>
  <si>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</si>
  <si>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Sum of Lines 1 through 12</t>
  </si>
  <si>
    <t>Average</t>
  </si>
  <si>
    <t>Line 13 divided by 12</t>
  </si>
  <si>
    <t>Change</t>
  </si>
  <si>
    <t>Line 12 minus Line 14</t>
  </si>
  <si>
    <t>Source: Statement I.</t>
  </si>
  <si>
    <t>Page 2 of 4</t>
  </si>
  <si>
    <t>South Dakota Gas Residential and Commercial Billed Sales</t>
  </si>
  <si>
    <t>Account 480081</t>
  </si>
  <si>
    <t>Account 481081</t>
  </si>
  <si>
    <t>Page 3 of 4</t>
  </si>
  <si>
    <t>Test Period Information:</t>
  </si>
  <si>
    <t>Activity 902002 costs should have been charged to SD gas</t>
  </si>
  <si>
    <t>WP BMG 10 Page 2</t>
  </si>
  <si>
    <t>Activity 902002 labor charged to SD gas</t>
  </si>
  <si>
    <t>Difference - additional labor costs for SD gas</t>
  </si>
  <si>
    <t>To Exh. BMG 1.1, Schedule 10</t>
  </si>
  <si>
    <t>Pro-Forma Adjustment - Rate Case Expense</t>
  </si>
  <si>
    <t>Estimated rate case costs</t>
  </si>
  <si>
    <t>Exhibit AAH 1.1 Schedule C</t>
  </si>
  <si>
    <t>Amortization period (years)</t>
  </si>
  <si>
    <t>Amortized cost</t>
  </si>
  <si>
    <t>Line 1 / line 2</t>
  </si>
  <si>
    <t>Test year rate case expense</t>
  </si>
  <si>
    <t>Line 3 minus line 4</t>
  </si>
  <si>
    <t>To Exh. BMG 1.1, Schedule 11</t>
  </si>
  <si>
    <t>Other Operating Revenues</t>
  </si>
  <si>
    <t xml:space="preserve">  Forfeited Discounts</t>
  </si>
  <si>
    <t xml:space="preserve">    Acct 487011</t>
  </si>
  <si>
    <t>WP BMG 12 Page 2</t>
  </si>
  <si>
    <t>To Exh. BMG 1.1, Schedule 12</t>
  </si>
  <si>
    <t>Pro Forma Adjustment - LTIP Costs</t>
  </si>
  <si>
    <t>2021 LTIP award - 926117</t>
  </si>
  <si>
    <t>WP BMG 13 Page 2</t>
  </si>
  <si>
    <t>2021 LTIP growth - 926113</t>
  </si>
  <si>
    <t>Pro forma adjustment - decrease</t>
  </si>
  <si>
    <t>O&amp;M expense</t>
  </si>
  <si>
    <t>To Exh. BMG 1.1, Schedule 13</t>
  </si>
  <si>
    <t>Pro Forma Adjustment - Tax Expense</t>
  </si>
  <si>
    <t xml:space="preserve">April 2021 entry truing up 2020 property tax </t>
  </si>
  <si>
    <t>expense to actual</t>
  </si>
  <si>
    <t>W/P BMG 14 Page 2</t>
  </si>
  <si>
    <t>State income tax error</t>
  </si>
  <si>
    <t>State income tax</t>
  </si>
  <si>
    <t>W/P BMG 14 Page 4</t>
  </si>
  <si>
    <t>Deferred Tax</t>
  </si>
  <si>
    <t>Total of Line 5 and Line 6</t>
  </si>
  <si>
    <t>Decrease property tax expense</t>
  </si>
  <si>
    <t>To Exh. BMG 1.1, Schedule 14</t>
  </si>
  <si>
    <t>Increase income tax expense</t>
  </si>
  <si>
    <t>Purchased gas adjustment revenue:</t>
  </si>
  <si>
    <t xml:space="preserve">  PGA revenue recovered via rider</t>
  </si>
  <si>
    <t>W/P BMG 15 Page 2</t>
  </si>
  <si>
    <t xml:space="preserve">  Residential (over) under recoveries</t>
  </si>
  <si>
    <t>W/P BMG 15 Page 3 account 480041</t>
  </si>
  <si>
    <t xml:space="preserve">  Commercial (over) under recoveries</t>
  </si>
  <si>
    <t>W/P BMG 15 Page 3 account 481041</t>
  </si>
  <si>
    <t xml:space="preserve">  Industrial (over) under recoveries</t>
  </si>
  <si>
    <t>W/P BMG 15 Page 3 account 481241</t>
  </si>
  <si>
    <t xml:space="preserve">  October negative balancing adjustment</t>
  </si>
  <si>
    <t>Total revenues</t>
  </si>
  <si>
    <t>Sum lines 1 through 6</t>
  </si>
  <si>
    <t>Total cost of gas</t>
  </si>
  <si>
    <t xml:space="preserve">W/P BMG 15 Page 4 </t>
  </si>
  <si>
    <t>Wholesale cost of gas</t>
  </si>
  <si>
    <t>W/P BMG 15 Page 4 account 807501</t>
  </si>
  <si>
    <t>Total cost of gas recoverable through PGA</t>
  </si>
  <si>
    <t>Line 9 plus line 10</t>
  </si>
  <si>
    <t>Company use</t>
  </si>
  <si>
    <t>W/P BMG 15 Page 5 account 929011</t>
  </si>
  <si>
    <t>Kansas gas tax</t>
  </si>
  <si>
    <t>W/P BMG 15 Page 6 account 408147</t>
  </si>
  <si>
    <t>Net difference</t>
  </si>
  <si>
    <t>Line 7 minus line 11 plus line 13 minue line 15</t>
  </si>
  <si>
    <t>PGA Revenue</t>
  </si>
  <si>
    <t>To Exh. BMG 1.1, Schedule 15</t>
  </si>
  <si>
    <t>PGA Expense</t>
  </si>
  <si>
    <t>Pro-Forma Adjustment - Economic Development</t>
  </si>
  <si>
    <t>Estimated 2022 economic development costs</t>
  </si>
  <si>
    <t>2021 actual economic development costs</t>
  </si>
  <si>
    <t>WP BMG 16 Page 2, Acct 912001</t>
  </si>
  <si>
    <t>Line 1 -  Line 2</t>
  </si>
  <si>
    <t>Actual economic development costs in test year</t>
  </si>
  <si>
    <t>Line 1 times 50%</t>
  </si>
  <si>
    <t>Less 50% sharing of estimated approved costs</t>
  </si>
  <si>
    <t>Line 4 - Line 5</t>
  </si>
  <si>
    <t xml:space="preserve">  Decrease O&amp;M Expense</t>
  </si>
  <si>
    <t>To Exh. BMG 1.1, Schedule 16</t>
  </si>
  <si>
    <t xml:space="preserve">Pro Forma Adjustment - </t>
  </si>
  <si>
    <t>MMT Switching Fee</t>
  </si>
  <si>
    <t>Workpaper BMG 17, Page 2</t>
  </si>
  <si>
    <t>MMT Scheduling Fee</t>
  </si>
  <si>
    <t>MMT Weekend Service Rider</t>
  </si>
  <si>
    <t>Sum of Lines 2-4</t>
  </si>
  <si>
    <t>Decrease Tariffed Revenues</t>
  </si>
  <si>
    <t>To Exh. BMG 1.1, Schedule 17</t>
  </si>
  <si>
    <t>Increase Other Revenues</t>
  </si>
  <si>
    <t xml:space="preserve">12-Month Average Embedded Weighted Average Cost of Capital </t>
  </si>
  <si>
    <t>Twelve Months Ending December 31, 2021</t>
  </si>
  <si>
    <t>Test Year Ending December 31, 2021</t>
  </si>
  <si>
    <t>Weighted</t>
  </si>
  <si>
    <t>Component</t>
  </si>
  <si>
    <t xml:space="preserve">Amount </t>
  </si>
  <si>
    <t>Weight</t>
  </si>
  <si>
    <t>Cost</t>
  </si>
  <si>
    <t xml:space="preserve">Cost </t>
  </si>
  <si>
    <t>Long Term Debt</t>
  </si>
  <si>
    <t xml:space="preserve">Common Equity </t>
  </si>
  <si>
    <t>Line 1 from MidAmerican Exhibit BMG 1.1, Schedule 26, Page 1 of 18.</t>
  </si>
  <si>
    <t>Line 2 from MIdAmerican Exhibit BMG 1.1, Schedule 27, Page 1 of 2.</t>
  </si>
  <si>
    <t xml:space="preserve">Line 2 column (d) from MidAmerican Exhibit AEB 1.1 </t>
  </si>
  <si>
    <t>Cost of Long Term Debt</t>
  </si>
  <si>
    <t>12-point Average Long Term Debt Balance</t>
  </si>
  <si>
    <t>Plus:</t>
  </si>
  <si>
    <t>Unamortized Long Term Debt Premium</t>
  </si>
  <si>
    <t>Unamortized Gain on Reacquired L-T Debt</t>
  </si>
  <si>
    <t>Less:</t>
  </si>
  <si>
    <t>Unamortized L-T Debt Discount</t>
  </si>
  <si>
    <t>Unamortized L-T Debt Expense</t>
  </si>
  <si>
    <t>Unamortized Loss on Reacquired L-T Debt</t>
  </si>
  <si>
    <t>12-point Average Long Term Debt</t>
  </si>
  <si>
    <t>Amortization of L-T Debt Discount</t>
  </si>
  <si>
    <t>Amortization of L-T Debt Expense</t>
  </si>
  <si>
    <t>Amortization of Loss on Reacquired L-T Debt</t>
  </si>
  <si>
    <t>Amortization of Premium on L-T Debt</t>
  </si>
  <si>
    <t>Amortization of Gain on Reacquired L-T Debt</t>
  </si>
  <si>
    <t>12-point Average Cost of Long Term Debt</t>
  </si>
  <si>
    <t>Sources:   Line 1:  MidAmerican Exhibit BMG 1.1, Schedule 26, Page 2 of 18, Column (R), Line 36.</t>
  </si>
  <si>
    <t xml:space="preserve">                 Line 2: MidAmerican Exhibit BMG 1.1, Schedule 26, Page 3 of 18, Column (N), Line 4.</t>
  </si>
  <si>
    <t xml:space="preserve">                 Line 3:  MidAmerican Exhibit BMG 1.1, Schedule 26, Page 4 of 18, Column (o), Line 5.</t>
  </si>
  <si>
    <t xml:space="preserve">                 Line 4:  MidAmerican Exhibit BMG 1.1, Schedule 26, Page 5 of 18, Column (r), Line 35.</t>
  </si>
  <si>
    <t xml:space="preserve">                 Line 5:  MidAmerican Exhibit BMG 1.1, Schedule 26, Page 6 of 18, Column (r), Line 25.</t>
  </si>
  <si>
    <t xml:space="preserve">                 Line 6:  MidAmerican Exhibit BMG 1.1, Schedule 26, Page 7 of 18, Column (r), Line 24.</t>
  </si>
  <si>
    <t xml:space="preserve">                 Line 8:  MidAmerican Exhibit BMG 1.1, Schedule 26, Page 8 of 18, Column (e), Line 37.</t>
  </si>
  <si>
    <t xml:space="preserve">                 Line 9:  MidAmerican Exhibit BMG 1.1, Schedule 26, Page 9 of 18, Column (c), Line 33.</t>
  </si>
  <si>
    <t xml:space="preserve">                 Line 10:  MidAmerican Exhibit BMG 1.1, Schedule 26, Page 10 of 18, Column (c), Line 30.</t>
  </si>
  <si>
    <t xml:space="preserve">                 Line 11:  MidAmerican Exhibit BMG 1.1, Schedule 26, Page 11 of 18, Column (c), Line 23.</t>
  </si>
  <si>
    <t xml:space="preserve">                 Line 12:  MidAmerican Exhibit BMG 1.1, Schedule 26, Page 12 of 18, Column (c), Line 3.</t>
  </si>
  <si>
    <t xml:space="preserve">                 Line 13:  MidAmerican Exhibit BMG 1.1, Schedule 26, Page 14 of 18, Column (b), Line 5.</t>
  </si>
  <si>
    <t>12 Month Average Long Term Debt</t>
  </si>
  <si>
    <t xml:space="preserve">Issue </t>
  </si>
  <si>
    <t xml:space="preserve">Maturity </t>
  </si>
  <si>
    <t>12 Month</t>
  </si>
  <si>
    <t>General Mortgage Bonds</t>
  </si>
  <si>
    <t>Date</t>
  </si>
  <si>
    <t>First Mortgage Bonds</t>
  </si>
  <si>
    <t>3.70% series due 2023</t>
  </si>
  <si>
    <t>4.80% series due 2043</t>
  </si>
  <si>
    <t>3.50% series due 2024</t>
  </si>
  <si>
    <t>4.40% series due 2044</t>
  </si>
  <si>
    <t>3.50 % series due 2024</t>
  </si>
  <si>
    <t>4.25% series due 2046</t>
  </si>
  <si>
    <t>3.10% series due 2027</t>
  </si>
  <si>
    <t>3.95% series due 2047</t>
  </si>
  <si>
    <t>3.65% series due 2048</t>
  </si>
  <si>
    <t>3.65% series due 2029</t>
  </si>
  <si>
    <t>4.25% Series due 2049</t>
  </si>
  <si>
    <t>3.15% Series due 2050</t>
  </si>
  <si>
    <t>3.65% Series due 2029</t>
  </si>
  <si>
    <t>2.70% Series due 2052</t>
  </si>
  <si>
    <t>Total First Mortgage Bonds</t>
  </si>
  <si>
    <t>Pollution Control Bonds</t>
  </si>
  <si>
    <t>PC Louisa Adj Rate due 2024</t>
  </si>
  <si>
    <t>10/01/1994</t>
  </si>
  <si>
    <t>10/01/2024</t>
  </si>
  <si>
    <t>Adj.</t>
  </si>
  <si>
    <t>PC Rev Refunding, Series 2016A, due 2036</t>
  </si>
  <si>
    <t>09/01/2016</t>
  </si>
  <si>
    <t>09/01/2036</t>
  </si>
  <si>
    <t>Solid Waste Rev Bonds, Series  2016B</t>
  </si>
  <si>
    <t>12/1/2016</t>
  </si>
  <si>
    <t>12/1/2046</t>
  </si>
  <si>
    <t>Solid Waste Rev Bonds, Series  2017</t>
  </si>
  <si>
    <t>12/13/2017</t>
  </si>
  <si>
    <t>12/1/2047</t>
  </si>
  <si>
    <t>PC Chillicothe Adj Rate due 2023</t>
  </si>
  <si>
    <t>03/17/1993</t>
  </si>
  <si>
    <t>01/01/2023</t>
  </si>
  <si>
    <t>PC Co. Bluffs Adj Rate due 2025</t>
  </si>
  <si>
    <t>01/01/1995</t>
  </si>
  <si>
    <t>01/01/2025</t>
  </si>
  <si>
    <t>PC IFA series A, Var. rate, due 2038</t>
  </si>
  <si>
    <t>07/01/2038</t>
  </si>
  <si>
    <t>PC IFA series B, Var. rate, due 2023</t>
  </si>
  <si>
    <t>05/01/2023</t>
  </si>
  <si>
    <t>Total Pollution Control Bonds</t>
  </si>
  <si>
    <t>Other Long Term Debt</t>
  </si>
  <si>
    <t>MTN 6.75% series, due 12/31/31</t>
  </si>
  <si>
    <t>MTN 5.75% series, due 11/1/35</t>
  </si>
  <si>
    <t>MTN 5.80% series, due 10/7/36</t>
  </si>
  <si>
    <t>Prairie Wind Interconnect</t>
  </si>
  <si>
    <t>North English due 2041</t>
  </si>
  <si>
    <t>Beaver Creek/Arbor Hill/Orient</t>
  </si>
  <si>
    <t>Wellsburg Wind Farm Interconnect'n Agree</t>
  </si>
  <si>
    <t>Vienna Wind Farm Interconnect'n Agree</t>
  </si>
  <si>
    <t>Total Other Long Term Debt</t>
  </si>
  <si>
    <t>Current Maturity L-T Debt</t>
  </si>
  <si>
    <t>Total Long Term Debt</t>
  </si>
  <si>
    <t>Source:  General Ledger</t>
  </si>
  <si>
    <t>12 Month Average Unamortized Debt Premium</t>
  </si>
  <si>
    <t>Total Unamortized Debt Premium</t>
  </si>
  <si>
    <t>Exhibit BGM 1.1, Schedule 26</t>
  </si>
  <si>
    <t>Page 3 of 18</t>
  </si>
  <si>
    <t>12 Month Average Unamortized Gain on Reacquired Debt</t>
  </si>
  <si>
    <t>Bond Issue</t>
  </si>
  <si>
    <t>jmj</t>
  </si>
  <si>
    <t xml:space="preserve">             (b)</t>
  </si>
  <si>
    <t>7.45% due 2023</t>
  </si>
  <si>
    <t>6.95% due 2025</t>
  </si>
  <si>
    <t>Totals</t>
  </si>
  <si>
    <t>Source:  Line 1:  MidAmerican Exhibit BMG 1.1, Schedule 26, Page 15 of 18.</t>
  </si>
  <si>
    <t xml:space="preserve">                  Line 2:  MidAmerican Exhibit BMG 1.1, Schedule 26, Page 16 of 18.</t>
  </si>
  <si>
    <t xml:space="preserve">                  Line 3:  MidAmerican Exhibit BMG 1.1, Schedule 26, Page 17 of 18.</t>
  </si>
  <si>
    <t xml:space="preserve">                  Line 4:  MidAmerican Exhibit BMG 1.1, Schedule 26, Page 18 of 18.</t>
  </si>
  <si>
    <t>Page 4 of 18</t>
  </si>
  <si>
    <t>12 Month Average Unamortized Debt Discount</t>
  </si>
  <si>
    <t>3.15% series due 2050</t>
  </si>
  <si>
    <t>2.70% series due 2052</t>
  </si>
  <si>
    <t>8/12052</t>
  </si>
  <si>
    <t>10/01/94</t>
  </si>
  <si>
    <t>10/01/24</t>
  </si>
  <si>
    <t>PC IDFA Adj Rate due 2016</t>
  </si>
  <si>
    <t>03/17/93</t>
  </si>
  <si>
    <t>01/01/16</t>
  </si>
  <si>
    <t>PC Louisa Adj Rate due 2016</t>
  </si>
  <si>
    <t>09/01/86</t>
  </si>
  <si>
    <t>09/01/16</t>
  </si>
  <si>
    <t>PC Louisa Adj Rate due 2017</t>
  </si>
  <si>
    <t>04/02/87</t>
  </si>
  <si>
    <t>03/01/17</t>
  </si>
  <si>
    <t>01/01/23</t>
  </si>
  <si>
    <t>01/01/95</t>
  </si>
  <si>
    <t>01/01/25</t>
  </si>
  <si>
    <t>07/01/38</t>
  </si>
  <si>
    <t>05/01/23</t>
  </si>
  <si>
    <t>MTN 6.75% series due 2031</t>
  </si>
  <si>
    <t>Wellsburg Wind Farm Interconnect</t>
  </si>
  <si>
    <t>Vienna Wind Farm Interconnect</t>
  </si>
  <si>
    <t>Total Current Maturities</t>
  </si>
  <si>
    <t>Total Unamortized Debt Discount</t>
  </si>
  <si>
    <t>Page 5 of 18</t>
  </si>
  <si>
    <t>12 Month Average Unamortized Debt Expense</t>
  </si>
  <si>
    <t>09/01/36</t>
  </si>
  <si>
    <t>12/14/17</t>
  </si>
  <si>
    <t>12/01/47</t>
  </si>
  <si>
    <t>MTN 6.75% due 2031</t>
  </si>
  <si>
    <t>Total Unamortized Debt Expense</t>
  </si>
  <si>
    <t>Page 6 of 18</t>
  </si>
  <si>
    <t>12 Month Average Unamortized Loss on Reacquired Debt</t>
  </si>
  <si>
    <t>7.625% due 2023</t>
  </si>
  <si>
    <t>5/1/1993</t>
  </si>
  <si>
    <t>1/1/2023</t>
  </si>
  <si>
    <t>5.80% due 2025</t>
  </si>
  <si>
    <t>1/1/1995</t>
  </si>
  <si>
    <t>1/15/2025</t>
  </si>
  <si>
    <t>Adj</t>
  </si>
  <si>
    <t>8.25% due 2023</t>
  </si>
  <si>
    <t>03/15/93</t>
  </si>
  <si>
    <t>03/15/23</t>
  </si>
  <si>
    <t>10/15/1993</t>
  </si>
  <si>
    <t>10/15/2025</t>
  </si>
  <si>
    <t>3.10% due 2027</t>
  </si>
  <si>
    <t>3.95% due 2047</t>
  </si>
  <si>
    <t>3.65% due 2029</t>
  </si>
  <si>
    <t>4.25% due 2049</t>
  </si>
  <si>
    <t>10/31/24</t>
  </si>
  <si>
    <t>PC Var Rate Bonds due 2023</t>
  </si>
  <si>
    <t>MTN 6.75% Series due 2031</t>
  </si>
  <si>
    <t xml:space="preserve">    Total Other Long Term Debt</t>
  </si>
  <si>
    <t>Current Maturity - L T Debt</t>
  </si>
  <si>
    <t xml:space="preserve">Total Unamortized Loss on </t>
  </si>
  <si>
    <t xml:space="preserve">     Reacquired Debt</t>
  </si>
  <si>
    <t>Source:  Lines 1-15, and 19:  General Ledger</t>
  </si>
  <si>
    <t xml:space="preserve">                 Line 17:  MIdAmerican Exhibit BMG 1.1, Schedule 26, Page 13 of 18.</t>
  </si>
  <si>
    <t>Page 7 of 18</t>
  </si>
  <si>
    <t>Interest on Long Term Debt</t>
  </si>
  <si>
    <t>Balance</t>
  </si>
  <si>
    <t>4.25% series due 2049</t>
  </si>
  <si>
    <t>MTN, 6.75%, due 12/31/2031</t>
  </si>
  <si>
    <t>MTN 5.80% series, due 10/6/36</t>
  </si>
  <si>
    <t>N/A</t>
  </si>
  <si>
    <t xml:space="preserve">  Total Current Maturities</t>
  </si>
  <si>
    <t>Total Long Term Debt Interest</t>
  </si>
  <si>
    <t>Source:  Columns (c) and (d) from MidAmerican Exhibit BMG 1.1, Schedule 2, Page 2 of 18.</t>
  </si>
  <si>
    <t>Annual Amortization of Debt Discount</t>
  </si>
  <si>
    <t>Annual</t>
  </si>
  <si>
    <t>Amort. Debt</t>
  </si>
  <si>
    <t>Issue Type and Coupon Rate</t>
  </si>
  <si>
    <t>Discount</t>
  </si>
  <si>
    <t>4.25% series due 2047</t>
  </si>
  <si>
    <t>Louisa Adj Rate due 2024</t>
  </si>
  <si>
    <t>IDFA Adj Rate due 2016</t>
  </si>
  <si>
    <t>Chillicothe Adj Rate due 2023</t>
  </si>
  <si>
    <t>Co. Bluffs Adj Rate due 2025</t>
  </si>
  <si>
    <t>IFA series A, Var. rate, due 2038</t>
  </si>
  <si>
    <t>IFA series B, Var. rate, due 2023</t>
  </si>
  <si>
    <t>MTN 5.8% Series due 2036</t>
  </si>
  <si>
    <t>PRAIRIE WIND-2037</t>
  </si>
  <si>
    <t>NORTH ENGLISH-2041</t>
  </si>
  <si>
    <t>BEVR CRK/ARBOR HL/ORIE</t>
  </si>
  <si>
    <t>Current Maturities</t>
  </si>
  <si>
    <t>Source:  Income Statement</t>
  </si>
  <si>
    <t>Annual Amortization of Debt Expense</t>
  </si>
  <si>
    <t xml:space="preserve">3.10% series due 2027 </t>
  </si>
  <si>
    <t>PC Var rate due 2036</t>
  </si>
  <si>
    <t>MTN 5.80% Series due 2036</t>
  </si>
  <si>
    <t>MTN 5.75% series, due 2035</t>
  </si>
  <si>
    <t>Annual Amortization of Loss on Reacquired Debt</t>
  </si>
  <si>
    <t>Amort. of Loss</t>
  </si>
  <si>
    <t>on Reacq Debt</t>
  </si>
  <si>
    <t>7.625% due 2005</t>
  </si>
  <si>
    <t>5.80% due 2007</t>
  </si>
  <si>
    <t>8.25% due 2007</t>
  </si>
  <si>
    <t>8.50% due 2017</t>
  </si>
  <si>
    <t>3.65% series 2029</t>
  </si>
  <si>
    <t>4.25% series 2049</t>
  </si>
  <si>
    <t>Total First Motgage Bonds</t>
  </si>
  <si>
    <t xml:space="preserve">  Total Other Long Term Debt</t>
  </si>
  <si>
    <t>Source:  Lines 1-15:  Income Statement</t>
  </si>
  <si>
    <t xml:space="preserve">                Line 17:  MidAmerican Exhibit BMG 1.1, Schedule 26, Page 13 of 18.</t>
  </si>
  <si>
    <t>Annual Amortization of Premium on Bonds</t>
  </si>
  <si>
    <t>Annual Amort.</t>
  </si>
  <si>
    <t xml:space="preserve"> of Premium</t>
  </si>
  <si>
    <t xml:space="preserve"> on Bonds</t>
  </si>
  <si>
    <t>3.50% due 2024</t>
  </si>
  <si>
    <t>Implied Amort.</t>
  </si>
  <si>
    <t>Loss on</t>
  </si>
  <si>
    <t>Amort.</t>
  </si>
  <si>
    <t>Months</t>
  </si>
  <si>
    <t>Reacquired</t>
  </si>
  <si>
    <t>Year</t>
  </si>
  <si>
    <t>per Year</t>
  </si>
  <si>
    <t>Debt</t>
  </si>
  <si>
    <t>7.45% Series due 2023</t>
  </si>
  <si>
    <t>Unamortized Expense</t>
  </si>
  <si>
    <t>Unamortized Discount</t>
  </si>
  <si>
    <t>Reacquisition Premium</t>
  </si>
  <si>
    <t>Reacquisition Discount</t>
  </si>
  <si>
    <t>Loss Taken</t>
  </si>
  <si>
    <t xml:space="preserve">After tax effect on Retained Earnings of Loss </t>
  </si>
  <si>
    <t>Remaining life</t>
  </si>
  <si>
    <t>Implied Monthly Amortization</t>
  </si>
  <si>
    <t>Implied Monthly After Tax Amortization</t>
  </si>
  <si>
    <t>Implied Annual Amortization</t>
  </si>
  <si>
    <t>Implied Amortization</t>
  </si>
  <si>
    <t>Company reacquired $19,560,000, 7.45% in January 1997.</t>
  </si>
  <si>
    <t>Annual Amortization of Gain on Reacquired Debt</t>
  </si>
  <si>
    <t>Amort. of Gain</t>
  </si>
  <si>
    <t xml:space="preserve">                  Line 4:  MIdAmerican Exhibit BMG 1.1, Schedule 26, Page 18 of 18.</t>
  </si>
  <si>
    <t>Months per Year</t>
  </si>
  <si>
    <t>Unamort. Expense</t>
  </si>
  <si>
    <t>of Unamort. Expense</t>
  </si>
  <si>
    <t>Reacquisition</t>
  </si>
  <si>
    <t>and</t>
  </si>
  <si>
    <t>of Reacq Discount</t>
  </si>
  <si>
    <t>&amp; Unamort. Discount</t>
  </si>
  <si>
    <t>Unamort. Discount</t>
  </si>
  <si>
    <t>(f) plus (g)</t>
  </si>
  <si>
    <t>Gain Taken</t>
  </si>
  <si>
    <t>After tax effect on Retained Earnings of Gain</t>
  </si>
  <si>
    <t>Implied Unamortized Balance @ December 31, 2021</t>
  </si>
  <si>
    <t>Implied Unamortized After-Tax Bal. @ December  31, 2021</t>
  </si>
  <si>
    <t>Company reacquired $3,500,000, 7.45% in October 1996.</t>
  </si>
  <si>
    <t>6.95% Series due 2025</t>
  </si>
  <si>
    <t>Company reacquired $28,500,000, 6.95% in October 1996.</t>
  </si>
  <si>
    <t>Gain on</t>
  </si>
  <si>
    <t>Company reacquired $3,000,000, 6.95% in May 1997.</t>
  </si>
  <si>
    <t>Company reacquired 6,000,000, 6.95% in July 1997.</t>
  </si>
  <si>
    <t>Docket No. NG-14-XX</t>
  </si>
  <si>
    <t>12 Month Average Common Equity</t>
  </si>
  <si>
    <t>Common Stock Issued</t>
  </si>
  <si>
    <t>Premium on Capital Stock</t>
  </si>
  <si>
    <t>210-211</t>
  </si>
  <si>
    <t>Miscellaneous Paid-In Capital</t>
  </si>
  <si>
    <t>Capital Stock Expense</t>
  </si>
  <si>
    <t>Retained Earnings</t>
  </si>
  <si>
    <t>Adj. For Unamort. Balances</t>
  </si>
  <si>
    <t>Treasury Shares</t>
  </si>
  <si>
    <t>Common Equity</t>
  </si>
  <si>
    <t>Source:  Lines 1-5, and 7:  General Ledger.</t>
  </si>
  <si>
    <t xml:space="preserve">              Line 6:  MidAmerican Exhibit BMG 1.1, Schedule 27 Page 2 of 2. </t>
  </si>
  <si>
    <t>Exhibit BGM 1.1, Schedule 27</t>
  </si>
  <si>
    <t>Page 1 of 2</t>
  </si>
  <si>
    <t>12 Month Average Unamortized Gains &amp; Losses on Reacquired Securities</t>
  </si>
  <si>
    <t xml:space="preserve">After Tax Gains </t>
  </si>
  <si>
    <t>After Tax Losses</t>
  </si>
  <si>
    <t>Source:     Line 1, from MidAmerican Exhibit BMG 1.1, Schedule 26, Page 15 of 18.</t>
  </si>
  <si>
    <t xml:space="preserve">                  Line 2, from MidAmerican Exhibit BMG 1.1, Schedule 26, Page 16 of 18.</t>
  </si>
  <si>
    <t xml:space="preserve">                  Line 3, from MidAmerican Exhibit BMG 1.1, Schedule 26, Page 17 of 18.</t>
  </si>
  <si>
    <t xml:space="preserve">                  Line 4, from MidAmerican Exhibit BMG 1.1, Schedule 26, Page 18 of 18.</t>
  </si>
  <si>
    <t xml:space="preserve">                  Line 5, from MidAmerican Exhibit BMG 1.1, Schedule 26, Page 13 of 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</si>
</sst>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"/>
    <numFmt numFmtId="166" formatCode="0.000%"/>
    <numFmt numFmtId="167" formatCode="_(&quot;$&quot;* #,##0_);_(&quot;$&quot;* \(#,##0\);_(&quot;$&quot;* &quot;-&quot;??_);_(@_)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0.000_)"/>
    <numFmt numFmtId="171" formatCode="0.00_)"/>
    <numFmt numFmtId="172" formatCode="&quot;$&quot;#,##0.00"/>
    <numFmt numFmtId="173" formatCode="0.0%"/>
    <numFmt numFmtId="174" formatCode="mm/dd/yy"/>
    <numFmt numFmtId="175" formatCode="_(* #,##0.0_);_(* \(#,##0.0\);_(* &quot;-&quot;?_);_(@_)"/>
    <numFmt numFmtId="176" formatCode="0.0000%"/>
    <numFmt numFmtId="177" formatCode="0.00000"/>
  </numFmts>
  <fonts count="5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Helvetica"/>
    </font>
    <font>
      <sz val="8"/>
      <name val="Helvetica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Century Schoolbook"/>
      <family val="1"/>
    </font>
    <font>
      <sz val="8"/>
      <name val="NewCenturySchlb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2"/>
      <color rgb="FFC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name val="Times New Roman"/>
    </font>
    <font>
      <sz val="12"/>
      <name val="Helvetica"/>
      <family val="2"/>
    </font>
    <font>
      <sz val="12"/>
      <name val="Helvetica"/>
    </font>
    <font>
      <sz val="12"/>
      <name val="MS Sans Serif"/>
      <family val="2"/>
    </font>
    <font>
      <sz val="12"/>
      <color indexed="10"/>
      <name val="Times New Roman"/>
    </font>
    <font>
      <sz val="12"/>
      <color theme="1"/>
      <name val="Times New Roman"/>
    </font>
    <font>
      <u/>
      <sz val="12"/>
      <color theme="1"/>
      <name val="Times New Roman"/>
    </font>
    <font>
      <b/>
      <sz val="12"/>
      <name val="Times New Roman"/>
    </font>
    <font>
      <sz val="12"/>
      <color indexed="62"/>
      <name val="Times New Roman"/>
    </font>
    <font>
      <b/>
      <sz val="12"/>
      <color theme="1"/>
      <name val="Times New Roman"/>
    </font>
    <font>
      <u val="singleAccounting"/>
      <sz val="12"/>
      <color theme="1"/>
      <name val="Times New Roman"/>
    </font>
    <font>
      <sz val="12"/>
      <color rgb="FF000000"/>
      <name val="Times New Roman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30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7" fillId="0" borderId="0"/>
    <xf numFmtId="0" fontId="7" fillId="0" borderId="0"/>
    <xf numFmtId="9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0" applyNumberFormat="0" applyAlignment="0" applyProtection="0"/>
    <xf numFmtId="0" fontId="17" fillId="21" borderId="11" applyNumberFormat="0" applyAlignment="0" applyProtection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0" applyNumberFormat="0" applyAlignment="0" applyProtection="0"/>
    <xf numFmtId="0" fontId="25" fillId="0" borderId="15" applyNumberFormat="0" applyFill="0" applyAlignment="0" applyProtection="0"/>
    <xf numFmtId="0" fontId="26" fillId="22" borderId="0" applyNumberFormat="0" applyBorder="0" applyAlignment="0" applyProtection="0"/>
    <xf numFmtId="171" fontId="27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8" fillId="0" borderId="0"/>
    <xf numFmtId="0" fontId="8" fillId="0" borderId="0"/>
    <xf numFmtId="0" fontId="4" fillId="0" borderId="0"/>
    <xf numFmtId="0" fontId="12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23" borderId="16" applyNumberFormat="0" applyFont="0" applyAlignment="0" applyProtection="0"/>
    <xf numFmtId="0" fontId="29" fillId="20" borderId="17" applyNumberFormat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/>
    <xf numFmtId="0" fontId="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/>
    <xf numFmtId="40" fontId="3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23">
    <xf numFmtId="0" fontId="0" fillId="0" borderId="0" xfId="0"/>
    <xf numFmtId="0" fontId="10" fillId="0" borderId="0" xfId="8" applyFont="1"/>
    <xf numFmtId="0" fontId="10" fillId="0" borderId="0" xfId="11" applyFont="1"/>
    <xf numFmtId="0" fontId="10" fillId="0" borderId="0" xfId="11" quotePrefix="1" applyFont="1"/>
    <xf numFmtId="0" fontId="10" fillId="0" borderId="0" xfId="11" applyFont="1" applyAlignment="1">
      <alignment horizontal="center"/>
    </xf>
    <xf numFmtId="0" fontId="10" fillId="0" borderId="1" xfId="11" applyFont="1" applyBorder="1" applyAlignment="1">
      <alignment horizontal="center"/>
    </xf>
    <xf numFmtId="165" fontId="10" fillId="0" borderId="0" xfId="11" applyNumberFormat="1" applyFont="1"/>
    <xf numFmtId="5" fontId="10" fillId="0" borderId="0" xfId="11" applyNumberFormat="1" applyFont="1"/>
    <xf numFmtId="166" fontId="10" fillId="0" borderId="1" xfId="11" applyNumberFormat="1" applyFont="1" applyBorder="1"/>
    <xf numFmtId="167" fontId="10" fillId="0" borderId="0" xfId="11" applyNumberFormat="1" applyFont="1"/>
    <xf numFmtId="0" fontId="10" fillId="0" borderId="0" xfId="10" applyFont="1"/>
    <xf numFmtId="167" fontId="10" fillId="0" borderId="1" xfId="11" applyNumberFormat="1" applyFont="1" applyBorder="1"/>
    <xf numFmtId="42" fontId="10" fillId="0" borderId="2" xfId="11" applyNumberFormat="1" applyFont="1" applyBorder="1"/>
    <xf numFmtId="165" fontId="10" fillId="0" borderId="0" xfId="10" applyNumberFormat="1" applyFont="1"/>
    <xf numFmtId="42" fontId="10" fillId="0" borderId="0" xfId="10" applyNumberFormat="1" applyFont="1"/>
    <xf numFmtId="0" fontId="33" fillId="0" borderId="0" xfId="11" applyFont="1"/>
    <xf numFmtId="44" fontId="10" fillId="0" borderId="0" xfId="11" applyNumberFormat="1" applyFont="1"/>
    <xf numFmtId="0" fontId="10" fillId="0" borderId="0" xfId="0" applyFont="1"/>
    <xf numFmtId="0" fontId="10" fillId="0" borderId="0" xfId="0" quotePrefix="1" applyFont="1"/>
    <xf numFmtId="0" fontId="10" fillId="0" borderId="0" xfId="0" applyFont="1" applyAlignment="1">
      <alignment horizontal="center"/>
    </xf>
    <xf numFmtId="0" fontId="10" fillId="0" borderId="0" xfId="3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66" fontId="10" fillId="0" borderId="0" xfId="12" applyNumberFormat="1" applyFont="1"/>
    <xf numFmtId="165" fontId="10" fillId="0" borderId="0" xfId="0" applyNumberFormat="1" applyFont="1"/>
    <xf numFmtId="168" fontId="10" fillId="0" borderId="0" xfId="1" applyNumberFormat="1" applyFont="1"/>
    <xf numFmtId="166" fontId="10" fillId="0" borderId="1" xfId="0" applyNumberFormat="1" applyFont="1" applyBorder="1"/>
    <xf numFmtId="164" fontId="10" fillId="0" borderId="0" xfId="0" applyNumberFormat="1" applyFont="1"/>
    <xf numFmtId="164" fontId="10" fillId="0" borderId="1" xfId="0" applyNumberFormat="1" applyFont="1" applyBorder="1"/>
    <xf numFmtId="164" fontId="10" fillId="0" borderId="2" xfId="0" applyNumberFormat="1" applyFont="1" applyBorder="1"/>
    <xf numFmtId="3" fontId="10" fillId="0" borderId="0" xfId="0" applyNumberFormat="1" applyFont="1"/>
    <xf numFmtId="0" fontId="33" fillId="0" borderId="0" xfId="0" applyFont="1" applyAlignment="1">
      <alignment horizontal="center"/>
    </xf>
    <xf numFmtId="0" fontId="10" fillId="0" borderId="0" xfId="6" applyFont="1" applyAlignment="1">
      <alignment horizontal="center"/>
    </xf>
    <xf numFmtId="9" fontId="10" fillId="0" borderId="1" xfId="0" applyNumberFormat="1" applyFont="1" applyBorder="1" applyAlignment="1">
      <alignment horizontal="center"/>
    </xf>
    <xf numFmtId="0" fontId="10" fillId="0" borderId="0" xfId="0" quotePrefix="1" applyFont="1" applyAlignment="1">
      <alignment horizontal="center"/>
    </xf>
    <xf numFmtId="5" fontId="10" fillId="0" borderId="0" xfId="0" applyNumberFormat="1" applyFont="1"/>
    <xf numFmtId="5" fontId="10" fillId="0" borderId="1" xfId="0" applyNumberFormat="1" applyFont="1" applyBorder="1"/>
    <xf numFmtId="5" fontId="10" fillId="0" borderId="5" xfId="0" applyNumberFormat="1" applyFont="1" applyBorder="1"/>
    <xf numFmtId="5" fontId="10" fillId="0" borderId="2" xfId="0" applyNumberFormat="1" applyFont="1" applyBorder="1"/>
    <xf numFmtId="0" fontId="33" fillId="0" borderId="0" xfId="0" applyFont="1"/>
    <xf numFmtId="0" fontId="10" fillId="0" borderId="0" xfId="0" applyFont="1" applyAlignment="1">
      <alignment horizontal="right"/>
    </xf>
    <xf numFmtId="41" fontId="10" fillId="0" borderId="0" xfId="8" applyNumberFormat="1" applyFont="1" applyAlignment="1">
      <alignment horizontal="centerContinuous"/>
    </xf>
    <xf numFmtId="41" fontId="10" fillId="0" borderId="0" xfId="8" applyNumberFormat="1" applyFont="1" applyAlignment="1">
      <alignment horizontal="center"/>
    </xf>
    <xf numFmtId="41" fontId="10" fillId="0" borderId="0" xfId="8" applyNumberFormat="1" applyFont="1"/>
    <xf numFmtId="41" fontId="10" fillId="0" borderId="0" xfId="8" quotePrefix="1" applyNumberFormat="1" applyFont="1" applyAlignment="1">
      <alignment horizontal="centerContinuous"/>
    </xf>
    <xf numFmtId="41" fontId="10" fillId="0" borderId="0" xfId="8" quotePrefix="1" applyNumberFormat="1" applyFont="1" applyAlignment="1">
      <alignment horizontal="center"/>
    </xf>
    <xf numFmtId="0" fontId="10" fillId="0" borderId="0" xfId="8" applyFont="1" applyAlignment="1">
      <alignment horizontal="center"/>
    </xf>
    <xf numFmtId="0" fontId="10" fillId="0" borderId="1" xfId="8" applyFont="1" applyBorder="1" applyAlignment="1">
      <alignment horizontal="center"/>
    </xf>
    <xf numFmtId="10" fontId="10" fillId="0" borderId="0" xfId="12" applyNumberFormat="1" applyFont="1"/>
    <xf numFmtId="0" fontId="33" fillId="0" borderId="0" xfId="8" applyFont="1"/>
    <xf numFmtId="0" fontId="10" fillId="0" borderId="0" xfId="4" applyFont="1"/>
    <xf numFmtId="168" fontId="10" fillId="0" borderId="0" xfId="1" applyNumberFormat="1" applyFont="1" applyBorder="1" applyAlignment="1">
      <alignment horizontal="center"/>
    </xf>
    <xf numFmtId="168" fontId="33" fillId="0" borderId="6" xfId="1" applyNumberFormat="1" applyFont="1" applyBorder="1"/>
    <xf numFmtId="0" fontId="10" fillId="0" borderId="0" xfId="7" applyFont="1"/>
    <xf numFmtId="0" fontId="10" fillId="0" borderId="0" xfId="7" applyFont="1" applyAlignment="1">
      <alignment horizontal="center"/>
    </xf>
    <xf numFmtId="0" fontId="10" fillId="0" borderId="1" xfId="7" applyFont="1" applyBorder="1" applyAlignment="1">
      <alignment horizontal="center"/>
    </xf>
    <xf numFmtId="165" fontId="10" fillId="0" borderId="0" xfId="7" applyNumberFormat="1" applyFont="1"/>
    <xf numFmtId="0" fontId="10" fillId="0" borderId="0" xfId="7" applyFont="1" applyAlignment="1">
      <alignment horizontal="left" indent="1"/>
    </xf>
    <xf numFmtId="5" fontId="10" fillId="0" borderId="0" xfId="7" applyNumberFormat="1" applyFont="1"/>
    <xf numFmtId="5" fontId="10" fillId="0" borderId="2" xfId="7" applyNumberFormat="1" applyFont="1" applyBorder="1"/>
    <xf numFmtId="0" fontId="10" fillId="0" borderId="0" xfId="9" applyFont="1"/>
    <xf numFmtId="0" fontId="33" fillId="0" borderId="0" xfId="7" applyFont="1"/>
    <xf numFmtId="5" fontId="33" fillId="0" borderId="0" xfId="7" applyNumberFormat="1" applyFont="1"/>
    <xf numFmtId="5" fontId="33" fillId="0" borderId="4" xfId="7" applyNumberFormat="1" applyFont="1" applyBorder="1"/>
    <xf numFmtId="0" fontId="34" fillId="0" borderId="0" xfId="7" applyFont="1"/>
    <xf numFmtId="168" fontId="33" fillId="0" borderId="0" xfId="1" applyNumberFormat="1" applyFont="1"/>
    <xf numFmtId="168" fontId="33" fillId="0" borderId="0" xfId="2" applyNumberFormat="1" applyFont="1"/>
    <xf numFmtId="0" fontId="33" fillId="0" borderId="0" xfId="9" applyFont="1"/>
    <xf numFmtId="9" fontId="10" fillId="0" borderId="0" xfId="0" applyNumberFormat="1" applyFont="1" applyAlignment="1">
      <alignment horizontal="left"/>
    </xf>
    <xf numFmtId="5" fontId="33" fillId="0" borderId="4" xfId="0" applyNumberFormat="1" applyFont="1" applyBorder="1"/>
    <xf numFmtId="173" fontId="10" fillId="0" borderId="1" xfId="12" applyNumberFormat="1" applyFont="1" applyBorder="1"/>
    <xf numFmtId="0" fontId="5" fillId="0" borderId="0" xfId="78"/>
    <xf numFmtId="0" fontId="36" fillId="0" borderId="0" xfId="0" applyFont="1"/>
    <xf numFmtId="168" fontId="10" fillId="0" borderId="1" xfId="1" applyNumberFormat="1" applyFont="1" applyBorder="1"/>
    <xf numFmtId="0" fontId="36" fillId="0" borderId="0" xfId="78" quotePrefix="1" applyFont="1"/>
    <xf numFmtId="0" fontId="5" fillId="0" borderId="1" xfId="78" applyBorder="1"/>
    <xf numFmtId="165" fontId="5" fillId="0" borderId="0" xfId="78" applyNumberFormat="1"/>
    <xf numFmtId="168" fontId="10" fillId="0" borderId="0" xfId="1" applyNumberFormat="1" applyFont="1" applyFill="1"/>
    <xf numFmtId="168" fontId="10" fillId="0" borderId="0" xfId="1" applyNumberFormat="1" applyFont="1" applyFill="1" applyBorder="1"/>
    <xf numFmtId="37" fontId="10" fillId="0" borderId="0" xfId="8" applyNumberFormat="1" applyFont="1"/>
    <xf numFmtId="168" fontId="10" fillId="0" borderId="1" xfId="1" applyNumberFormat="1" applyFont="1" applyFill="1" applyBorder="1"/>
    <xf numFmtId="168" fontId="10" fillId="0" borderId="2" xfId="1" applyNumberFormat="1" applyFont="1" applyFill="1" applyBorder="1"/>
    <xf numFmtId="5" fontId="10" fillId="0" borderId="2" xfId="12" applyNumberFormat="1" applyFont="1" applyBorder="1"/>
    <xf numFmtId="177" fontId="10" fillId="0" borderId="0" xfId="0" applyNumberFormat="1" applyFont="1"/>
    <xf numFmtId="167" fontId="35" fillId="0" borderId="0" xfId="2" applyNumberFormat="1" applyFont="1" applyFill="1"/>
    <xf numFmtId="0" fontId="38" fillId="0" borderId="0" xfId="7" applyFont="1"/>
    <xf numFmtId="10" fontId="10" fillId="0" borderId="0" xfId="12" applyNumberFormat="1" applyFont="1" applyBorder="1"/>
    <xf numFmtId="172" fontId="10" fillId="0" borderId="0" xfId="8" applyNumberFormat="1" applyFont="1"/>
    <xf numFmtId="0" fontId="10" fillId="0" borderId="0" xfId="8" applyFont="1" applyAlignment="1">
      <alignment horizontal="right"/>
    </xf>
    <xf numFmtId="0" fontId="10" fillId="0" borderId="0" xfId="8" applyFont="1" applyAlignment="1">
      <alignment horizontal="right" indent="1"/>
    </xf>
    <xf numFmtId="0" fontId="10" fillId="0" borderId="0" xfId="0" applyFont="1" applyAlignment="1">
      <alignment horizontal="left" indent="1"/>
    </xf>
    <xf numFmtId="172" fontId="10" fillId="0" borderId="0" xfId="0" applyNumberFormat="1" applyFont="1"/>
    <xf numFmtId="0" fontId="10" fillId="0" borderId="0" xfId="0" applyFont="1" applyAlignment="1">
      <alignment horizontal="left" indent="2"/>
    </xf>
    <xf numFmtId="5" fontId="10" fillId="0" borderId="19" xfId="0" applyNumberFormat="1" applyFont="1" applyBorder="1"/>
    <xf numFmtId="37" fontId="10" fillId="0" borderId="0" xfId="0" applyNumberFormat="1" applyFont="1"/>
    <xf numFmtId="37" fontId="10" fillId="0" borderId="1" xfId="0" applyNumberFormat="1" applyFont="1" applyBorder="1"/>
    <xf numFmtId="164" fontId="10" fillId="0" borderId="0" xfId="1" applyNumberFormat="1" applyFont="1" applyFill="1" applyBorder="1"/>
    <xf numFmtId="164" fontId="10" fillId="0" borderId="0" xfId="8" applyNumberFormat="1" applyFont="1"/>
    <xf numFmtId="164" fontId="33" fillId="0" borderId="0" xfId="1" applyNumberFormat="1" applyFont="1" applyFill="1" applyBorder="1"/>
    <xf numFmtId="164" fontId="33" fillId="0" borderId="4" xfId="1" applyNumberFormat="1" applyFont="1" applyFill="1" applyBorder="1"/>
    <xf numFmtId="43" fontId="10" fillId="0" borderId="0" xfId="0" applyNumberFormat="1" applyFont="1"/>
    <xf numFmtId="0" fontId="39" fillId="0" borderId="0" xfId="7" applyFont="1" applyAlignment="1">
      <alignment horizontal="left" indent="1"/>
    </xf>
    <xf numFmtId="0" fontId="39" fillId="0" borderId="0" xfId="7" applyFont="1"/>
    <xf numFmtId="5" fontId="39" fillId="0" borderId="0" xfId="7" applyNumberFormat="1" applyFont="1"/>
    <xf numFmtId="44" fontId="33" fillId="0" borderId="4" xfId="10" applyNumberFormat="1" applyFont="1" applyBorder="1"/>
    <xf numFmtId="0" fontId="5" fillId="0" borderId="1" xfId="78" applyBorder="1" applyAlignment="1">
      <alignment horizontal="left"/>
    </xf>
    <xf numFmtId="1" fontId="5" fillId="0" borderId="0" xfId="78" applyNumberFormat="1" applyAlignment="1">
      <alignment horizontal="center"/>
    </xf>
    <xf numFmtId="0" fontId="10" fillId="0" borderId="1" xfId="0" applyFont="1" applyBorder="1" applyAlignment="1">
      <alignment horizontal="left"/>
    </xf>
    <xf numFmtId="1" fontId="10" fillId="0" borderId="0" xfId="0" applyNumberFormat="1" applyFont="1" applyAlignment="1">
      <alignment horizontal="center"/>
    </xf>
    <xf numFmtId="1" fontId="10" fillId="0" borderId="0" xfId="11" applyNumberFormat="1" applyFont="1" applyAlignment="1">
      <alignment horizontal="center"/>
    </xf>
    <xf numFmtId="0" fontId="39" fillId="0" borderId="0" xfId="3" applyFont="1"/>
    <xf numFmtId="168" fontId="39" fillId="0" borderId="0" xfId="1" applyNumberFormat="1" applyFont="1"/>
    <xf numFmtId="166" fontId="39" fillId="0" borderId="0" xfId="12" applyNumberFormat="1" applyFont="1"/>
    <xf numFmtId="37" fontId="39" fillId="0" borderId="0" xfId="3" applyNumberFormat="1" applyFont="1"/>
    <xf numFmtId="168" fontId="39" fillId="0" borderId="0" xfId="3" applyNumberFormat="1" applyFont="1"/>
    <xf numFmtId="166" fontId="39" fillId="0" borderId="0" xfId="3" applyNumberFormat="1" applyFont="1"/>
    <xf numFmtId="0" fontId="39" fillId="0" borderId="0" xfId="11" applyFont="1"/>
    <xf numFmtId="0" fontId="39" fillId="0" borderId="0" xfId="0" applyFont="1"/>
    <xf numFmtId="0" fontId="39" fillId="0" borderId="1" xfId="0" applyFont="1" applyBorder="1" applyAlignment="1">
      <alignment horizontal="left"/>
    </xf>
    <xf numFmtId="0" fontId="41" fillId="0" borderId="0" xfId="11" applyFont="1"/>
    <xf numFmtId="0" fontId="39" fillId="0" borderId="0" xfId="11" applyFont="1" applyAlignment="1">
      <alignment horizontal="center"/>
    </xf>
    <xf numFmtId="0" fontId="41" fillId="0" borderId="0" xfId="11" applyFont="1" applyAlignment="1">
      <alignment horizontal="center"/>
    </xf>
    <xf numFmtId="1" fontId="39" fillId="0" borderId="0" xfId="11" applyNumberFormat="1" applyFont="1" applyAlignment="1">
      <alignment horizontal="center"/>
    </xf>
    <xf numFmtId="167" fontId="39" fillId="0" borderId="0" xfId="2" applyNumberFormat="1" applyFont="1"/>
    <xf numFmtId="10" fontId="39" fillId="0" borderId="0" xfId="12" applyNumberFormat="1" applyFont="1"/>
    <xf numFmtId="10" fontId="39" fillId="0" borderId="0" xfId="12" applyNumberFormat="1" applyFont="1" applyBorder="1"/>
    <xf numFmtId="167" fontId="39" fillId="0" borderId="0" xfId="11" applyNumberFormat="1" applyFont="1"/>
    <xf numFmtId="167" fontId="39" fillId="0" borderId="0" xfId="2" applyNumberFormat="1" applyFont="1" applyBorder="1"/>
    <xf numFmtId="167" fontId="41" fillId="0" borderId="6" xfId="11" applyNumberFormat="1" applyFont="1" applyBorder="1"/>
    <xf numFmtId="167" fontId="41" fillId="0" borderId="7" xfId="11" applyNumberFormat="1" applyFont="1" applyBorder="1"/>
    <xf numFmtId="167" fontId="41" fillId="0" borderId="8" xfId="2" applyNumberFormat="1" applyFont="1" applyBorder="1"/>
    <xf numFmtId="167" fontId="41" fillId="0" borderId="9" xfId="2" applyNumberFormat="1" applyFont="1" applyBorder="1"/>
    <xf numFmtId="15" fontId="39" fillId="0" borderId="0" xfId="0" quotePrefix="1" applyNumberFormat="1" applyFont="1"/>
    <xf numFmtId="0" fontId="39" fillId="0" borderId="0" xfId="0" applyFont="1" applyAlignment="1">
      <alignment horizontal="center"/>
    </xf>
    <xf numFmtId="0" fontId="39" fillId="0" borderId="1" xfId="0" applyFont="1" applyBorder="1"/>
    <xf numFmtId="0" fontId="39" fillId="0" borderId="1" xfId="0" applyFont="1" applyBorder="1" applyAlignment="1">
      <alignment horizontal="center"/>
    </xf>
    <xf numFmtId="168" fontId="39" fillId="0" borderId="0" xfId="1" applyNumberFormat="1" applyFont="1" applyBorder="1" applyAlignment="1"/>
    <xf numFmtId="164" fontId="39" fillId="0" borderId="0" xfId="1" applyNumberFormat="1" applyFont="1" applyBorder="1" applyAlignment="1"/>
    <xf numFmtId="164" fontId="39" fillId="0" borderId="0" xfId="5" applyNumberFormat="1" applyFont="1"/>
    <xf numFmtId="164" fontId="39" fillId="0" borderId="0" xfId="0" applyNumberFormat="1" applyFont="1"/>
    <xf numFmtId="3" fontId="39" fillId="0" borderId="0" xfId="5" applyNumberFormat="1" applyFont="1"/>
    <xf numFmtId="3" fontId="39" fillId="0" borderId="0" xfId="0" applyNumberFormat="1" applyFont="1"/>
    <xf numFmtId="3" fontId="39" fillId="0" borderId="0" xfId="1" applyNumberFormat="1" applyFont="1" applyBorder="1" applyAlignment="1"/>
    <xf numFmtId="164" fontId="39" fillId="0" borderId="2" xfId="0" applyNumberFormat="1" applyFont="1" applyBorder="1"/>
    <xf numFmtId="10" fontId="39" fillId="0" borderId="3" xfId="12" applyNumberFormat="1" applyFont="1" applyBorder="1"/>
    <xf numFmtId="0" fontId="39" fillId="0" borderId="0" xfId="5" applyFont="1" applyAlignment="1">
      <alignment horizontal="center"/>
    </xf>
    <xf numFmtId="0" fontId="39" fillId="0" borderId="0" xfId="5" applyFont="1"/>
    <xf numFmtId="0" fontId="42" fillId="0" borderId="0" xfId="5" applyFont="1"/>
    <xf numFmtId="167" fontId="39" fillId="0" borderId="0" xfId="2" applyNumberFormat="1" applyFont="1" applyBorder="1" applyAlignment="1"/>
    <xf numFmtId="168" fontId="39" fillId="0" borderId="0" xfId="54" applyNumberFormat="1" applyFont="1"/>
    <xf numFmtId="10" fontId="39" fillId="0" borderId="0" xfId="97" applyNumberFormat="1" applyFont="1"/>
    <xf numFmtId="10" fontId="39" fillId="0" borderId="3" xfId="97" applyNumberFormat="1" applyFont="1" applyBorder="1"/>
    <xf numFmtId="169" fontId="10" fillId="0" borderId="0" xfId="2" applyNumberFormat="1" applyFont="1"/>
    <xf numFmtId="0" fontId="10" fillId="0" borderId="0" xfId="7" applyFont="1" applyAlignment="1">
      <alignment horizontal="left"/>
    </xf>
    <xf numFmtId="168" fontId="39" fillId="0" borderId="0" xfId="1" applyNumberFormat="1" applyFont="1" applyAlignment="1">
      <alignment horizontal="center"/>
    </xf>
    <xf numFmtId="0" fontId="39" fillId="0" borderId="1" xfId="11" applyFont="1" applyBorder="1"/>
    <xf numFmtId="0" fontId="39" fillId="0" borderId="1" xfId="11" applyFont="1" applyBorder="1" applyAlignment="1">
      <alignment horizontal="center"/>
    </xf>
    <xf numFmtId="168" fontId="39" fillId="0" borderId="1" xfId="1" applyNumberFormat="1" applyFont="1" applyBorder="1" applyAlignment="1">
      <alignment horizontal="center"/>
    </xf>
    <xf numFmtId="168" fontId="39" fillId="0" borderId="0" xfId="1" applyNumberFormat="1" applyFont="1" applyBorder="1" applyAlignment="1">
      <alignment horizontal="center"/>
    </xf>
    <xf numFmtId="165" fontId="39" fillId="0" borderId="0" xfId="11" applyNumberFormat="1" applyFont="1"/>
    <xf numFmtId="167" fontId="39" fillId="0" borderId="0" xfId="13" applyNumberFormat="1" applyFont="1"/>
    <xf numFmtId="10" fontId="39" fillId="0" borderId="0" xfId="1" applyNumberFormat="1" applyFont="1"/>
    <xf numFmtId="168" fontId="39" fillId="0" borderId="0" xfId="11" applyNumberFormat="1" applyFont="1"/>
    <xf numFmtId="167" fontId="39" fillId="0" borderId="0" xfId="13" applyNumberFormat="1" applyFont="1" applyFill="1"/>
    <xf numFmtId="167" fontId="39" fillId="0" borderId="1" xfId="13" applyNumberFormat="1" applyFont="1" applyFill="1" applyBorder="1"/>
    <xf numFmtId="168" fontId="39" fillId="0" borderId="0" xfId="1" applyNumberFormat="1" applyFont="1" applyFill="1"/>
    <xf numFmtId="167" fontId="39" fillId="0" borderId="1" xfId="13" applyNumberFormat="1" applyFont="1" applyBorder="1"/>
    <xf numFmtId="0" fontId="10" fillId="0" borderId="1" xfId="7" applyFont="1" applyBorder="1" applyAlignment="1">
      <alignment horizontal="left"/>
    </xf>
    <xf numFmtId="1" fontId="10" fillId="0" borderId="0" xfId="7" applyNumberFormat="1" applyFont="1" applyAlignment="1">
      <alignment horizontal="center"/>
    </xf>
    <xf numFmtId="0" fontId="39" fillId="0" borderId="0" xfId="109" applyFont="1"/>
    <xf numFmtId="0" fontId="39" fillId="0" borderId="0" xfId="109" applyFont="1" applyAlignment="1">
      <alignment horizontal="right"/>
    </xf>
    <xf numFmtId="0" fontId="39" fillId="0" borderId="0" xfId="109" applyFont="1" applyAlignment="1">
      <alignment horizontal="left"/>
    </xf>
    <xf numFmtId="0" fontId="39" fillId="0" borderId="1" xfId="109" applyFont="1" applyBorder="1" applyAlignment="1">
      <alignment horizontal="left"/>
    </xf>
    <xf numFmtId="0" fontId="39" fillId="0" borderId="1" xfId="109" applyFont="1" applyBorder="1" applyAlignment="1">
      <alignment horizontal="center"/>
    </xf>
    <xf numFmtId="0" fontId="39" fillId="0" borderId="0" xfId="109" applyFont="1" applyAlignment="1">
      <alignment horizontal="center"/>
    </xf>
    <xf numFmtId="1" fontId="39" fillId="0" borderId="0" xfId="109" applyNumberFormat="1" applyFont="1" applyAlignment="1">
      <alignment horizontal="center"/>
    </xf>
    <xf numFmtId="37" fontId="39" fillId="0" borderId="0" xfId="109" applyNumberFormat="1" applyFont="1"/>
    <xf numFmtId="3" fontId="39" fillId="0" borderId="0" xfId="109" applyNumberFormat="1" applyFont="1"/>
    <xf numFmtId="37" fontId="39" fillId="0" borderId="5" xfId="109" applyNumberFormat="1" applyFont="1" applyBorder="1"/>
    <xf numFmtId="5" fontId="39" fillId="0" borderId="0" xfId="109" applyNumberFormat="1" applyFont="1"/>
    <xf numFmtId="164" fontId="39" fillId="0" borderId="0" xfId="109" applyNumberFormat="1" applyFont="1"/>
    <xf numFmtId="172" fontId="39" fillId="0" borderId="0" xfId="109" applyNumberFormat="1" applyFont="1"/>
    <xf numFmtId="5" fontId="39" fillId="0" borderId="5" xfId="109" applyNumberFormat="1" applyFont="1" applyBorder="1"/>
    <xf numFmtId="43" fontId="39" fillId="0" borderId="0" xfId="54" applyFont="1"/>
    <xf numFmtId="0" fontId="41" fillId="0" borderId="0" xfId="109" applyFont="1"/>
    <xf numFmtId="164" fontId="41" fillId="0" borderId="6" xfId="109" applyNumberFormat="1" applyFont="1" applyBorder="1"/>
    <xf numFmtId="164" fontId="41" fillId="0" borderId="0" xfId="109" applyNumberFormat="1" applyFont="1"/>
    <xf numFmtId="0" fontId="39" fillId="0" borderId="0" xfId="110" applyFont="1"/>
    <xf numFmtId="0" fontId="42" fillId="0" borderId="0" xfId="109" applyFont="1" applyAlignment="1">
      <alignment horizontal="center"/>
    </xf>
    <xf numFmtId="0" fontId="39" fillId="0" borderId="0" xfId="109" quotePrefix="1" applyFont="1" applyAlignment="1">
      <alignment horizontal="center"/>
    </xf>
    <xf numFmtId="0" fontId="39" fillId="0" borderId="0" xfId="109" quotePrefix="1" applyFont="1"/>
    <xf numFmtId="168" fontId="39" fillId="0" borderId="0" xfId="54" applyNumberFormat="1" applyFont="1" applyFill="1"/>
    <xf numFmtId="168" fontId="39" fillId="0" borderId="5" xfId="109" applyNumberFormat="1" applyFont="1" applyBorder="1"/>
    <xf numFmtId="168" fontId="39" fillId="0" borderId="4" xfId="109" applyNumberFormat="1" applyFont="1" applyBorder="1"/>
    <xf numFmtId="0" fontId="39" fillId="0" borderId="0" xfId="109" quotePrefix="1" applyFont="1" applyAlignment="1">
      <alignment horizontal="right"/>
    </xf>
    <xf numFmtId="0" fontId="39" fillId="0" borderId="0" xfId="110" applyFont="1" applyAlignment="1">
      <alignment horizontal="center"/>
    </xf>
    <xf numFmtId="0" fontId="1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1" fontId="39" fillId="0" borderId="0" xfId="0" applyNumberFormat="1" applyFont="1" applyAlignment="1">
      <alignment horizontal="center"/>
    </xf>
    <xf numFmtId="5" fontId="39" fillId="0" borderId="0" xfId="0" applyNumberFormat="1" applyFont="1"/>
    <xf numFmtId="0" fontId="41" fillId="0" borderId="0" xfId="0" applyFont="1"/>
    <xf numFmtId="5" fontId="41" fillId="0" borderId="4" xfId="0" applyNumberFormat="1" applyFont="1" applyBorder="1"/>
    <xf numFmtId="0" fontId="39" fillId="0" borderId="0" xfId="0" applyFont="1" applyAlignment="1">
      <alignment horizontal="right"/>
    </xf>
    <xf numFmtId="0" fontId="40" fillId="0" borderId="0" xfId="0" applyFont="1"/>
    <xf numFmtId="0" fontId="39" fillId="0" borderId="0" xfId="0" applyFont="1" applyAlignment="1">
      <alignment horizontal="left" indent="1"/>
    </xf>
    <xf numFmtId="5" fontId="39" fillId="0" borderId="2" xfId="0" applyNumberFormat="1" applyFont="1" applyBorder="1"/>
    <xf numFmtId="0" fontId="41" fillId="0" borderId="0" xfId="11" applyFont="1" applyAlignment="1">
      <alignment horizontal="left" indent="1"/>
    </xf>
    <xf numFmtId="5" fontId="41" fillId="0" borderId="6" xfId="1" applyNumberFormat="1" applyFont="1" applyBorder="1"/>
    <xf numFmtId="0" fontId="39" fillId="0" borderId="0" xfId="11" applyFont="1" applyAlignment="1">
      <alignment horizontal="left" indent="1"/>
    </xf>
    <xf numFmtId="0" fontId="41" fillId="0" borderId="0" xfId="0" applyFont="1" applyAlignment="1">
      <alignment horizontal="left" indent="1"/>
    </xf>
    <xf numFmtId="5" fontId="41" fillId="0" borderId="0" xfId="0" applyNumberFormat="1" applyFont="1"/>
    <xf numFmtId="168" fontId="41" fillId="0" borderId="0" xfId="1" applyNumberFormat="1" applyFont="1" applyBorder="1" applyAlignment="1">
      <alignment horizontal="center"/>
    </xf>
    <xf numFmtId="0" fontId="39" fillId="0" borderId="0" xfId="11" applyFont="1" applyAlignment="1">
      <alignment horizontal="left"/>
    </xf>
    <xf numFmtId="5" fontId="39" fillId="0" borderId="0" xfId="1" applyNumberFormat="1" applyFont="1"/>
    <xf numFmtId="5" fontId="39" fillId="0" borderId="0" xfId="1" applyNumberFormat="1" applyFont="1" applyBorder="1"/>
    <xf numFmtId="5" fontId="39" fillId="0" borderId="1" xfId="1" applyNumberFormat="1" applyFont="1" applyBorder="1"/>
    <xf numFmtId="5" fontId="39" fillId="0" borderId="2" xfId="1" applyNumberFormat="1" applyFont="1" applyBorder="1"/>
    <xf numFmtId="0" fontId="39" fillId="0" borderId="0" xfId="14" applyFont="1"/>
    <xf numFmtId="0" fontId="39" fillId="0" borderId="0" xfId="78" applyFont="1"/>
    <xf numFmtId="0" fontId="39" fillId="0" borderId="1" xfId="14" applyFont="1" applyBorder="1"/>
    <xf numFmtId="0" fontId="39" fillId="0" borderId="1" xfId="14" applyFont="1" applyBorder="1" applyAlignment="1">
      <alignment horizontal="centerContinuous"/>
    </xf>
    <xf numFmtId="0" fontId="39" fillId="0" borderId="1" xfId="14" applyFont="1" applyBorder="1" applyAlignment="1">
      <alignment horizontal="center"/>
    </xf>
    <xf numFmtId="0" fontId="41" fillId="0" borderId="0" xfId="14" applyFont="1"/>
    <xf numFmtId="0" fontId="39" fillId="0" borderId="0" xfId="14" applyFont="1" applyAlignment="1">
      <alignment horizontal="centerContinuous"/>
    </xf>
    <xf numFmtId="0" fontId="39" fillId="0" borderId="0" xfId="14" applyFont="1" applyAlignment="1">
      <alignment horizontal="center"/>
    </xf>
    <xf numFmtId="0" fontId="41" fillId="0" borderId="0" xfId="14" applyFont="1" applyAlignment="1">
      <alignment horizontal="center"/>
    </xf>
    <xf numFmtId="165" fontId="39" fillId="0" borderId="0" xfId="14" applyNumberFormat="1" applyFont="1"/>
    <xf numFmtId="168" fontId="39" fillId="0" borderId="0" xfId="123" applyNumberFormat="1" applyFont="1"/>
    <xf numFmtId="10" fontId="39" fillId="0" borderId="0" xfId="124" applyNumberFormat="1" applyFont="1"/>
    <xf numFmtId="167" fontId="39" fillId="0" borderId="0" xfId="125" applyNumberFormat="1" applyFont="1"/>
    <xf numFmtId="167" fontId="39" fillId="0" borderId="1" xfId="125" applyNumberFormat="1" applyFont="1" applyBorder="1"/>
    <xf numFmtId="0" fontId="39" fillId="0" borderId="0" xfId="14" applyFont="1" applyAlignment="1">
      <alignment horizontal="left"/>
    </xf>
    <xf numFmtId="167" fontId="39" fillId="0" borderId="0" xfId="125" applyNumberFormat="1" applyFont="1" applyBorder="1"/>
    <xf numFmtId="0" fontId="41" fillId="0" borderId="0" xfId="7" applyFont="1"/>
    <xf numFmtId="0" fontId="41" fillId="0" borderId="0" xfId="7" applyFont="1" applyAlignment="1">
      <alignment horizontal="left" indent="1"/>
    </xf>
    <xf numFmtId="168" fontId="41" fillId="0" borderId="4" xfId="7" applyNumberFormat="1" applyFont="1" applyBorder="1"/>
    <xf numFmtId="167" fontId="41" fillId="0" borderId="0" xfId="125" applyNumberFormat="1" applyFont="1"/>
    <xf numFmtId="0" fontId="39" fillId="0" borderId="0" xfId="7" applyFont="1" applyAlignment="1">
      <alignment horizontal="left" indent="2"/>
    </xf>
    <xf numFmtId="0" fontId="39" fillId="0" borderId="0" xfId="7" applyFont="1" applyAlignment="1">
      <alignment horizontal="left" indent="4"/>
    </xf>
    <xf numFmtId="168" fontId="39" fillId="0" borderId="19" xfId="78" applyNumberFormat="1" applyFont="1" applyBorder="1"/>
    <xf numFmtId="168" fontId="41" fillId="0" borderId="4" xfId="54" applyNumberFormat="1" applyFont="1" applyBorder="1"/>
    <xf numFmtId="10" fontId="39" fillId="0" borderId="0" xfId="16" applyNumberFormat="1" applyFont="1"/>
    <xf numFmtId="167" fontId="39" fillId="0" borderId="0" xfId="17" applyNumberFormat="1" applyFont="1"/>
    <xf numFmtId="167" fontId="41" fillId="0" borderId="0" xfId="17" applyNumberFormat="1" applyFont="1"/>
    <xf numFmtId="0" fontId="41" fillId="0" borderId="0" xfId="14" applyFont="1" applyAlignment="1">
      <alignment horizontal="left" indent="2"/>
    </xf>
    <xf numFmtId="167" fontId="41" fillId="0" borderId="4" xfId="17" applyNumberFormat="1" applyFont="1" applyBorder="1"/>
    <xf numFmtId="167" fontId="39" fillId="0" borderId="0" xfId="14" applyNumberFormat="1" applyFont="1"/>
    <xf numFmtId="0" fontId="39" fillId="0" borderId="1" xfId="14" applyFont="1" applyBorder="1" applyAlignment="1">
      <alignment horizontal="left"/>
    </xf>
    <xf numFmtId="1" fontId="39" fillId="0" borderId="0" xfId="14" applyNumberFormat="1" applyFont="1" applyAlignment="1">
      <alignment horizontal="center"/>
    </xf>
    <xf numFmtId="173" fontId="10" fillId="0" borderId="3" xfId="12" applyNumberFormat="1" applyFont="1" applyBorder="1"/>
    <xf numFmtId="164" fontId="10" fillId="0" borderId="20" xfId="0" applyNumberFormat="1" applyFont="1" applyBorder="1"/>
    <xf numFmtId="0" fontId="43" fillId="0" borderId="0" xfId="126" applyFont="1"/>
    <xf numFmtId="42" fontId="43" fillId="0" borderId="0" xfId="126" applyNumberFormat="1" applyFont="1" applyProtection="1">
      <protection locked="0"/>
    </xf>
    <xf numFmtId="5" fontId="43" fillId="0" borderId="0" xfId="126" applyNumberFormat="1" applyFont="1" applyProtection="1">
      <protection locked="0"/>
    </xf>
    <xf numFmtId="42" fontId="43" fillId="0" borderId="0" xfId="126" applyNumberFormat="1" applyFont="1"/>
    <xf numFmtId="41" fontId="43" fillId="0" borderId="0" xfId="126" applyNumberFormat="1" applyFont="1" applyProtection="1">
      <protection locked="0"/>
    </xf>
    <xf numFmtId="41" fontId="43" fillId="0" borderId="0" xfId="126" applyNumberFormat="1" applyFont="1"/>
    <xf numFmtId="41" fontId="43" fillId="0" borderId="1" xfId="126" applyNumberFormat="1" applyFont="1" applyBorder="1" applyProtection="1">
      <protection locked="0"/>
    </xf>
    <xf numFmtId="41" fontId="43" fillId="0" borderId="1" xfId="126" applyNumberFormat="1" applyFont="1" applyBorder="1"/>
    <xf numFmtId="42" fontId="43" fillId="0" borderId="0" xfId="127" applyNumberFormat="1" applyFont="1" applyProtection="1">
      <protection locked="0"/>
    </xf>
    <xf numFmtId="5" fontId="43" fillId="0" borderId="0" xfId="127" applyNumberFormat="1" applyFont="1" applyProtection="1">
      <protection locked="0"/>
    </xf>
    <xf numFmtId="41" fontId="43" fillId="0" borderId="0" xfId="127" applyNumberFormat="1" applyFont="1" applyProtection="1">
      <protection locked="0"/>
    </xf>
    <xf numFmtId="5" fontId="43" fillId="0" borderId="0" xfId="126" applyNumberFormat="1" applyFont="1"/>
    <xf numFmtId="41" fontId="43" fillId="0" borderId="1" xfId="127" applyNumberFormat="1" applyFont="1" applyBorder="1" applyProtection="1">
      <protection locked="0"/>
    </xf>
    <xf numFmtId="42" fontId="43" fillId="0" borderId="1" xfId="126" applyNumberFormat="1" applyFont="1" applyBorder="1"/>
    <xf numFmtId="42" fontId="43" fillId="0" borderId="5" xfId="126" applyNumberFormat="1" applyFont="1" applyBorder="1"/>
    <xf numFmtId="42" fontId="43" fillId="0" borderId="3" xfId="126" applyNumberFormat="1" applyFont="1" applyBorder="1"/>
    <xf numFmtId="0" fontId="44" fillId="0" borderId="0" xfId="126" applyFont="1"/>
    <xf numFmtId="0" fontId="45" fillId="0" borderId="0" xfId="126" applyFont="1"/>
    <xf numFmtId="0" fontId="45" fillId="0" borderId="0" xfId="126" applyFont="1" applyAlignment="1">
      <alignment horizontal="centerContinuous"/>
    </xf>
    <xf numFmtId="0" fontId="46" fillId="0" borderId="0" xfId="126" applyFont="1"/>
    <xf numFmtId="0" fontId="44" fillId="0" borderId="0" xfId="126" applyFont="1" applyAlignment="1">
      <alignment horizontal="center"/>
    </xf>
    <xf numFmtId="0" fontId="45" fillId="0" borderId="0" xfId="126" applyFont="1" applyAlignment="1">
      <alignment horizontal="center"/>
    </xf>
    <xf numFmtId="3" fontId="45" fillId="0" borderId="0" xfId="126" applyNumberFormat="1" applyFont="1" applyAlignment="1">
      <alignment horizontal="center"/>
    </xf>
    <xf numFmtId="0" fontId="45" fillId="0" borderId="0" xfId="126" applyFont="1" applyAlignment="1" applyProtection="1">
      <alignment horizontal="center"/>
      <protection locked="0"/>
    </xf>
    <xf numFmtId="14" fontId="45" fillId="0" borderId="0" xfId="126" applyNumberFormat="1" applyFont="1" applyAlignment="1" applyProtection="1">
      <alignment horizontal="center"/>
      <protection locked="0"/>
    </xf>
    <xf numFmtId="0" fontId="45" fillId="0" borderId="0" xfId="10" applyFont="1"/>
    <xf numFmtId="41" fontId="46" fillId="0" borderId="0" xfId="126" applyNumberFormat="1" applyFont="1"/>
    <xf numFmtId="37" fontId="46" fillId="0" borderId="0" xfId="126" applyNumberFormat="1" applyFont="1"/>
    <xf numFmtId="0" fontId="43" fillId="0" borderId="0" xfId="0" applyFont="1"/>
    <xf numFmtId="0" fontId="43" fillId="0" borderId="0" xfId="126" applyFont="1" applyAlignment="1">
      <alignment horizontal="centerContinuous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126" applyFont="1" applyAlignment="1">
      <alignment horizontal="center"/>
    </xf>
    <xf numFmtId="3" fontId="43" fillId="0" borderId="0" xfId="126" quotePrefix="1" applyNumberFormat="1" applyFont="1" applyAlignment="1">
      <alignment horizontal="center"/>
    </xf>
    <xf numFmtId="0" fontId="43" fillId="0" borderId="0" xfId="126" quotePrefix="1" applyFont="1" applyAlignment="1">
      <alignment horizontal="center"/>
    </xf>
    <xf numFmtId="49" fontId="43" fillId="0" borderId="0" xfId="126" applyNumberFormat="1" applyFont="1" applyAlignment="1">
      <alignment horizontal="center"/>
    </xf>
    <xf numFmtId="3" fontId="43" fillId="0" borderId="0" xfId="126" applyNumberFormat="1" applyFont="1" applyAlignment="1">
      <alignment horizontal="center"/>
    </xf>
    <xf numFmtId="0" fontId="43" fillId="0" borderId="0" xfId="126" applyFont="1" applyAlignment="1" applyProtection="1">
      <alignment horizontal="center"/>
      <protection locked="0"/>
    </xf>
    <xf numFmtId="0" fontId="43" fillId="0" borderId="1" xfId="126" applyFont="1" applyBorder="1" applyAlignment="1">
      <alignment horizontal="center"/>
    </xf>
    <xf numFmtId="3" fontId="43" fillId="0" borderId="1" xfId="126" applyNumberFormat="1" applyFont="1" applyBorder="1" applyAlignment="1">
      <alignment horizontal="center"/>
    </xf>
    <xf numFmtId="0" fontId="43" fillId="0" borderId="1" xfId="126" applyFont="1" applyBorder="1" applyAlignment="1" applyProtection="1">
      <alignment horizontal="center"/>
      <protection locked="0"/>
    </xf>
    <xf numFmtId="9" fontId="43" fillId="0" borderId="1" xfId="126" applyNumberFormat="1" applyFont="1" applyBorder="1" applyAlignment="1" applyProtection="1">
      <alignment horizontal="center"/>
      <protection locked="0"/>
    </xf>
    <xf numFmtId="9" fontId="43" fillId="0" borderId="1" xfId="0" applyNumberFormat="1" applyFont="1" applyBorder="1" applyAlignment="1">
      <alignment horizontal="center"/>
    </xf>
    <xf numFmtId="0" fontId="43" fillId="0" borderId="0" xfId="10" applyFont="1"/>
    <xf numFmtId="168" fontId="43" fillId="0" borderId="0" xfId="1" applyNumberFormat="1" applyFont="1" applyFill="1" applyAlignment="1">
      <alignment horizontal="right"/>
    </xf>
    <xf numFmtId="0" fontId="47" fillId="0" borderId="0" xfId="126" applyFont="1" applyAlignment="1">
      <alignment horizontal="center"/>
    </xf>
    <xf numFmtId="0" fontId="39" fillId="0" borderId="21" xfId="11" applyFont="1" applyBorder="1" applyAlignment="1">
      <alignment horizontal="centerContinuous"/>
    </xf>
    <xf numFmtId="0" fontId="39" fillId="0" borderId="21" xfId="11" applyFont="1" applyBorder="1"/>
    <xf numFmtId="0" fontId="39" fillId="0" borderId="21" xfId="11" applyFont="1" applyBorder="1" applyAlignment="1">
      <alignment horizontal="center"/>
    </xf>
    <xf numFmtId="0" fontId="43" fillId="0" borderId="0" xfId="128" applyFont="1"/>
    <xf numFmtId="0" fontId="43" fillId="0" borderId="0" xfId="11" applyFont="1"/>
    <xf numFmtId="168" fontId="43" fillId="0" borderId="0" xfId="129" applyNumberFormat="1" applyFont="1" applyAlignment="1">
      <alignment horizontal="center"/>
    </xf>
    <xf numFmtId="0" fontId="48" fillId="0" borderId="0" xfId="128" applyFont="1"/>
    <xf numFmtId="168" fontId="43" fillId="0" borderId="0" xfId="129" applyNumberFormat="1" applyFont="1"/>
    <xf numFmtId="168" fontId="43" fillId="0" borderId="0" xfId="129" applyNumberFormat="1" applyFont="1" applyBorder="1" applyAlignment="1">
      <alignment horizontal="center"/>
    </xf>
    <xf numFmtId="0" fontId="49" fillId="0" borderId="0" xfId="128" applyFont="1"/>
    <xf numFmtId="0" fontId="48" fillId="0" borderId="0" xfId="128" applyFont="1" applyAlignment="1">
      <alignment horizontal="center"/>
    </xf>
    <xf numFmtId="1" fontId="43" fillId="0" borderId="0" xfId="11" applyNumberFormat="1" applyFont="1" applyAlignment="1">
      <alignment horizontal="center"/>
    </xf>
    <xf numFmtId="168" fontId="48" fillId="0" borderId="0" xfId="128" applyNumberFormat="1" applyFont="1"/>
    <xf numFmtId="167" fontId="43" fillId="0" borderId="0" xfId="2" applyNumberFormat="1" applyFont="1"/>
    <xf numFmtId="1" fontId="48" fillId="0" borderId="0" xfId="128" applyNumberFormat="1" applyFont="1" applyAlignment="1">
      <alignment horizontal="center"/>
    </xf>
    <xf numFmtId="0" fontId="48" fillId="0" borderId="21" xfId="128" applyFont="1" applyBorder="1" applyAlignment="1">
      <alignment horizontal="center"/>
    </xf>
    <xf numFmtId="168" fontId="48" fillId="0" borderId="21" xfId="129" applyNumberFormat="1" applyFont="1" applyBorder="1" applyAlignment="1">
      <alignment horizontal="center"/>
    </xf>
    <xf numFmtId="0" fontId="10" fillId="0" borderId="21" xfId="11" applyFont="1" applyBorder="1" applyAlignment="1">
      <alignment horizontal="center"/>
    </xf>
    <xf numFmtId="168" fontId="10" fillId="0" borderId="21" xfId="1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43" fillId="0" borderId="0" xfId="7" applyFont="1"/>
    <xf numFmtId="0" fontId="43" fillId="0" borderId="0" xfId="110" applyFont="1"/>
    <xf numFmtId="0" fontId="50" fillId="0" borderId="0" xfId="110" applyFont="1"/>
    <xf numFmtId="0" fontId="43" fillId="0" borderId="1" xfId="14" applyFont="1" applyBorder="1"/>
    <xf numFmtId="0" fontId="43" fillId="0" borderId="0" xfId="14" applyFont="1"/>
    <xf numFmtId="0" fontId="43" fillId="0" borderId="1" xfId="14" applyFont="1" applyBorder="1" applyAlignment="1">
      <alignment horizontal="center"/>
    </xf>
    <xf numFmtId="168" fontId="43" fillId="0" borderId="1" xfId="1" applyNumberFormat="1" applyFont="1" applyBorder="1" applyAlignment="1">
      <alignment horizontal="center"/>
    </xf>
    <xf numFmtId="0" fontId="50" fillId="0" borderId="0" xfId="14" applyFont="1"/>
    <xf numFmtId="0" fontId="43" fillId="0" borderId="0" xfId="14" applyFont="1" applyAlignment="1">
      <alignment horizontal="center"/>
    </xf>
    <xf numFmtId="168" fontId="43" fillId="0" borderId="0" xfId="1" applyNumberFormat="1" applyFont="1" applyBorder="1" applyAlignment="1">
      <alignment horizontal="center"/>
    </xf>
    <xf numFmtId="0" fontId="50" fillId="0" borderId="0" xfId="110" applyFont="1" applyAlignment="1">
      <alignment horizontal="center"/>
    </xf>
    <xf numFmtId="1" fontId="43" fillId="0" borderId="0" xfId="110" applyNumberFormat="1" applyFont="1" applyAlignment="1">
      <alignment horizontal="center"/>
    </xf>
    <xf numFmtId="42" fontId="48" fillId="0" borderId="0" xfId="1" applyNumberFormat="1" applyFont="1" applyFill="1"/>
    <xf numFmtId="0" fontId="43" fillId="0" borderId="0" xfId="81" applyFont="1"/>
    <xf numFmtId="168" fontId="48" fillId="0" borderId="1" xfId="1" applyNumberFormat="1" applyFont="1" applyBorder="1"/>
    <xf numFmtId="42" fontId="48" fillId="0" borderId="0" xfId="1" applyNumberFormat="1" applyFont="1"/>
    <xf numFmtId="42" fontId="51" fillId="0" borderId="0" xfId="1" applyNumberFormat="1" applyFont="1"/>
    <xf numFmtId="42" fontId="43" fillId="0" borderId="0" xfId="78" applyNumberFormat="1" applyFont="1"/>
    <xf numFmtId="167" fontId="50" fillId="0" borderId="4" xfId="2" applyNumberFormat="1" applyFont="1" applyBorder="1"/>
    <xf numFmtId="168" fontId="39" fillId="0" borderId="21" xfId="1" applyNumberFormat="1" applyFont="1" applyBorder="1" applyAlignment="1">
      <alignment horizontal="center"/>
    </xf>
    <xf numFmtId="0" fontId="39" fillId="0" borderId="21" xfId="11" applyFont="1" applyBorder="1" applyAlignment="1">
      <alignment horizontal="left"/>
    </xf>
    <xf numFmtId="0" fontId="48" fillId="0" borderId="0" xfId="0" applyFont="1" applyAlignment="1">
      <alignment horizontal="centerContinuous"/>
    </xf>
    <xf numFmtId="0" fontId="48" fillId="0" borderId="0" xfId="0" applyFont="1"/>
    <xf numFmtId="0" fontId="48" fillId="0" borderId="0" xfId="0" applyFont="1" applyAlignment="1">
      <alignment horizontal="right"/>
    </xf>
    <xf numFmtId="0" fontId="52" fillId="0" borderId="0" xfId="0" applyFont="1"/>
    <xf numFmtId="0" fontId="48" fillId="0" borderId="0" xfId="0" applyFont="1" applyAlignment="1">
      <alignment horizontal="center"/>
    </xf>
    <xf numFmtId="0" fontId="48" fillId="0" borderId="1" xfId="0" applyFont="1" applyBorder="1"/>
    <xf numFmtId="0" fontId="48" fillId="0" borderId="1" xfId="0" applyFont="1" applyBorder="1" applyAlignment="1">
      <alignment horizontal="center"/>
    </xf>
    <xf numFmtId="164" fontId="48" fillId="0" borderId="0" xfId="0" applyNumberFormat="1" applyFont="1"/>
    <xf numFmtId="166" fontId="48" fillId="0" borderId="0" xfId="0" applyNumberFormat="1" applyFont="1" applyAlignment="1">
      <alignment horizontal="center"/>
    </xf>
    <xf numFmtId="14" fontId="48" fillId="0" borderId="0" xfId="0" applyNumberFormat="1" applyFont="1" applyAlignment="1">
      <alignment horizontal="left"/>
    </xf>
    <xf numFmtId="0" fontId="48" fillId="0" borderId="0" xfId="0" quotePrefix="1" applyFont="1"/>
    <xf numFmtId="15" fontId="48" fillId="0" borderId="0" xfId="0" applyNumberFormat="1" applyFont="1"/>
    <xf numFmtId="15" fontId="48" fillId="0" borderId="0" xfId="0" quotePrefix="1" applyNumberFormat="1" applyFont="1"/>
    <xf numFmtId="41" fontId="48" fillId="0" borderId="0" xfId="0" applyNumberFormat="1" applyFont="1"/>
    <xf numFmtId="41" fontId="49" fillId="0" borderId="0" xfId="0" applyNumberFormat="1" applyFont="1"/>
    <xf numFmtId="43" fontId="48" fillId="0" borderId="0" xfId="0" applyNumberFormat="1" applyFont="1"/>
    <xf numFmtId="166" fontId="48" fillId="0" borderId="0" xfId="0" applyNumberFormat="1" applyFont="1"/>
    <xf numFmtId="0" fontId="48" fillId="0" borderId="0" xfId="0" applyFont="1" applyAlignment="1">
      <alignment horizontal="left"/>
    </xf>
    <xf numFmtId="41" fontId="48" fillId="0" borderId="21" xfId="0" quotePrefix="1" applyNumberFormat="1" applyFont="1" applyBorder="1"/>
    <xf numFmtId="41" fontId="48" fillId="0" borderId="21" xfId="0" applyNumberFormat="1" applyFont="1" applyBorder="1"/>
    <xf numFmtId="166" fontId="48" fillId="0" borderId="21" xfId="0" applyNumberFormat="1" applyFont="1" applyBorder="1" applyAlignment="1">
      <alignment horizontal="center"/>
    </xf>
    <xf numFmtId="164" fontId="48" fillId="0" borderId="21" xfId="0" applyNumberFormat="1" applyFont="1" applyBorder="1"/>
    <xf numFmtId="0" fontId="48" fillId="0" borderId="1" xfId="0" applyFont="1" applyBorder="1" applyAlignment="1">
      <alignment horizontal="left"/>
    </xf>
    <xf numFmtId="17" fontId="48" fillId="0" borderId="1" xfId="0" quotePrefix="1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14" fontId="48" fillId="0" borderId="0" xfId="0" applyNumberFormat="1" applyFont="1" applyAlignment="1">
      <alignment horizontal="center"/>
    </xf>
    <xf numFmtId="10" fontId="48" fillId="0" borderId="0" xfId="0" applyNumberFormat="1" applyFont="1" applyAlignment="1">
      <alignment horizontal="center"/>
    </xf>
    <xf numFmtId="41" fontId="53" fillId="0" borderId="0" xfId="0" applyNumberFormat="1" applyFont="1"/>
    <xf numFmtId="0" fontId="48" fillId="0" borderId="0" xfId="0" quotePrefix="1" applyFont="1" applyAlignment="1">
      <alignment horizontal="center"/>
    </xf>
    <xf numFmtId="3" fontId="48" fillId="0" borderId="0" xfId="0" applyNumberFormat="1" applyFont="1"/>
    <xf numFmtId="14" fontId="48" fillId="0" borderId="0" xfId="0" quotePrefix="1" applyNumberFormat="1" applyFont="1" applyAlignment="1">
      <alignment horizontal="center"/>
    </xf>
    <xf numFmtId="175" fontId="48" fillId="0" borderId="0" xfId="0" applyNumberFormat="1" applyFont="1"/>
    <xf numFmtId="174" fontId="48" fillId="0" borderId="0" xfId="0" quotePrefix="1" applyNumberFormat="1" applyFont="1" applyAlignment="1">
      <alignment horizontal="center"/>
    </xf>
    <xf numFmtId="168" fontId="48" fillId="0" borderId="0" xfId="1" applyNumberFormat="1" applyFont="1"/>
    <xf numFmtId="0" fontId="52" fillId="0" borderId="0" xfId="0" applyFont="1" applyAlignment="1">
      <alignment horizontal="center"/>
    </xf>
    <xf numFmtId="0" fontId="48" fillId="0" borderId="1" xfId="0" applyFont="1" applyBorder="1" applyAlignment="1">
      <alignment horizontal="centerContinuous"/>
    </xf>
    <xf numFmtId="37" fontId="48" fillId="0" borderId="0" xfId="0" applyNumberFormat="1" applyFont="1"/>
    <xf numFmtId="41" fontId="48" fillId="0" borderId="0" xfId="0" applyNumberFormat="1" applyFont="1" applyAlignment="1">
      <alignment horizontal="center"/>
    </xf>
    <xf numFmtId="37" fontId="48" fillId="0" borderId="21" xfId="0" applyNumberFormat="1" applyFont="1" applyBorder="1"/>
    <xf numFmtId="174" fontId="48" fillId="0" borderId="0" xfId="0" applyNumberFormat="1" applyFont="1" applyAlignment="1">
      <alignment horizontal="center"/>
    </xf>
    <xf numFmtId="14" fontId="48" fillId="0" borderId="0" xfId="0" applyNumberFormat="1" applyFont="1"/>
    <xf numFmtId="5" fontId="48" fillId="0" borderId="0" xfId="0" applyNumberFormat="1" applyFont="1"/>
    <xf numFmtId="38" fontId="48" fillId="0" borderId="0" xfId="0" applyNumberFormat="1" applyFont="1"/>
    <xf numFmtId="176" fontId="48" fillId="0" borderId="0" xfId="0" applyNumberFormat="1" applyFont="1"/>
    <xf numFmtId="166" fontId="48" fillId="0" borderId="0" xfId="0" applyNumberFormat="1" applyFont="1" applyAlignment="1">
      <alignment horizontal="right"/>
    </xf>
    <xf numFmtId="176" fontId="48" fillId="0" borderId="0" xfId="0" applyNumberFormat="1" applyFont="1" applyAlignment="1">
      <alignment horizontal="right"/>
    </xf>
    <xf numFmtId="49" fontId="48" fillId="0" borderId="0" xfId="0" applyNumberFormat="1" applyFont="1"/>
    <xf numFmtId="41" fontId="48" fillId="0" borderId="0" xfId="0" applyNumberFormat="1" applyFont="1" applyAlignment="1">
      <alignment horizontal="right"/>
    </xf>
    <xf numFmtId="41" fontId="48" fillId="0" borderId="21" xfId="0" applyNumberFormat="1" applyFont="1" applyBorder="1" applyAlignment="1">
      <alignment horizontal="right"/>
    </xf>
    <xf numFmtId="15" fontId="48" fillId="0" borderId="0" xfId="0" quotePrefix="1" applyNumberFormat="1" applyFont="1" applyAlignment="1">
      <alignment horizontal="left"/>
    </xf>
    <xf numFmtId="41" fontId="53" fillId="0" borderId="0" xfId="0" applyNumberFormat="1" applyFont="1" applyAlignment="1">
      <alignment horizontal="right"/>
    </xf>
    <xf numFmtId="0" fontId="52" fillId="0" borderId="0" xfId="0" quotePrefix="1" applyFont="1"/>
    <xf numFmtId="7" fontId="48" fillId="0" borderId="0" xfId="0" applyNumberFormat="1" applyFont="1"/>
    <xf numFmtId="0" fontId="49" fillId="0" borderId="0" xfId="0" applyFont="1"/>
    <xf numFmtId="49" fontId="48" fillId="0" borderId="1" xfId="0" applyNumberFormat="1" applyFont="1" applyBorder="1" applyAlignment="1">
      <alignment horizontal="center"/>
    </xf>
    <xf numFmtId="49" fontId="48" fillId="0" borderId="0" xfId="0" quotePrefix="1" applyNumberFormat="1" applyFont="1" applyAlignment="1">
      <alignment horizontal="center"/>
    </xf>
    <xf numFmtId="0" fontId="48" fillId="0" borderId="0" xfId="0" quotePrefix="1" applyFont="1" applyAlignment="1">
      <alignment horizontal="right"/>
    </xf>
    <xf numFmtId="42" fontId="48" fillId="0" borderId="0" xfId="0" applyNumberFormat="1" applyFont="1"/>
    <xf numFmtId="41" fontId="48" fillId="0" borderId="1" xfId="0" applyNumberFormat="1" applyFont="1" applyBorder="1"/>
    <xf numFmtId="0" fontId="48" fillId="0" borderId="21" xfId="0" applyFont="1" applyBorder="1"/>
    <xf numFmtId="0" fontId="48" fillId="0" borderId="21" xfId="0" applyFont="1" applyBorder="1" applyAlignment="1">
      <alignment horizontal="center"/>
    </xf>
    <xf numFmtId="42" fontId="48" fillId="0" borderId="0" xfId="0" applyNumberFormat="1" applyFont="1" applyAlignment="1">
      <alignment horizontal="right"/>
    </xf>
    <xf numFmtId="167" fontId="48" fillId="0" borderId="0" xfId="0" applyNumberFormat="1" applyFont="1" applyAlignment="1">
      <alignment horizontal="right"/>
    </xf>
    <xf numFmtId="41" fontId="48" fillId="0" borderId="0" xfId="0" applyNumberFormat="1" applyFont="1" applyAlignment="1">
      <alignment horizontal="right" wrapText="1"/>
    </xf>
    <xf numFmtId="42" fontId="48" fillId="0" borderId="0" xfId="0" applyNumberFormat="1" applyFont="1" applyAlignment="1">
      <alignment horizontal="right" wrapText="1"/>
    </xf>
    <xf numFmtId="42" fontId="43" fillId="0" borderId="2" xfId="2" applyNumberFormat="1" applyFont="1" applyBorder="1" applyAlignment="1">
      <alignment horizontal="right"/>
    </xf>
    <xf numFmtId="167" fontId="10" fillId="0" borderId="4" xfId="7" applyNumberFormat="1" applyFont="1" applyBorder="1"/>
    <xf numFmtId="168" fontId="43" fillId="0" borderId="1" xfId="129" applyNumberFormat="1" applyFont="1" applyBorder="1" applyAlignment="1">
      <alignment horizontal="center"/>
    </xf>
    <xf numFmtId="0" fontId="10" fillId="0" borderId="21" xfId="11" applyFont="1" applyBorder="1" applyAlignment="1">
      <alignment horizontal="center"/>
    </xf>
    <xf numFmtId="0" fontId="10" fillId="0" borderId="21" xfId="11" applyFont="1" applyBorder="1" applyAlignment="1"/>
    <xf numFmtId="0" fontId="10" fillId="0" borderId="0" xfId="11" applyFont="1" applyAlignment="1">
      <alignment horizontal="center"/>
    </xf>
    <xf numFmtId="0" fontId="10" fillId="0" borderId="0" xfId="11" applyFont="1" applyAlignment="1"/>
    <xf numFmtId="0" fontId="39" fillId="0" borderId="1" xfId="11" applyFont="1" applyBorder="1" applyAlignment="1">
      <alignment horizontal="center"/>
    </xf>
    <xf numFmtId="0" fontId="39" fillId="0" borderId="1" xfId="11" applyFont="1" applyBorder="1" applyAlignment="1"/>
    <xf numFmtId="0" fontId="39" fillId="0" borderId="0" xfId="11" applyFont="1" applyAlignment="1">
      <alignment horizontal="center"/>
    </xf>
    <xf numFmtId="0" fontId="39" fillId="0" borderId="0" xfId="11" applyFont="1" applyAlignment="1"/>
    <xf numFmtId="0" fontId="39" fillId="0" borderId="0" xfId="109" applyFont="1" applyAlignment="1">
      <alignment horizontal="center"/>
    </xf>
    <xf numFmtId="0" fontId="43" fillId="0" borderId="1" xfId="14" applyFont="1" applyBorder="1" applyAlignment="1">
      <alignment horizontal="center"/>
    </xf>
    <xf numFmtId="0" fontId="43" fillId="0" borderId="1" xfId="14" applyFont="1" applyBorder="1" applyAlignment="1"/>
    <xf numFmtId="0" fontId="43" fillId="0" borderId="0" xfId="14" applyFont="1" applyAlignment="1">
      <alignment horizontal="center"/>
    </xf>
    <xf numFmtId="0" fontId="43" fillId="0" borderId="0" xfId="14" applyFont="1" applyAlignment="1"/>
    <xf numFmtId="0" fontId="39" fillId="0" borderId="21" xfId="11" applyFont="1" applyBorder="1" applyAlignment="1">
      <alignment horizontal="center"/>
    </xf>
    <xf numFmtId="0" fontId="39" fillId="0" borderId="21" xfId="11" applyFont="1" applyBorder="1" applyAlignment="1"/>
    <xf numFmtId="0" fontId="48" fillId="0" borderId="0" xfId="0" applyFont="1" applyAlignment="1">
      <alignment horizontal="center"/>
    </xf>
    <xf numFmtId="0" fontId="54" fillId="0" borderId="0" xfId="0" applyFont="1" applyAlignment="1">
      <alignment horizontal="center"/>
    </xf>
  </cellXfs>
  <cellStyles count="130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heck Cell 2" xfId="44" xr:uid="{00000000-0005-0000-0000-00001A000000}"/>
    <cellStyle name="Comma" xfId="1" builtinId="3"/>
    <cellStyle name="Comma  - Style1" xfId="45" xr:uid="{00000000-0005-0000-0000-00001C000000}"/>
    <cellStyle name="Comma  - Style2" xfId="46" xr:uid="{00000000-0005-0000-0000-00001D000000}"/>
    <cellStyle name="Comma  - Style3" xfId="47" xr:uid="{00000000-0005-0000-0000-00001E000000}"/>
    <cellStyle name="Comma  - Style4" xfId="48" xr:uid="{00000000-0005-0000-0000-00001F000000}"/>
    <cellStyle name="Comma  - Style5" xfId="49" xr:uid="{00000000-0005-0000-0000-000020000000}"/>
    <cellStyle name="Comma  - Style6" xfId="50" xr:uid="{00000000-0005-0000-0000-000021000000}"/>
    <cellStyle name="Comma  - Style7" xfId="51" xr:uid="{00000000-0005-0000-0000-000022000000}"/>
    <cellStyle name="Comma  - Style8" xfId="52" xr:uid="{00000000-0005-0000-0000-000023000000}"/>
    <cellStyle name="Comma [0] 2" xfId="53" xr:uid="{00000000-0005-0000-0000-000025000000}"/>
    <cellStyle name="Comma 10" xfId="129" xr:uid="{00000000-0005-0000-0000-000026000000}"/>
    <cellStyle name="Comma 2" xfId="54" xr:uid="{00000000-0005-0000-0000-000027000000}"/>
    <cellStyle name="Comma 2 2" xfId="55" xr:uid="{00000000-0005-0000-0000-000028000000}"/>
    <cellStyle name="Comma 2 3" xfId="56" xr:uid="{00000000-0005-0000-0000-000029000000}"/>
    <cellStyle name="Comma 3" xfId="57" xr:uid="{00000000-0005-0000-0000-00002A000000}"/>
    <cellStyle name="Comma 4" xfId="58" xr:uid="{00000000-0005-0000-0000-00002B000000}"/>
    <cellStyle name="Comma 4 2" xfId="111" xr:uid="{00000000-0005-0000-0000-00002C000000}"/>
    <cellStyle name="Comma 4 3" xfId="112" xr:uid="{00000000-0005-0000-0000-00002D000000}"/>
    <cellStyle name="Comma 5" xfId="59" xr:uid="{00000000-0005-0000-0000-00002E000000}"/>
    <cellStyle name="Comma 6" xfId="60" xr:uid="{00000000-0005-0000-0000-00002F000000}"/>
    <cellStyle name="Comma 7" xfId="61" xr:uid="{00000000-0005-0000-0000-000030000000}"/>
    <cellStyle name="Comma 8" xfId="15" xr:uid="{00000000-0005-0000-0000-000031000000}"/>
    <cellStyle name="Comma 8 2" xfId="123" xr:uid="{00000000-0005-0000-0000-000032000000}"/>
    <cellStyle name="Comma 9" xfId="113" xr:uid="{00000000-0005-0000-0000-000033000000}"/>
    <cellStyle name="Comma_IAGASINC2 2" xfId="127" xr:uid="{00000000-0005-0000-0000-000034000000}"/>
    <cellStyle name="Currency" xfId="2" builtinId="4"/>
    <cellStyle name="Currency 2" xfId="62" xr:uid="{00000000-0005-0000-0000-000036000000}"/>
    <cellStyle name="Currency 3" xfId="63" xr:uid="{00000000-0005-0000-0000-000037000000}"/>
    <cellStyle name="Currency 3 2" xfId="64" xr:uid="{00000000-0005-0000-0000-000038000000}"/>
    <cellStyle name="Currency 4" xfId="65" xr:uid="{00000000-0005-0000-0000-000039000000}"/>
    <cellStyle name="Currency 5" xfId="13" xr:uid="{00000000-0005-0000-0000-00003A000000}"/>
    <cellStyle name="Currency 6" xfId="17" xr:uid="{00000000-0005-0000-0000-00003B000000}"/>
    <cellStyle name="Currency 6 2" xfId="125" xr:uid="{00000000-0005-0000-0000-00003C000000}"/>
    <cellStyle name="Currency 7" xfId="66" xr:uid="{00000000-0005-0000-0000-00003D000000}"/>
    <cellStyle name="Currency 7 2" xfId="114" xr:uid="{00000000-0005-0000-0000-00003E000000}"/>
    <cellStyle name="Currency 8" xfId="115" xr:uid="{00000000-0005-0000-0000-00003F000000}"/>
    <cellStyle name="Explanatory Text 2" xfId="67" xr:uid="{00000000-0005-0000-0000-000040000000}"/>
    <cellStyle name="Good 2" xfId="68" xr:uid="{00000000-0005-0000-0000-000041000000}"/>
    <cellStyle name="Heading 1 2" xfId="69" xr:uid="{00000000-0005-0000-0000-000042000000}"/>
    <cellStyle name="Heading 2 2" xfId="70" xr:uid="{00000000-0005-0000-0000-000043000000}"/>
    <cellStyle name="Heading 3 2" xfId="71" xr:uid="{00000000-0005-0000-0000-000044000000}"/>
    <cellStyle name="Heading 4 2" xfId="72" xr:uid="{00000000-0005-0000-0000-000045000000}"/>
    <cellStyle name="Input 2" xfId="73" xr:uid="{00000000-0005-0000-0000-000046000000}"/>
    <cellStyle name="Linked Cell 2" xfId="74" xr:uid="{00000000-0005-0000-0000-000047000000}"/>
    <cellStyle name="Neutral 2" xfId="75" xr:uid="{00000000-0005-0000-0000-000048000000}"/>
    <cellStyle name="Normal" xfId="0" builtinId="0"/>
    <cellStyle name="Normal - Style1" xfId="76" xr:uid="{00000000-0005-0000-0000-00004A000000}"/>
    <cellStyle name="Normal 10" xfId="77" xr:uid="{00000000-0005-0000-0000-00004B000000}"/>
    <cellStyle name="Normal 11" xfId="78" xr:uid="{00000000-0005-0000-0000-00004C000000}"/>
    <cellStyle name="Normal 12" xfId="79" xr:uid="{00000000-0005-0000-0000-00004D000000}"/>
    <cellStyle name="Normal 13" xfId="80" xr:uid="{00000000-0005-0000-0000-00004E000000}"/>
    <cellStyle name="Normal 13 2" xfId="116" xr:uid="{00000000-0005-0000-0000-00004F000000}"/>
    <cellStyle name="Normal 14" xfId="117" xr:uid="{00000000-0005-0000-0000-000050000000}"/>
    <cellStyle name="Normal 15" xfId="128" xr:uid="{00000000-0005-0000-0000-000051000000}"/>
    <cellStyle name="Normal 2" xfId="81" xr:uid="{00000000-0005-0000-0000-000052000000}"/>
    <cellStyle name="Normal 2 2" xfId="82" xr:uid="{00000000-0005-0000-0000-000053000000}"/>
    <cellStyle name="Normal 2 2 2" xfId="83" xr:uid="{00000000-0005-0000-0000-000054000000}"/>
    <cellStyle name="Normal 2 3" xfId="84" xr:uid="{00000000-0005-0000-0000-000055000000}"/>
    <cellStyle name="Normal 2 4" xfId="85" xr:uid="{00000000-0005-0000-0000-000056000000}"/>
    <cellStyle name="Normal 3" xfId="86" xr:uid="{00000000-0005-0000-0000-000057000000}"/>
    <cellStyle name="Normal 4" xfId="87" xr:uid="{00000000-0005-0000-0000-000058000000}"/>
    <cellStyle name="Normal 5" xfId="88" xr:uid="{00000000-0005-0000-0000-000059000000}"/>
    <cellStyle name="Normal 6" xfId="89" xr:uid="{00000000-0005-0000-0000-00005A000000}"/>
    <cellStyle name="Normal 7" xfId="90" xr:uid="{00000000-0005-0000-0000-00005B000000}"/>
    <cellStyle name="Normal 7 2" xfId="91" xr:uid="{00000000-0005-0000-0000-00005C000000}"/>
    <cellStyle name="Normal 8" xfId="92" xr:uid="{00000000-0005-0000-0000-00005D000000}"/>
    <cellStyle name="Normal 8 2" xfId="118" xr:uid="{00000000-0005-0000-0000-00005E000000}"/>
    <cellStyle name="Normal 8 3" xfId="119" xr:uid="{00000000-0005-0000-0000-00005F000000}"/>
    <cellStyle name="Normal 9" xfId="93" xr:uid="{00000000-0005-0000-0000-000060000000}"/>
    <cellStyle name="Normal 9 2" xfId="94" xr:uid="{00000000-0005-0000-0000-000061000000}"/>
    <cellStyle name="Normal_EOP Iowa Gas Growth for December 31, 2001" xfId="109" xr:uid="{00000000-0005-0000-0000-000062000000}"/>
    <cellStyle name="Normal_IAGASINC2 2" xfId="126" xr:uid="{00000000-0005-0000-0000-000063000000}"/>
    <cellStyle name="Normal_IGINCSTMNT2000" xfId="3" xr:uid="{00000000-0005-0000-0000-000064000000}"/>
    <cellStyle name="Normal_IncomeProForma2000" xfId="4" xr:uid="{00000000-0005-0000-0000-000065000000}"/>
    <cellStyle name="Normal_Revenue Req SD03" xfId="5" xr:uid="{00000000-0005-0000-0000-000066000000}"/>
    <cellStyle name="Normal_RRTTEXHILL" xfId="6" xr:uid="{00000000-0005-0000-0000-000067000000}"/>
    <cellStyle name="Normal_SalesGrowth2001_SD" xfId="7" xr:uid="{00000000-0005-0000-0000-000068000000}"/>
    <cellStyle name="Normal_SCH C-3" xfId="8" xr:uid="{00000000-0005-0000-0000-000069000000}"/>
    <cellStyle name="Normal_Sd01" xfId="9" xr:uid="{00000000-0005-0000-0000-00006A000000}"/>
    <cellStyle name="Normal_Tunning-Workpapers" xfId="10" xr:uid="{00000000-0005-0000-0000-00006C000000}"/>
    <cellStyle name="Normal_Tunning-Workpapers 2" xfId="110" xr:uid="{00000000-0005-0000-0000-00006D000000}"/>
    <cellStyle name="Normal_Workpapers" xfId="11" xr:uid="{00000000-0005-0000-0000-00006E000000}"/>
    <cellStyle name="Normal_Workpapers 2" xfId="14" xr:uid="{00000000-0005-0000-0000-00006F000000}"/>
    <cellStyle name="Note 2" xfId="95" xr:uid="{00000000-0005-0000-0000-000070000000}"/>
    <cellStyle name="Output 2" xfId="96" xr:uid="{00000000-0005-0000-0000-000071000000}"/>
    <cellStyle name="Percent" xfId="12" builtinId="5"/>
    <cellStyle name="Percent 10" xfId="120" xr:uid="{00000000-0005-0000-0000-000073000000}"/>
    <cellStyle name="Percent 2" xfId="97" xr:uid="{00000000-0005-0000-0000-000074000000}"/>
    <cellStyle name="Percent 2 2" xfId="98" xr:uid="{00000000-0005-0000-0000-000075000000}"/>
    <cellStyle name="Percent 3" xfId="99" xr:uid="{00000000-0005-0000-0000-000076000000}"/>
    <cellStyle name="Percent 4" xfId="100" xr:uid="{00000000-0005-0000-0000-000077000000}"/>
    <cellStyle name="Percent 4 2" xfId="121" xr:uid="{00000000-0005-0000-0000-000078000000}"/>
    <cellStyle name="Percent 4 3" xfId="122" xr:uid="{00000000-0005-0000-0000-000079000000}"/>
    <cellStyle name="Percent 5" xfId="101" xr:uid="{00000000-0005-0000-0000-00007A000000}"/>
    <cellStyle name="Percent 5 2" xfId="102" xr:uid="{00000000-0005-0000-0000-00007B000000}"/>
    <cellStyle name="Percent 6" xfId="103" xr:uid="{00000000-0005-0000-0000-00007C000000}"/>
    <cellStyle name="Percent 7" xfId="104" xr:uid="{00000000-0005-0000-0000-00007D000000}"/>
    <cellStyle name="Percent 8" xfId="16" xr:uid="{00000000-0005-0000-0000-00007E000000}"/>
    <cellStyle name="Percent 8 2" xfId="124" xr:uid="{00000000-0005-0000-0000-00007F000000}"/>
    <cellStyle name="Percent 9" xfId="105" xr:uid="{00000000-0005-0000-0000-000080000000}"/>
    <cellStyle name="Title 2" xfId="106" xr:uid="{00000000-0005-0000-0000-000081000000}"/>
    <cellStyle name="Total 2" xfId="107" xr:uid="{00000000-0005-0000-0000-000082000000}"/>
    <cellStyle name="Warning Text 2" xfId="108" xr:uid="{00000000-0005-0000-0000-00008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zoomScaleNormal="100" workbookViewId="0">
      <selection activeCell="A21" sqref="A21"/>
    </sheetView>
  </sheetViews>
  <sheetFormatPr defaultColWidth="8.85546875" defaultRowHeight="12.75"/>
  <cols>
    <col min="1" max="1" width="5.28515625" style="71" customWidth="1"/>
    <col min="2" max="2" width="0.85546875" style="71" customWidth="1"/>
    <col min="3" max="3" width="2.28515625" style="71" customWidth="1"/>
    <col min="4" max="4" width="14.7109375" style="71" bestFit="1" customWidth="1"/>
    <col min="5" max="6" width="1.7109375" style="71" customWidth="1"/>
    <col min="7" max="16384" width="8.85546875" style="71"/>
  </cols>
  <sheetData>
    <row r="1" spans="1:13" ht="15.75">
      <c r="A1" s="17" t="s">
        <v>0</v>
      </c>
    </row>
    <row r="2" spans="1:13" ht="15.75">
      <c r="A2" s="17" t="s">
        <v>1</v>
      </c>
    </row>
    <row r="3" spans="1:13" ht="15.75">
      <c r="A3" s="17" t="s">
        <v>2</v>
      </c>
    </row>
    <row r="4" spans="1:13" ht="15.75">
      <c r="A4" s="17" t="s">
        <v>3</v>
      </c>
    </row>
    <row r="5" spans="1:13">
      <c r="A5" s="74"/>
    </row>
    <row r="6" spans="1:13">
      <c r="A6" s="71" t="s">
        <v>4</v>
      </c>
    </row>
    <row r="7" spans="1:13">
      <c r="A7" s="105" t="s">
        <v>5</v>
      </c>
      <c r="C7" s="75" t="s">
        <v>6</v>
      </c>
      <c r="D7" s="75"/>
      <c r="E7" s="75"/>
      <c r="F7" s="75"/>
      <c r="G7" s="75"/>
      <c r="H7" s="75"/>
      <c r="I7" s="75"/>
      <c r="J7" s="75"/>
      <c r="K7" s="75"/>
      <c r="L7" s="75"/>
      <c r="M7" s="75"/>
    </row>
    <row r="9" spans="1:13">
      <c r="A9" s="106">
        <v>1</v>
      </c>
      <c r="D9" s="71" t="s">
        <v>7</v>
      </c>
      <c r="F9" s="71" t="s">
        <v>8</v>
      </c>
    </row>
    <row r="10" spans="1:13">
      <c r="A10" s="106">
        <f>+A9+1</f>
        <v>2</v>
      </c>
      <c r="D10" s="71" t="s">
        <v>9</v>
      </c>
      <c r="F10" s="71" t="s">
        <v>10</v>
      </c>
    </row>
    <row r="11" spans="1:13">
      <c r="A11" s="106">
        <f>+A10+1</f>
        <v>3</v>
      </c>
      <c r="D11" s="71" t="s">
        <v>11</v>
      </c>
      <c r="F11" s="71" t="s">
        <v>12</v>
      </c>
    </row>
    <row r="12" spans="1:13">
      <c r="A12" s="106">
        <f>+A11+1</f>
        <v>4</v>
      </c>
      <c r="D12" s="71" t="s">
        <v>13</v>
      </c>
      <c r="F12" s="71" t="s">
        <v>14</v>
      </c>
    </row>
    <row r="13" spans="1:13">
      <c r="A13" s="106">
        <f t="shared" ref="A13:A29" si="0">+A12+1</f>
        <v>5</v>
      </c>
      <c r="D13" s="71" t="s">
        <v>15</v>
      </c>
      <c r="F13" s="71" t="s">
        <v>16</v>
      </c>
    </row>
    <row r="14" spans="1:13">
      <c r="A14" s="106">
        <f t="shared" si="0"/>
        <v>6</v>
      </c>
      <c r="D14" s="71" t="s">
        <v>17</v>
      </c>
      <c r="F14" s="71" t="s">
        <v>18</v>
      </c>
    </row>
    <row r="15" spans="1:13">
      <c r="A15" s="106">
        <f t="shared" si="0"/>
        <v>7</v>
      </c>
      <c r="D15" s="71" t="s">
        <v>19</v>
      </c>
      <c r="F15" s="71" t="s">
        <v>20</v>
      </c>
    </row>
    <row r="16" spans="1:13">
      <c r="A16" s="106">
        <f t="shared" si="0"/>
        <v>8</v>
      </c>
      <c r="D16" s="71" t="s">
        <v>21</v>
      </c>
      <c r="F16" s="71" t="s">
        <v>22</v>
      </c>
    </row>
    <row r="17" spans="1:7">
      <c r="A17" s="106">
        <f t="shared" si="0"/>
        <v>9</v>
      </c>
      <c r="D17" s="71" t="s">
        <v>23</v>
      </c>
      <c r="F17" s="71" t="s">
        <v>24</v>
      </c>
    </row>
    <row r="18" spans="1:7">
      <c r="A18" s="106">
        <f t="shared" si="0"/>
        <v>10</v>
      </c>
      <c r="D18" s="71" t="s">
        <v>25</v>
      </c>
      <c r="F18" s="71" t="s">
        <v>26</v>
      </c>
    </row>
    <row r="19" spans="1:7">
      <c r="A19" s="106">
        <f t="shared" si="0"/>
        <v>11</v>
      </c>
      <c r="D19" s="71" t="s">
        <v>27</v>
      </c>
      <c r="F19" s="71" t="s">
        <v>28</v>
      </c>
    </row>
    <row r="20" spans="1:7">
      <c r="A20" s="106">
        <f t="shared" si="0"/>
        <v>12</v>
      </c>
      <c r="D20" s="71" t="s">
        <v>29</v>
      </c>
      <c r="F20" s="71" t="s">
        <v>30</v>
      </c>
    </row>
    <row r="21" spans="1:7">
      <c r="A21" s="106">
        <f t="shared" si="0"/>
        <v>13</v>
      </c>
      <c r="D21" s="71" t="s">
        <v>31</v>
      </c>
      <c r="F21" s="71" t="s">
        <v>32</v>
      </c>
    </row>
    <row r="22" spans="1:7">
      <c r="A22" s="106">
        <f t="shared" si="0"/>
        <v>14</v>
      </c>
      <c r="D22" s="71" t="s">
        <v>33</v>
      </c>
      <c r="F22" s="71" t="s">
        <v>34</v>
      </c>
    </row>
    <row r="23" spans="1:7">
      <c r="A23" s="106">
        <f t="shared" si="0"/>
        <v>15</v>
      </c>
      <c r="D23" s="71" t="s">
        <v>35</v>
      </c>
      <c r="F23" s="71" t="s">
        <v>36</v>
      </c>
    </row>
    <row r="24" spans="1:7">
      <c r="A24" s="106">
        <f t="shared" si="0"/>
        <v>16</v>
      </c>
      <c r="D24" s="71" t="s">
        <v>37</v>
      </c>
      <c r="F24" s="71" t="s">
        <v>38</v>
      </c>
    </row>
    <row r="25" spans="1:7">
      <c r="A25" s="106">
        <f t="shared" si="0"/>
        <v>17</v>
      </c>
      <c r="D25" s="71" t="s">
        <v>39</v>
      </c>
      <c r="F25" s="71" t="s">
        <v>40</v>
      </c>
    </row>
    <row r="26" spans="1:7">
      <c r="A26" s="106">
        <f t="shared" si="0"/>
        <v>18</v>
      </c>
      <c r="D26" s="71" t="s">
        <v>41</v>
      </c>
      <c r="F26" s="71" t="s">
        <v>42</v>
      </c>
    </row>
    <row r="27" spans="1:7">
      <c r="A27" s="106">
        <f t="shared" si="0"/>
        <v>19</v>
      </c>
      <c r="D27" t="s">
        <v>43</v>
      </c>
      <c r="E27"/>
      <c r="F27" t="s">
        <v>44</v>
      </c>
      <c r="G27"/>
    </row>
    <row r="28" spans="1:7">
      <c r="A28" s="106">
        <f t="shared" si="0"/>
        <v>20</v>
      </c>
      <c r="D28" t="s">
        <v>45</v>
      </c>
      <c r="E28"/>
      <c r="F28" t="s">
        <v>46</v>
      </c>
      <c r="G28"/>
    </row>
    <row r="29" spans="1:7">
      <c r="A29" s="106">
        <f t="shared" si="0"/>
        <v>21</v>
      </c>
      <c r="D29" t="s">
        <v>47</v>
      </c>
      <c r="E29"/>
      <c r="F29" t="s">
        <v>48</v>
      </c>
      <c r="G29"/>
    </row>
    <row r="30" spans="1:7">
      <c r="A30" s="76"/>
    </row>
  </sheetData>
  <phoneticPr fontId="6" type="noConversion"/>
  <pageMargins left="0.75" right="0.68" top="1" bottom="1" header="0.5" footer="0.5"/>
  <pageSetup scale="94" orientation="portrait" r:id="rId1"/>
  <headerFooter alignWithMargins="0">
    <oddFooter>&amp;CExhibit BMG 1.1
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59"/>
  <sheetViews>
    <sheetView zoomScaleNormal="100" workbookViewId="0">
      <selection activeCell="C14" sqref="C14"/>
    </sheetView>
  </sheetViews>
  <sheetFormatPr defaultColWidth="8" defaultRowHeight="15.75"/>
  <cols>
    <col min="1" max="1" width="4.140625" style="116" customWidth="1"/>
    <col min="2" max="2" width="0.85546875" style="116" customWidth="1"/>
    <col min="3" max="3" width="28.28515625" style="116" customWidth="1"/>
    <col min="4" max="4" width="15.42578125" style="116" customWidth="1"/>
    <col min="5" max="5" width="0.85546875" style="116" customWidth="1"/>
    <col min="6" max="6" width="13.5703125" style="116" customWidth="1"/>
    <col min="7" max="7" width="0.85546875" style="116" customWidth="1"/>
    <col min="8" max="8" width="42.85546875" style="116" customWidth="1"/>
    <col min="9" max="9" width="8.7109375" style="116" customWidth="1"/>
    <col min="10" max="16384" width="8" style="116"/>
  </cols>
  <sheetData>
    <row r="1" spans="1:8">
      <c r="A1" s="116" t="s">
        <v>0</v>
      </c>
    </row>
    <row r="2" spans="1:8">
      <c r="A2" s="116" t="str">
        <f>RevReq!A2</f>
        <v>Docket No. NG22-___</v>
      </c>
    </row>
    <row r="3" spans="1:8">
      <c r="A3" s="116" t="s">
        <v>124</v>
      </c>
    </row>
    <row r="4" spans="1:8">
      <c r="A4" s="116" t="s">
        <v>456</v>
      </c>
    </row>
    <row r="5" spans="1:8">
      <c r="A5" s="116" t="str">
        <f>RevReq!A4</f>
        <v>Test Year Ended December 31, 2021</v>
      </c>
    </row>
    <row r="8" spans="1:8">
      <c r="A8" s="117" t="s">
        <v>4</v>
      </c>
    </row>
    <row r="9" spans="1:8">
      <c r="A9" s="118" t="s">
        <v>5</v>
      </c>
      <c r="C9" s="297" t="s">
        <v>6</v>
      </c>
      <c r="D9" s="298"/>
      <c r="F9" s="299" t="s">
        <v>457</v>
      </c>
      <c r="H9" s="299" t="s">
        <v>408</v>
      </c>
    </row>
    <row r="10" spans="1:8">
      <c r="A10" s="119"/>
      <c r="C10" s="120" t="s">
        <v>53</v>
      </c>
      <c r="F10" s="120" t="s">
        <v>54</v>
      </c>
      <c r="H10" s="120" t="s">
        <v>97</v>
      </c>
    </row>
    <row r="11" spans="1:8">
      <c r="A11" s="119"/>
      <c r="C11" s="121"/>
      <c r="F11" s="121"/>
      <c r="H11" s="121"/>
    </row>
    <row r="12" spans="1:8">
      <c r="A12" s="122">
        <v>1</v>
      </c>
      <c r="C12" s="116" t="s">
        <v>458</v>
      </c>
      <c r="F12" s="123">
        <v>10665626</v>
      </c>
      <c r="H12" s="116" t="s">
        <v>459</v>
      </c>
    </row>
    <row r="13" spans="1:8">
      <c r="A13" s="122">
        <f>+A12+1</f>
        <v>2</v>
      </c>
      <c r="C13" s="116" t="s">
        <v>460</v>
      </c>
      <c r="F13" s="124">
        <v>8.8800000000000004E-2</v>
      </c>
      <c r="H13" s="116" t="s">
        <v>461</v>
      </c>
    </row>
    <row r="14" spans="1:8">
      <c r="A14" s="122">
        <f>+A13+1</f>
        <v>3</v>
      </c>
      <c r="C14" s="116" t="s">
        <v>462</v>
      </c>
      <c r="F14" s="123">
        <f>F12*F13</f>
        <v>947107.58880000003</v>
      </c>
      <c r="H14" s="116" t="s">
        <v>463</v>
      </c>
    </row>
    <row r="15" spans="1:8">
      <c r="A15" s="122"/>
      <c r="F15" s="123"/>
    </row>
    <row r="16" spans="1:8">
      <c r="A16" s="122">
        <f>A14+1</f>
        <v>4</v>
      </c>
      <c r="C16" s="116" t="s">
        <v>464</v>
      </c>
      <c r="F16" s="124">
        <v>0.1099</v>
      </c>
      <c r="H16" s="116" t="s">
        <v>465</v>
      </c>
    </row>
    <row r="17" spans="1:8">
      <c r="A17" s="122">
        <f>A16+1</f>
        <v>5</v>
      </c>
      <c r="C17" s="116" t="s">
        <v>466</v>
      </c>
      <c r="F17" s="123">
        <f>F12*F16</f>
        <v>1172152.2974</v>
      </c>
      <c r="H17" s="116" t="s">
        <v>467</v>
      </c>
    </row>
    <row r="18" spans="1:8">
      <c r="A18" s="122"/>
    </row>
    <row r="19" spans="1:8">
      <c r="A19" s="122">
        <f>+A17+1</f>
        <v>6</v>
      </c>
      <c r="C19" s="116" t="s">
        <v>468</v>
      </c>
      <c r="F19" s="125">
        <f>'WP5 p.5-DirectPay2021'!O39</f>
        <v>0.72414994019809298</v>
      </c>
      <c r="H19" s="116" t="s">
        <v>469</v>
      </c>
    </row>
    <row r="20" spans="1:8">
      <c r="A20" s="122"/>
    </row>
    <row r="21" spans="1:8">
      <c r="A21" s="122">
        <f>+A19+1</f>
        <v>7</v>
      </c>
      <c r="C21" s="116" t="s">
        <v>470</v>
      </c>
      <c r="F21" s="126">
        <f>F12*F19</f>
        <v>7723512.4300752254</v>
      </c>
      <c r="H21" s="116" t="s">
        <v>471</v>
      </c>
    </row>
    <row r="22" spans="1:8">
      <c r="A22" s="122">
        <f>A21+1</f>
        <v>8</v>
      </c>
      <c r="C22" s="116" t="s">
        <v>472</v>
      </c>
      <c r="F22" s="123">
        <f>F17*F19</f>
        <v>848814.01606526738</v>
      </c>
      <c r="H22" s="116" t="s">
        <v>473</v>
      </c>
    </row>
    <row r="23" spans="1:8">
      <c r="A23" s="122">
        <f>A22+1</f>
        <v>9</v>
      </c>
      <c r="C23" s="116" t="s">
        <v>474</v>
      </c>
      <c r="F23" s="123">
        <f>F14*F19</f>
        <v>685847.90379068011</v>
      </c>
      <c r="H23" s="116" t="s">
        <v>475</v>
      </c>
    </row>
    <row r="24" spans="1:8">
      <c r="A24" s="122"/>
      <c r="F24" s="126" t="s">
        <v>271</v>
      </c>
    </row>
    <row r="25" spans="1:8">
      <c r="A25" s="122">
        <f>A23+1</f>
        <v>10</v>
      </c>
      <c r="C25" s="116" t="s">
        <v>476</v>
      </c>
      <c r="D25" s="124">
        <f>'WP5 p.5-DirectPay2021'!O47</f>
        <v>0.27548639782355588</v>
      </c>
      <c r="F25" s="127">
        <f>F21*D25</f>
        <v>2127722.6179068824</v>
      </c>
      <c r="H25" s="116" t="s">
        <v>477</v>
      </c>
    </row>
    <row r="26" spans="1:8">
      <c r="A26" s="122">
        <f>A25+1</f>
        <v>11</v>
      </c>
      <c r="C26" s="116" t="s">
        <v>478</v>
      </c>
      <c r="D26" s="124">
        <f>'WP5 p.5-DirectPay2021'!O47</f>
        <v>0.27548639782355588</v>
      </c>
      <c r="F26" s="127">
        <f>F22*D26</f>
        <v>233836.71570796642</v>
      </c>
      <c r="H26" s="116" t="s">
        <v>479</v>
      </c>
    </row>
    <row r="27" spans="1:8">
      <c r="A27" s="122">
        <f>A26+1</f>
        <v>12</v>
      </c>
      <c r="C27" s="116" t="s">
        <v>480</v>
      </c>
      <c r="D27" s="124">
        <f>'WP5 p.5-DirectPay2021'!O47</f>
        <v>0.27548639782355588</v>
      </c>
      <c r="F27" s="123">
        <f>F23*D27</f>
        <v>188941.76847013118</v>
      </c>
      <c r="H27" s="116" t="s">
        <v>481</v>
      </c>
    </row>
    <row r="28" spans="1:8">
      <c r="A28" s="122"/>
    </row>
    <row r="29" spans="1:8">
      <c r="A29" s="122">
        <f>+A27+1</f>
        <v>13</v>
      </c>
      <c r="C29" s="116" t="s">
        <v>482</v>
      </c>
    </row>
    <row r="30" spans="1:8">
      <c r="A30" s="122">
        <f>A29+1</f>
        <v>14</v>
      </c>
      <c r="C30" s="116" t="s">
        <v>483</v>
      </c>
      <c r="D30" s="124">
        <f>'WP5 p.5-DirectPay2021'!E24</f>
        <v>0.78874877614853367</v>
      </c>
      <c r="F30" s="123">
        <f>F25*D30</f>
        <v>1678238.6108576076</v>
      </c>
      <c r="H30" s="116" t="s">
        <v>484</v>
      </c>
    </row>
    <row r="31" spans="1:8">
      <c r="A31" s="122">
        <f>A30+1</f>
        <v>15</v>
      </c>
      <c r="C31" s="116" t="s">
        <v>485</v>
      </c>
      <c r="D31" s="124">
        <f>'WP5 p.5-DirectPay2021'!G24</f>
        <v>8.6381488372607021E-2</v>
      </c>
      <c r="F31" s="123">
        <f>F25*D31</f>
        <v>183795.84657885635</v>
      </c>
      <c r="H31" s="116" t="s">
        <v>484</v>
      </c>
    </row>
    <row r="32" spans="1:8">
      <c r="A32" s="122">
        <f>A31+1</f>
        <v>16</v>
      </c>
      <c r="C32" s="116" t="s">
        <v>486</v>
      </c>
      <c r="D32" s="124">
        <f>'WP5 p.5-DirectPay2021'!I24</f>
        <v>0.12032682768838317</v>
      </c>
      <c r="F32" s="123">
        <f>F25*D32</f>
        <v>256022.11281355697</v>
      </c>
      <c r="H32" s="116" t="s">
        <v>484</v>
      </c>
    </row>
    <row r="33" spans="1:8">
      <c r="A33" s="122">
        <f>A32+1</f>
        <v>17</v>
      </c>
      <c r="C33" s="116" t="s">
        <v>487</v>
      </c>
      <c r="D33" s="124">
        <f>'WP5 p.5-DirectPay2021'!K24</f>
        <v>4.5429077904761209E-3</v>
      </c>
      <c r="F33" s="123">
        <f>F25*D33</f>
        <v>9666.0476568614231</v>
      </c>
      <c r="H33" s="116" t="s">
        <v>484</v>
      </c>
    </row>
    <row r="34" spans="1:8">
      <c r="A34" s="122"/>
      <c r="F34" s="126" t="s">
        <v>271</v>
      </c>
    </row>
    <row r="35" spans="1:8">
      <c r="A35" s="122">
        <f>+A33+1</f>
        <v>18</v>
      </c>
      <c r="C35" s="116" t="s">
        <v>488</v>
      </c>
    </row>
    <row r="36" spans="1:8">
      <c r="A36" s="122">
        <f>A35+1</f>
        <v>19</v>
      </c>
      <c r="C36" s="116" t="s">
        <v>483</v>
      </c>
      <c r="D36" s="124">
        <f>D30</f>
        <v>0.78874877614853367</v>
      </c>
      <c r="F36" s="123">
        <f>F26*D36</f>
        <v>184438.42333325112</v>
      </c>
      <c r="H36" s="116" t="s">
        <v>489</v>
      </c>
    </row>
    <row r="37" spans="1:8">
      <c r="A37" s="122">
        <f>A36+1</f>
        <v>20</v>
      </c>
      <c r="C37" s="116" t="s">
        <v>485</v>
      </c>
      <c r="D37" s="124">
        <f>D31</f>
        <v>8.6381488372607021E-2</v>
      </c>
      <c r="F37" s="123">
        <f>F26*D37</f>
        <v>20199.163539016314</v>
      </c>
      <c r="H37" s="116" t="s">
        <v>489</v>
      </c>
    </row>
    <row r="38" spans="1:8">
      <c r="A38" s="122">
        <f>A37+1</f>
        <v>21</v>
      </c>
      <c r="C38" s="116" t="s">
        <v>486</v>
      </c>
      <c r="D38" s="124">
        <f>D32</f>
        <v>0.12032682768838317</v>
      </c>
      <c r="F38" s="123">
        <f>F26*D38</f>
        <v>28136.830198209918</v>
      </c>
      <c r="H38" s="116" t="s">
        <v>489</v>
      </c>
    </row>
    <row r="39" spans="1:8">
      <c r="A39" s="122">
        <f>A38+1</f>
        <v>22</v>
      </c>
      <c r="C39" s="116" t="s">
        <v>487</v>
      </c>
      <c r="D39" s="124">
        <f>D33</f>
        <v>4.5429077904761209E-3</v>
      </c>
      <c r="F39" s="123">
        <f>F26*D39</f>
        <v>1062.2986374890706</v>
      </c>
      <c r="H39" s="116" t="s">
        <v>489</v>
      </c>
    </row>
    <row r="40" spans="1:8">
      <c r="A40" s="122"/>
      <c r="F40" s="126" t="s">
        <v>271</v>
      </c>
    </row>
    <row r="41" spans="1:8">
      <c r="A41" s="122">
        <f>+A39+1</f>
        <v>23</v>
      </c>
      <c r="C41" s="116" t="s">
        <v>490</v>
      </c>
    </row>
    <row r="42" spans="1:8">
      <c r="A42" s="122">
        <f>A41+1</f>
        <v>24</v>
      </c>
      <c r="C42" s="116" t="s">
        <v>483</v>
      </c>
      <c r="D42" s="124">
        <f>D30</f>
        <v>0.78874877614853367</v>
      </c>
      <c r="F42" s="123">
        <f>F27*D42</f>
        <v>149027.58864415556</v>
      </c>
      <c r="H42" s="116" t="s">
        <v>491</v>
      </c>
    </row>
    <row r="43" spans="1:8">
      <c r="A43" s="122">
        <f>A42+1</f>
        <v>25</v>
      </c>
      <c r="C43" s="116" t="s">
        <v>485</v>
      </c>
      <c r="D43" s="124">
        <f>D31</f>
        <v>8.6381488372607021E-2</v>
      </c>
      <c r="F43" s="123">
        <f>F27*D43</f>
        <v>16321.071176202444</v>
      </c>
      <c r="H43" s="116" t="s">
        <v>491</v>
      </c>
    </row>
    <row r="44" spans="1:8">
      <c r="A44" s="122">
        <f>A43+1</f>
        <v>26</v>
      </c>
      <c r="C44" s="116" t="s">
        <v>486</v>
      </c>
      <c r="D44" s="124">
        <f>D32</f>
        <v>0.12032682768838317</v>
      </c>
      <c r="F44" s="123">
        <f>F27*D44</f>
        <v>22734.763617843862</v>
      </c>
      <c r="H44" s="116" t="s">
        <v>491</v>
      </c>
    </row>
    <row r="45" spans="1:8">
      <c r="A45" s="122">
        <f>A44+1</f>
        <v>27</v>
      </c>
      <c r="C45" s="116" t="s">
        <v>487</v>
      </c>
      <c r="D45" s="124">
        <f>D33</f>
        <v>4.5429077904761209E-3</v>
      </c>
      <c r="F45" s="123">
        <f>F27*D45</f>
        <v>858.34503192929446</v>
      </c>
      <c r="H45" s="116" t="s">
        <v>491</v>
      </c>
    </row>
    <row r="46" spans="1:8">
      <c r="A46" s="122"/>
    </row>
    <row r="47" spans="1:8" ht="16.5" thickBot="1">
      <c r="A47" s="122">
        <f>+A45+1</f>
        <v>28</v>
      </c>
      <c r="C47" s="119" t="s">
        <v>492</v>
      </c>
    </row>
    <row r="48" spans="1:8" ht="16.5" thickBot="1">
      <c r="A48" s="122">
        <f>A47+1</f>
        <v>29</v>
      </c>
      <c r="C48" s="119" t="s">
        <v>493</v>
      </c>
      <c r="F48" s="128">
        <f>+F32</f>
        <v>256022.11281355697</v>
      </c>
      <c r="H48" s="116" t="s">
        <v>494</v>
      </c>
    </row>
    <row r="49" spans="1:8">
      <c r="A49" s="122"/>
    </row>
    <row r="50" spans="1:8" ht="16.5" thickBot="1">
      <c r="A50" s="122">
        <f>+A48+1</f>
        <v>30</v>
      </c>
      <c r="C50" s="119" t="s">
        <v>492</v>
      </c>
    </row>
    <row r="51" spans="1:8" ht="16.5" thickBot="1">
      <c r="A51" s="122">
        <f>A50+1</f>
        <v>31</v>
      </c>
      <c r="C51" s="119" t="s">
        <v>495</v>
      </c>
      <c r="F51" s="128">
        <f>F38</f>
        <v>28136.830198209918</v>
      </c>
      <c r="H51" s="116" t="s">
        <v>496</v>
      </c>
    </row>
    <row r="52" spans="1:8">
      <c r="A52" s="122"/>
    </row>
    <row r="53" spans="1:8" ht="16.5" thickBot="1">
      <c r="A53" s="122">
        <f>+A51+1</f>
        <v>32</v>
      </c>
      <c r="C53" s="119" t="s">
        <v>497</v>
      </c>
    </row>
    <row r="54" spans="1:8">
      <c r="A54" s="122">
        <f>A53+1</f>
        <v>33</v>
      </c>
      <c r="C54" s="119" t="s">
        <v>498</v>
      </c>
      <c r="F54" s="129">
        <f>F48*0.0877</f>
        <v>22453.139293748947</v>
      </c>
    </row>
    <row r="55" spans="1:8">
      <c r="A55" s="122">
        <f>A54+1</f>
        <v>34</v>
      </c>
      <c r="C55" s="119" t="s">
        <v>499</v>
      </c>
      <c r="F55" s="130">
        <f>F48*0.0005</f>
        <v>128.01105640677849</v>
      </c>
    </row>
    <row r="56" spans="1:8" ht="16.5" thickBot="1">
      <c r="A56" s="122">
        <f>A55+1</f>
        <v>35</v>
      </c>
      <c r="C56" s="119" t="s">
        <v>500</v>
      </c>
      <c r="F56" s="131">
        <f>F48*0.0006</f>
        <v>153.61326768813416</v>
      </c>
    </row>
    <row r="57" spans="1:8" ht="16.5" thickBot="1">
      <c r="A57" s="122">
        <f>A56+1</f>
        <v>36</v>
      </c>
      <c r="C57" s="119" t="s">
        <v>501</v>
      </c>
      <c r="F57" s="131">
        <f>+F54+F55+F56</f>
        <v>22734.763617843862</v>
      </c>
      <c r="H57" s="116" t="s">
        <v>502</v>
      </c>
    </row>
    <row r="59" spans="1:8">
      <c r="F59" s="116" t="s">
        <v>503</v>
      </c>
    </row>
  </sheetData>
  <phoneticPr fontId="9" type="noConversion"/>
  <printOptions horizontalCentered="1"/>
  <pageMargins left="0.75" right="0.75" top="1" bottom="1" header="0.5" footer="0.5"/>
  <pageSetup scale="72" orientation="portrait" r:id="rId1"/>
  <headerFooter alignWithMargins="0">
    <oddFooter>&amp;CExhibit BMG 1.1, WP 5
Page 1 of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48"/>
  <sheetViews>
    <sheetView view="pageLayout" zoomScaleNormal="100" workbookViewId="0">
      <selection activeCell="O12" sqref="O12"/>
    </sheetView>
  </sheetViews>
  <sheetFormatPr defaultColWidth="9.140625" defaultRowHeight="15.75"/>
  <cols>
    <col min="1" max="1" width="4" style="133" customWidth="1"/>
    <col min="2" max="2" width="0.85546875" style="117" customWidth="1"/>
    <col min="3" max="3" width="25" style="117" customWidth="1"/>
    <col min="4" max="4" width="0.85546875" style="117" customWidth="1"/>
    <col min="5" max="5" width="15.28515625" style="117" bestFit="1" customWidth="1"/>
    <col min="6" max="6" width="0.85546875" style="117" customWidth="1"/>
    <col min="7" max="7" width="14.140625" style="117" bestFit="1" customWidth="1"/>
    <col min="8" max="8" width="0.85546875" style="117" customWidth="1"/>
    <col min="9" max="9" width="13.28515625" style="117" bestFit="1" customWidth="1"/>
    <col min="10" max="10" width="0.85546875" style="117" customWidth="1"/>
    <col min="11" max="11" width="11.140625" style="117" bestFit="1" customWidth="1"/>
    <col min="12" max="12" width="0.85546875" style="117" customWidth="1"/>
    <col min="13" max="13" width="11.28515625" style="117" bestFit="1" customWidth="1"/>
    <col min="14" max="14" width="0.85546875" style="117" customWidth="1"/>
    <col min="15" max="15" width="15.140625" style="117" bestFit="1" customWidth="1"/>
    <col min="16" max="16" width="13" style="117" customWidth="1"/>
    <col min="17" max="16384" width="9.140625" style="117"/>
  </cols>
  <sheetData>
    <row r="1" spans="1:16">
      <c r="A1" s="117" t="s">
        <v>0</v>
      </c>
    </row>
    <row r="2" spans="1:16">
      <c r="A2" s="116" t="str">
        <f>RevReq!A2</f>
        <v>Docket No. NG22-___</v>
      </c>
    </row>
    <row r="3" spans="1:16">
      <c r="A3" s="117" t="s">
        <v>124</v>
      </c>
    </row>
    <row r="4" spans="1:16">
      <c r="A4" s="117" t="s">
        <v>504</v>
      </c>
    </row>
    <row r="5" spans="1:16">
      <c r="A5" s="116" t="str">
        <f>RevReq!A4</f>
        <v>Test Year Ended December 31, 2021</v>
      </c>
      <c r="C5" s="132"/>
      <c r="D5" s="132"/>
    </row>
    <row r="6" spans="1:16">
      <c r="A6" s="117" t="s">
        <v>505</v>
      </c>
      <c r="E6" s="133"/>
      <c r="I6" s="133"/>
      <c r="K6" s="133"/>
      <c r="M6" s="133"/>
      <c r="P6" s="133"/>
    </row>
    <row r="7" spans="1:16">
      <c r="A7" s="117"/>
      <c r="E7" s="133"/>
      <c r="I7" s="133"/>
      <c r="K7" s="133"/>
      <c r="M7" s="133"/>
      <c r="P7" s="133"/>
    </row>
    <row r="8" spans="1:16">
      <c r="A8" s="117"/>
      <c r="E8" s="133"/>
      <c r="I8" s="133"/>
      <c r="K8" s="133"/>
      <c r="M8" s="133"/>
      <c r="O8" s="133" t="s">
        <v>506</v>
      </c>
      <c r="P8" s="133"/>
    </row>
    <row r="9" spans="1:16">
      <c r="A9" s="117" t="s">
        <v>4</v>
      </c>
      <c r="E9" s="133"/>
      <c r="I9" s="133"/>
      <c r="K9" s="133"/>
      <c r="M9" s="133"/>
      <c r="O9" s="133" t="s">
        <v>507</v>
      </c>
      <c r="P9" s="133"/>
    </row>
    <row r="10" spans="1:16">
      <c r="A10" s="118" t="s">
        <v>5</v>
      </c>
      <c r="C10" s="134" t="s">
        <v>6</v>
      </c>
      <c r="E10" s="135" t="s">
        <v>508</v>
      </c>
      <c r="G10" s="135" t="s">
        <v>509</v>
      </c>
      <c r="I10" s="135" t="s">
        <v>86</v>
      </c>
      <c r="K10" s="135" t="s">
        <v>510</v>
      </c>
      <c r="M10" s="135" t="s">
        <v>511</v>
      </c>
      <c r="O10" s="135" t="s">
        <v>52</v>
      </c>
      <c r="P10" s="133"/>
    </row>
    <row r="11" spans="1:16">
      <c r="C11" s="133" t="s">
        <v>53</v>
      </c>
      <c r="D11" s="133"/>
      <c r="E11" s="133" t="s">
        <v>54</v>
      </c>
      <c r="G11" s="133" t="s">
        <v>97</v>
      </c>
      <c r="I11" s="133" t="s">
        <v>98</v>
      </c>
      <c r="K11" s="133" t="s">
        <v>99</v>
      </c>
      <c r="M11" s="133" t="s">
        <v>100</v>
      </c>
      <c r="O11" s="133" t="s">
        <v>152</v>
      </c>
      <c r="P11" s="133"/>
    </row>
    <row r="12" spans="1:16">
      <c r="E12" s="133"/>
      <c r="G12" s="133"/>
      <c r="I12" s="133"/>
      <c r="K12" s="133"/>
      <c r="M12" s="133"/>
      <c r="O12" s="133"/>
      <c r="P12" s="133"/>
    </row>
    <row r="13" spans="1:16">
      <c r="A13" s="133">
        <v>1</v>
      </c>
      <c r="C13" s="117" t="s">
        <v>512</v>
      </c>
      <c r="E13" s="136"/>
      <c r="G13" s="136"/>
      <c r="I13" s="136"/>
      <c r="K13" s="136"/>
      <c r="M13" s="136"/>
      <c r="O13" s="136"/>
    </row>
    <row r="14" spans="1:16">
      <c r="A14" s="133">
        <f t="shared" ref="A14:A22" si="0">A13+1</f>
        <v>2</v>
      </c>
      <c r="C14" s="117" t="s">
        <v>513</v>
      </c>
      <c r="E14" s="137">
        <v>12840</v>
      </c>
      <c r="F14" s="138"/>
      <c r="G14" s="137">
        <v>0</v>
      </c>
      <c r="H14" s="138"/>
      <c r="I14" s="137">
        <v>0</v>
      </c>
      <c r="J14" s="138"/>
      <c r="K14" s="137">
        <v>0</v>
      </c>
      <c r="L14" s="139"/>
      <c r="M14" s="136">
        <v>0</v>
      </c>
      <c r="N14" s="139"/>
      <c r="O14" s="137">
        <f t="shared" ref="O14:O21" si="1">SUM(E14:M14)</f>
        <v>12840</v>
      </c>
    </row>
    <row r="15" spans="1:16">
      <c r="A15" s="133">
        <f t="shared" si="0"/>
        <v>3</v>
      </c>
      <c r="C15" s="117" t="s">
        <v>514</v>
      </c>
      <c r="E15" s="140">
        <v>1163999</v>
      </c>
      <c r="F15" s="140"/>
      <c r="G15" s="140">
        <v>158430.49</v>
      </c>
      <c r="H15" s="140"/>
      <c r="I15" s="140">
        <v>200628.34</v>
      </c>
      <c r="J15" s="140"/>
      <c r="K15" s="140">
        <v>7554.58</v>
      </c>
      <c r="L15" s="141"/>
      <c r="M15" s="111">
        <v>0</v>
      </c>
      <c r="N15" s="141"/>
      <c r="O15" s="142">
        <f t="shared" si="1"/>
        <v>1530612.4100000001</v>
      </c>
    </row>
    <row r="16" spans="1:16">
      <c r="A16" s="133">
        <f t="shared" si="0"/>
        <v>4</v>
      </c>
      <c r="C16" s="117" t="s">
        <v>515</v>
      </c>
      <c r="E16" s="140">
        <v>1209296</v>
      </c>
      <c r="F16" s="140"/>
      <c r="G16" s="140">
        <v>132909.75</v>
      </c>
      <c r="H16" s="140"/>
      <c r="I16" s="140">
        <v>199394.63</v>
      </c>
      <c r="J16" s="140"/>
      <c r="K16" s="140">
        <v>8808.130000000001</v>
      </c>
      <c r="L16" s="141"/>
      <c r="M16" s="111">
        <v>0</v>
      </c>
      <c r="N16" s="141"/>
      <c r="O16" s="142">
        <f t="shared" si="1"/>
        <v>1550408.5099999998</v>
      </c>
    </row>
    <row r="17" spans="1:16">
      <c r="A17" s="133">
        <f t="shared" si="0"/>
        <v>5</v>
      </c>
      <c r="C17" s="117" t="s">
        <v>516</v>
      </c>
      <c r="E17" s="140">
        <v>30761076</v>
      </c>
      <c r="F17" s="140"/>
      <c r="G17" s="140">
        <v>3430052.22</v>
      </c>
      <c r="H17" s="140"/>
      <c r="I17" s="140">
        <v>4429870.04</v>
      </c>
      <c r="J17" s="140"/>
      <c r="K17" s="140">
        <v>150510.16999999998</v>
      </c>
      <c r="L17" s="141"/>
      <c r="M17" s="111">
        <v>0</v>
      </c>
      <c r="N17" s="141"/>
      <c r="O17" s="142">
        <f t="shared" si="1"/>
        <v>38771508.43</v>
      </c>
    </row>
    <row r="18" spans="1:16">
      <c r="A18" s="133">
        <f t="shared" si="0"/>
        <v>6</v>
      </c>
      <c r="C18" s="117" t="s">
        <v>517</v>
      </c>
      <c r="E18" s="140">
        <v>11284321</v>
      </c>
      <c r="F18" s="140"/>
      <c r="G18" s="140">
        <v>1129317.92</v>
      </c>
      <c r="H18" s="140"/>
      <c r="I18" s="140">
        <v>1971993.94</v>
      </c>
      <c r="J18" s="140"/>
      <c r="K18" s="140">
        <v>68536.3</v>
      </c>
      <c r="L18" s="141"/>
      <c r="M18" s="111">
        <v>0</v>
      </c>
      <c r="N18" s="141"/>
      <c r="O18" s="142">
        <f t="shared" si="1"/>
        <v>14454169.16</v>
      </c>
    </row>
    <row r="19" spans="1:16">
      <c r="A19" s="133">
        <f t="shared" si="0"/>
        <v>7</v>
      </c>
      <c r="C19" s="117" t="s">
        <v>518</v>
      </c>
      <c r="E19" s="140">
        <v>479</v>
      </c>
      <c r="F19" s="140"/>
      <c r="G19" s="140">
        <v>0</v>
      </c>
      <c r="H19" s="140"/>
      <c r="I19" s="140">
        <v>0</v>
      </c>
      <c r="J19" s="140"/>
      <c r="K19" s="140">
        <v>1049.29</v>
      </c>
      <c r="L19" s="141"/>
      <c r="M19" s="111">
        <v>0</v>
      </c>
      <c r="N19" s="141"/>
      <c r="O19" s="142">
        <f t="shared" si="1"/>
        <v>1528.29</v>
      </c>
    </row>
    <row r="20" spans="1:16">
      <c r="A20" s="133">
        <f t="shared" si="0"/>
        <v>8</v>
      </c>
      <c r="C20" s="117" t="s">
        <v>519</v>
      </c>
      <c r="E20" s="140">
        <v>724950</v>
      </c>
      <c r="F20" s="140"/>
      <c r="G20" s="140">
        <v>46091.53</v>
      </c>
      <c r="H20" s="140"/>
      <c r="I20" s="140">
        <v>86941.18</v>
      </c>
      <c r="J20" s="140"/>
      <c r="K20" s="140">
        <v>6971.8</v>
      </c>
      <c r="L20" s="141"/>
      <c r="M20" s="111">
        <v>0</v>
      </c>
      <c r="N20" s="141"/>
      <c r="O20" s="142">
        <f t="shared" si="1"/>
        <v>864954.51</v>
      </c>
    </row>
    <row r="21" spans="1:16">
      <c r="A21" s="133">
        <f t="shared" si="0"/>
        <v>9</v>
      </c>
      <c r="C21" s="117" t="s">
        <v>520</v>
      </c>
      <c r="E21" s="140">
        <v>3853202</v>
      </c>
      <c r="F21" s="140"/>
      <c r="G21" s="140">
        <v>470649.62</v>
      </c>
      <c r="H21" s="140"/>
      <c r="I21" s="140">
        <v>587871.18999999994</v>
      </c>
      <c r="J21" s="140"/>
      <c r="K21" s="140">
        <v>38850.550000000003</v>
      </c>
      <c r="L21" s="141"/>
      <c r="M21" s="111">
        <v>0</v>
      </c>
      <c r="N21" s="141"/>
      <c r="O21" s="142">
        <f t="shared" si="1"/>
        <v>4950573.3600000003</v>
      </c>
    </row>
    <row r="22" spans="1:16" ht="16.5" thickBot="1">
      <c r="A22" s="133">
        <f t="shared" si="0"/>
        <v>10</v>
      </c>
      <c r="C22" s="117" t="s">
        <v>521</v>
      </c>
      <c r="E22" s="143">
        <f>SUM(E14:E21)</f>
        <v>49010163</v>
      </c>
      <c r="F22" s="139"/>
      <c r="G22" s="143">
        <f>SUM(G14:G21)</f>
        <v>5367451.53</v>
      </c>
      <c r="H22" s="139"/>
      <c r="I22" s="143">
        <f>SUM(I14:I21)</f>
        <v>7476699.3199999984</v>
      </c>
      <c r="J22" s="139"/>
      <c r="K22" s="143">
        <f>SUM(K14:K21)</f>
        <v>282280.82</v>
      </c>
      <c r="L22" s="139"/>
      <c r="M22" s="143">
        <f>SUM(M14:M21)</f>
        <v>0</v>
      </c>
      <c r="N22" s="139"/>
      <c r="O22" s="143">
        <f>SUM(O14:O21)</f>
        <v>62136594.670000002</v>
      </c>
      <c r="P22" s="111"/>
    </row>
    <row r="23" spans="1:16" ht="16.5" thickTop="1"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11"/>
    </row>
    <row r="24" spans="1:16" ht="16.5" thickBot="1">
      <c r="A24" s="133">
        <f>A22+1</f>
        <v>11</v>
      </c>
      <c r="C24" s="117" t="s">
        <v>522</v>
      </c>
      <c r="E24" s="144">
        <f>E22/$O22</f>
        <v>0.78874877614853367</v>
      </c>
      <c r="F24" s="139"/>
      <c r="G24" s="144">
        <f>G22/$O22</f>
        <v>8.6381488372607021E-2</v>
      </c>
      <c r="H24" s="139"/>
      <c r="I24" s="144">
        <f>I22/$O22</f>
        <v>0.12032682768838317</v>
      </c>
      <c r="J24" s="139"/>
      <c r="K24" s="144">
        <f>K22/$O22</f>
        <v>4.5429077904761209E-3</v>
      </c>
      <c r="L24" s="139"/>
      <c r="M24" s="144">
        <f>M22/$O22</f>
        <v>0</v>
      </c>
      <c r="N24" s="139"/>
      <c r="O24" s="144">
        <f>O22/$O22</f>
        <v>1</v>
      </c>
      <c r="P24" s="111"/>
    </row>
    <row r="25" spans="1:16" ht="16.5" thickTop="1">
      <c r="E25" s="136"/>
      <c r="G25" s="136"/>
      <c r="I25" s="136"/>
      <c r="K25" s="136"/>
      <c r="M25" s="136"/>
      <c r="O25" s="136"/>
    </row>
    <row r="27" spans="1:16">
      <c r="A27" s="145"/>
      <c r="B27" s="146"/>
      <c r="C27" s="147" t="s">
        <v>523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</row>
    <row r="28" spans="1:16">
      <c r="A28" s="145">
        <f>A24+1</f>
        <v>12</v>
      </c>
      <c r="B28" s="146"/>
      <c r="C28" s="146" t="s">
        <v>524</v>
      </c>
      <c r="D28" s="146"/>
      <c r="E28" s="123">
        <v>143283075</v>
      </c>
      <c r="F28" s="146"/>
      <c r="G28" s="123">
        <v>13861486</v>
      </c>
      <c r="H28" s="123">
        <f>H23</f>
        <v>0</v>
      </c>
      <c r="I28" s="123">
        <v>1904711</v>
      </c>
      <c r="J28" s="123"/>
      <c r="K28" s="123">
        <v>0</v>
      </c>
      <c r="L28" s="123">
        <f>L23</f>
        <v>0</v>
      </c>
      <c r="M28" s="123">
        <v>558333</v>
      </c>
      <c r="N28" s="138">
        <f>N23</f>
        <v>0</v>
      </c>
      <c r="O28" s="148">
        <f t="shared" ref="O28" si="2">SUM(E28:M28)</f>
        <v>159607605</v>
      </c>
    </row>
    <row r="29" spans="1:16">
      <c r="A29" s="145">
        <f>A28+1</f>
        <v>13</v>
      </c>
      <c r="B29" s="146"/>
      <c r="C29" s="146" t="s">
        <v>525</v>
      </c>
      <c r="D29" s="146"/>
      <c r="E29" s="149">
        <v>68476426</v>
      </c>
      <c r="F29" s="149"/>
      <c r="G29" s="149">
        <v>3308755</v>
      </c>
      <c r="H29" s="149"/>
      <c r="I29" s="149">
        <v>484405</v>
      </c>
      <c r="J29" s="149"/>
      <c r="K29" s="149">
        <v>0</v>
      </c>
      <c r="L29" s="149"/>
      <c r="M29" s="149">
        <v>561167</v>
      </c>
      <c r="N29" s="149"/>
      <c r="O29" s="149">
        <f>SUM(E29:N29)</f>
        <v>72830753</v>
      </c>
    </row>
    <row r="30" spans="1:16">
      <c r="A30" s="145">
        <f>A29+1</f>
        <v>14</v>
      </c>
      <c r="B30" s="146"/>
      <c r="C30" s="146" t="s">
        <v>526</v>
      </c>
      <c r="D30" s="146"/>
      <c r="E30" s="149">
        <v>5010599</v>
      </c>
      <c r="F30" s="149"/>
      <c r="G30" s="149">
        <v>237124</v>
      </c>
      <c r="H30" s="149"/>
      <c r="I30" s="149">
        <v>39601</v>
      </c>
      <c r="J30" s="149"/>
      <c r="K30" s="149">
        <v>0</v>
      </c>
      <c r="L30" s="149"/>
      <c r="M30" s="149">
        <v>31452</v>
      </c>
      <c r="N30" s="149"/>
      <c r="O30" s="149">
        <f>SUM(E30:N30)</f>
        <v>5318776</v>
      </c>
    </row>
    <row r="31" spans="1:16">
      <c r="A31" s="145">
        <f>A30+1</f>
        <v>15</v>
      </c>
      <c r="B31" s="146"/>
      <c r="C31" s="146" t="s">
        <v>527</v>
      </c>
      <c r="D31" s="146"/>
      <c r="E31" s="138">
        <f>SUM(E28:E30)</f>
        <v>216770100</v>
      </c>
      <c r="F31" s="146"/>
      <c r="G31" s="138">
        <f t="shared" ref="G31:O31" si="3">SUM(G28:G30)</f>
        <v>17407365</v>
      </c>
      <c r="H31" s="138">
        <f t="shared" si="3"/>
        <v>0</v>
      </c>
      <c r="I31" s="138">
        <f t="shared" si="3"/>
        <v>2428717</v>
      </c>
      <c r="J31" s="138"/>
      <c r="K31" s="138">
        <f t="shared" ref="K31:L31" si="4">SUM(K28:K30)</f>
        <v>0</v>
      </c>
      <c r="L31" s="138">
        <f t="shared" si="4"/>
        <v>0</v>
      </c>
      <c r="M31" s="138">
        <f t="shared" si="3"/>
        <v>1150952</v>
      </c>
      <c r="N31" s="138">
        <f t="shared" si="3"/>
        <v>0</v>
      </c>
      <c r="O31" s="138">
        <f t="shared" si="3"/>
        <v>237757134</v>
      </c>
    </row>
    <row r="32" spans="1:16" ht="16.5" thickBot="1">
      <c r="A32" s="145">
        <f>A31+1</f>
        <v>16</v>
      </c>
      <c r="B32" s="146"/>
      <c r="C32" s="146" t="s">
        <v>528</v>
      </c>
      <c r="D32" s="146"/>
      <c r="E32" s="150">
        <f>E28/E31</f>
        <v>0.66099095308808731</v>
      </c>
      <c r="F32" s="146"/>
      <c r="G32" s="150">
        <f t="shared" ref="G32:N32" si="5">G28/G31</f>
        <v>0.79630007183740903</v>
      </c>
      <c r="H32" s="150"/>
      <c r="I32" s="150">
        <f t="shared" si="5"/>
        <v>0.78424575609262015</v>
      </c>
      <c r="J32" s="150"/>
      <c r="K32" s="150"/>
      <c r="L32" s="150" t="e">
        <f t="shared" ref="L32" si="6">L28/L31</f>
        <v>#DIV/0!</v>
      </c>
      <c r="M32" s="150"/>
      <c r="N32" s="150" t="e">
        <f t="shared" si="5"/>
        <v>#DIV/0!</v>
      </c>
      <c r="O32" s="151">
        <f>O28/O31</f>
        <v>0.6713052193840795</v>
      </c>
    </row>
    <row r="33" spans="1:15" ht="16.5" thickTop="1">
      <c r="A33" s="145"/>
      <c r="B33" s="146"/>
      <c r="C33" s="146"/>
      <c r="D33" s="146"/>
      <c r="E33" s="150"/>
      <c r="F33" s="146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>
      <c r="A34" s="145"/>
      <c r="B34" s="146"/>
      <c r="C34" s="147" t="s">
        <v>529</v>
      </c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</row>
    <row r="35" spans="1:15">
      <c r="A35" s="145">
        <f>A32+1</f>
        <v>17</v>
      </c>
      <c r="B35" s="146"/>
      <c r="C35" s="146" t="s">
        <v>524</v>
      </c>
      <c r="D35" s="146"/>
      <c r="E35" s="123">
        <v>47915403</v>
      </c>
      <c r="F35" s="146"/>
      <c r="G35" s="123">
        <v>5299681</v>
      </c>
      <c r="H35" s="123">
        <f t="shared" ref="H35:M35" si="7">H22</f>
        <v>0</v>
      </c>
      <c r="I35" s="123">
        <v>7234464</v>
      </c>
      <c r="J35" s="123">
        <f t="shared" si="7"/>
        <v>0</v>
      </c>
      <c r="K35" s="123">
        <v>239063</v>
      </c>
      <c r="L35" s="123"/>
      <c r="M35" s="123">
        <f t="shared" si="7"/>
        <v>0</v>
      </c>
      <c r="N35" s="149"/>
      <c r="O35" s="149">
        <f>SUM(E35:N35)</f>
        <v>60688611</v>
      </c>
    </row>
    <row r="36" spans="1:15">
      <c r="A36" s="145">
        <f>A35+1</f>
        <v>18</v>
      </c>
      <c r="B36" s="146"/>
      <c r="C36" s="146" t="s">
        <v>525</v>
      </c>
      <c r="D36" s="146"/>
      <c r="E36" s="149">
        <v>16676011</v>
      </c>
      <c r="F36" s="149"/>
      <c r="G36" s="149">
        <v>1574736</v>
      </c>
      <c r="H36" s="149"/>
      <c r="I36" s="149">
        <v>3314630</v>
      </c>
      <c r="J36" s="149"/>
      <c r="K36" s="149">
        <v>160911</v>
      </c>
      <c r="L36" s="149"/>
      <c r="M36" s="149"/>
      <c r="N36" s="149"/>
      <c r="O36" s="149">
        <f t="shared" ref="O36:O37" si="8">SUM(E36:N36)</f>
        <v>21726288</v>
      </c>
    </row>
    <row r="37" spans="1:15">
      <c r="A37" s="145">
        <f t="shared" ref="A37:A38" si="9">A36+1</f>
        <v>19</v>
      </c>
      <c r="B37" s="146"/>
      <c r="C37" s="146" t="s">
        <v>526</v>
      </c>
      <c r="D37" s="146"/>
      <c r="E37" s="149">
        <v>1128377</v>
      </c>
      <c r="F37" s="149"/>
      <c r="G37" s="149">
        <v>142185</v>
      </c>
      <c r="H37" s="149"/>
      <c r="I37" s="149">
        <v>110577</v>
      </c>
      <c r="J37" s="149"/>
      <c r="K37" s="149">
        <v>10654</v>
      </c>
      <c r="L37" s="149"/>
      <c r="M37" s="149">
        <v>0</v>
      </c>
      <c r="N37" s="149"/>
      <c r="O37" s="149">
        <f t="shared" si="8"/>
        <v>1391793</v>
      </c>
    </row>
    <row r="38" spans="1:15">
      <c r="A38" s="145">
        <f t="shared" si="9"/>
        <v>20</v>
      </c>
      <c r="B38" s="146"/>
      <c r="C38" s="146" t="s">
        <v>527</v>
      </c>
      <c r="D38" s="146"/>
      <c r="E38" s="138">
        <f>SUM(E35:E37)</f>
        <v>65719791</v>
      </c>
      <c r="F38" s="146"/>
      <c r="G38" s="138">
        <f t="shared" ref="G38:O38" si="10">SUM(G35:G37)</f>
        <v>7016602</v>
      </c>
      <c r="H38" s="138">
        <f t="shared" si="10"/>
        <v>0</v>
      </c>
      <c r="I38" s="138">
        <f t="shared" si="10"/>
        <v>10659671</v>
      </c>
      <c r="J38" s="138"/>
      <c r="K38" s="138">
        <f t="shared" ref="K38:L38" si="11">SUM(K35:K37)</f>
        <v>410628</v>
      </c>
      <c r="L38" s="138">
        <f t="shared" si="11"/>
        <v>0</v>
      </c>
      <c r="M38" s="111">
        <f t="shared" si="10"/>
        <v>0</v>
      </c>
      <c r="N38" s="138">
        <f t="shared" si="10"/>
        <v>0</v>
      </c>
      <c r="O38" s="138">
        <f t="shared" si="10"/>
        <v>83806692</v>
      </c>
    </row>
    <row r="39" spans="1:15" ht="16.5" thickBot="1">
      <c r="A39" s="145">
        <f>A38+1</f>
        <v>21</v>
      </c>
      <c r="B39" s="146"/>
      <c r="C39" s="146" t="s">
        <v>528</v>
      </c>
      <c r="D39" s="146"/>
      <c r="E39" s="150">
        <f>E35/E38</f>
        <v>0.72908635695448276</v>
      </c>
      <c r="F39" s="146"/>
      <c r="G39" s="150">
        <f t="shared" ref="G39:N39" si="12">G35/G38</f>
        <v>0.75530591588350027</v>
      </c>
      <c r="H39" s="150"/>
      <c r="I39" s="150">
        <f t="shared" si="12"/>
        <v>0.6786761054820547</v>
      </c>
      <c r="J39" s="150"/>
      <c r="K39" s="150">
        <f t="shared" si="12"/>
        <v>0.58218874504417628</v>
      </c>
      <c r="L39" s="150" t="e">
        <f t="shared" si="12"/>
        <v>#DIV/0!</v>
      </c>
      <c r="M39" s="150"/>
      <c r="N39" s="150" t="e">
        <f t="shared" si="12"/>
        <v>#DIV/0!</v>
      </c>
      <c r="O39" s="151">
        <f>O35/O38</f>
        <v>0.72414994019809298</v>
      </c>
    </row>
    <row r="40" spans="1:15" ht="16.5" thickTop="1">
      <c r="A40" s="145"/>
      <c r="B40" s="146"/>
      <c r="C40" s="146"/>
      <c r="D40" s="146"/>
      <c r="E40" s="138"/>
      <c r="F40" s="146"/>
      <c r="G40" s="138"/>
      <c r="H40" s="138"/>
      <c r="I40" s="138"/>
      <c r="J40" s="138"/>
      <c r="K40" s="138"/>
      <c r="L40" s="138"/>
      <c r="M40" s="138"/>
      <c r="N40" s="138"/>
      <c r="O40" s="138"/>
    </row>
    <row r="41" spans="1:15">
      <c r="A41" s="145">
        <f>A39+1</f>
        <v>22</v>
      </c>
      <c r="B41" s="146"/>
      <c r="C41" s="146" t="s">
        <v>530</v>
      </c>
      <c r="D41" s="146"/>
      <c r="E41" s="138"/>
      <c r="F41" s="146"/>
      <c r="G41" s="138"/>
      <c r="H41" s="138"/>
      <c r="I41" s="138"/>
      <c r="J41" s="138"/>
      <c r="K41" s="138"/>
      <c r="L41" s="138"/>
      <c r="M41" s="138"/>
      <c r="N41" s="138"/>
      <c r="O41" s="138">
        <v>4018408</v>
      </c>
    </row>
    <row r="42" spans="1:15">
      <c r="A42" s="145">
        <f>A41+1</f>
        <v>23</v>
      </c>
      <c r="B42" s="146"/>
      <c r="C42" s="146" t="s">
        <v>531</v>
      </c>
      <c r="D42" s="146"/>
      <c r="E42" s="138"/>
      <c r="F42" s="146"/>
      <c r="G42" s="138"/>
      <c r="H42" s="138"/>
      <c r="I42" s="138"/>
      <c r="J42" s="138"/>
      <c r="K42" s="138"/>
      <c r="L42" s="138"/>
      <c r="M42" s="138"/>
      <c r="N42" s="138"/>
      <c r="O42" s="138">
        <v>20270374</v>
      </c>
    </row>
    <row r="43" spans="1:15">
      <c r="A43" s="145"/>
      <c r="B43" s="146"/>
      <c r="C43" s="146" t="s">
        <v>532</v>
      </c>
      <c r="D43" s="146"/>
      <c r="E43" s="138"/>
      <c r="F43" s="146"/>
      <c r="G43" s="138"/>
      <c r="H43" s="138"/>
      <c r="I43" s="138"/>
      <c r="J43" s="138"/>
      <c r="K43" s="138"/>
      <c r="L43" s="138"/>
      <c r="M43" s="138"/>
      <c r="N43" s="138"/>
      <c r="O43" s="138">
        <v>8250060</v>
      </c>
    </row>
    <row r="44" spans="1:15">
      <c r="A44" s="145"/>
      <c r="B44" s="146"/>
      <c r="C44" s="146"/>
      <c r="D44" s="146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>
      <c r="A45" s="145">
        <f>A42+1</f>
        <v>24</v>
      </c>
      <c r="B45" s="146"/>
      <c r="C45" s="146" t="s">
        <v>533</v>
      </c>
      <c r="D45" s="146"/>
      <c r="E45" s="138">
        <f>E31+E38+E41+E42</f>
        <v>282489891</v>
      </c>
      <c r="F45" s="146"/>
      <c r="G45" s="138">
        <f t="shared" ref="G45:N45" si="13">G31+G38+G41+G42</f>
        <v>24423967</v>
      </c>
      <c r="H45" s="138">
        <f t="shared" si="13"/>
        <v>0</v>
      </c>
      <c r="I45" s="138">
        <f t="shared" si="13"/>
        <v>13088388</v>
      </c>
      <c r="J45" s="138">
        <f t="shared" si="13"/>
        <v>0</v>
      </c>
      <c r="K45" s="138">
        <f t="shared" ref="K45:L45" si="14">K31+K38+K41+K42</f>
        <v>410628</v>
      </c>
      <c r="L45" s="138">
        <f t="shared" si="14"/>
        <v>0</v>
      </c>
      <c r="M45" s="138">
        <f t="shared" si="13"/>
        <v>1150952</v>
      </c>
      <c r="N45" s="138">
        <f t="shared" si="13"/>
        <v>0</v>
      </c>
      <c r="O45" s="138">
        <f>O31+O38+O41+O42+O43</f>
        <v>354102668</v>
      </c>
    </row>
    <row r="46" spans="1:15">
      <c r="A46" s="145"/>
      <c r="B46" s="146"/>
      <c r="C46" s="146"/>
      <c r="D46" s="146"/>
      <c r="E46" s="138"/>
      <c r="F46" s="146"/>
      <c r="G46" s="138"/>
      <c r="H46" s="138"/>
      <c r="I46" s="138"/>
      <c r="J46" s="138"/>
      <c r="K46" s="138"/>
      <c r="L46" s="138"/>
      <c r="M46" s="138"/>
      <c r="N46" s="138"/>
      <c r="O46" s="138"/>
    </row>
    <row r="47" spans="1:15">
      <c r="A47" s="145">
        <f>A45+1</f>
        <v>25</v>
      </c>
      <c r="B47" s="146"/>
      <c r="C47" s="146" t="s">
        <v>534</v>
      </c>
      <c r="D47" s="146"/>
      <c r="E47" s="150">
        <f>E35/(E28+E35)</f>
        <v>0.25060556705895953</v>
      </c>
      <c r="F47" s="146"/>
      <c r="G47" s="150">
        <f>G35/(G28+G35)</f>
        <v>0.27658445855620378</v>
      </c>
      <c r="H47" s="150" t="e">
        <f t="shared" ref="H47:L47" si="15">H38/H45</f>
        <v>#DIV/0!</v>
      </c>
      <c r="I47" s="150">
        <f>I35/(I28+I35)</f>
        <v>0.79158829981918499</v>
      </c>
      <c r="J47" s="150" t="e">
        <f t="shared" si="15"/>
        <v>#DIV/0!</v>
      </c>
      <c r="K47" s="150">
        <f>K35/(K28+K35)</f>
        <v>1</v>
      </c>
      <c r="L47" s="150" t="e">
        <f t="shared" si="15"/>
        <v>#DIV/0!</v>
      </c>
      <c r="M47" s="150"/>
      <c r="N47" s="146"/>
      <c r="O47" s="150">
        <f>O35/(O28+O35)</f>
        <v>0.27548639782355588</v>
      </c>
    </row>
    <row r="48" spans="1:15">
      <c r="A48" s="145">
        <f>A47+1</f>
        <v>26</v>
      </c>
      <c r="B48" s="146"/>
      <c r="C48" s="146" t="s">
        <v>535</v>
      </c>
      <c r="D48" s="146"/>
      <c r="E48" s="150">
        <f>E28/(E28+E35)</f>
        <v>0.74939443294104047</v>
      </c>
      <c r="F48" s="146"/>
      <c r="G48" s="150">
        <f>G28/(G28+G35)</f>
        <v>0.72341554144379616</v>
      </c>
      <c r="H48" s="150" t="e">
        <f t="shared" ref="H48:N48" si="16">H31/H45</f>
        <v>#DIV/0!</v>
      </c>
      <c r="I48" s="150">
        <f>I28/(I28+I35)</f>
        <v>0.20841170018081501</v>
      </c>
      <c r="J48" s="150" t="e">
        <f t="shared" si="16"/>
        <v>#DIV/0!</v>
      </c>
      <c r="K48" s="150">
        <f>K28/(K28+K35)</f>
        <v>0</v>
      </c>
      <c r="L48" s="150" t="e">
        <f t="shared" si="16"/>
        <v>#DIV/0!</v>
      </c>
      <c r="M48" s="150"/>
      <c r="N48" s="150" t="e">
        <f t="shared" si="16"/>
        <v>#DIV/0!</v>
      </c>
      <c r="O48" s="150">
        <f>O28/(O28+O35)</f>
        <v>0.72451360217644412</v>
      </c>
    </row>
  </sheetData>
  <phoneticPr fontId="0" type="noConversion"/>
  <printOptions horizontalCentered="1"/>
  <pageMargins left="0.75" right="0.56999999999999995" top="1" bottom="1" header="0.5" footer="0.5"/>
  <pageSetup scale="71" firstPageNumber="5" orientation="portrait" horizontalDpi="300" verticalDpi="300" r:id="rId1"/>
  <headerFooter alignWithMargins="0">
    <oddFooter>&amp;CExhibit BMG 1.1, WP 5
Page 5 of 6</oddFooter>
  </headerFooter>
  <colBreaks count="1" manualBreakCount="1">
    <brk id="1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51"/>
  <sheetViews>
    <sheetView topLeftCell="A28" zoomScaleNormal="100" workbookViewId="0">
      <selection activeCell="L43" sqref="L43"/>
    </sheetView>
  </sheetViews>
  <sheetFormatPr defaultColWidth="8.85546875" defaultRowHeight="15.75"/>
  <cols>
    <col min="1" max="1" width="6.7109375" style="303" customWidth="1"/>
    <col min="2" max="2" width="8.85546875" style="303"/>
    <col min="3" max="3" width="1.7109375" style="303" customWidth="1"/>
    <col min="4" max="4" width="12.5703125" style="303" bestFit="1" customWidth="1"/>
    <col min="5" max="5" width="10.85546875" style="303" bestFit="1" customWidth="1"/>
    <col min="6" max="7" width="9.7109375" style="303" bestFit="1" customWidth="1"/>
    <col min="8" max="8" width="10.85546875" style="303" bestFit="1" customWidth="1"/>
    <col min="9" max="16384" width="8.85546875" style="303"/>
  </cols>
  <sheetData>
    <row r="1" spans="1:14">
      <c r="A1" s="300" t="s">
        <v>0</v>
      </c>
      <c r="B1" s="302"/>
      <c r="D1" s="304"/>
      <c r="E1" s="304"/>
      <c r="F1" s="304"/>
      <c r="G1" s="304"/>
      <c r="H1" s="304"/>
    </row>
    <row r="2" spans="1:14">
      <c r="A2" s="301" t="str">
        <f>RevReq!A2</f>
        <v>Docket No. NG22-___</v>
      </c>
      <c r="B2" s="302"/>
      <c r="D2" s="304"/>
      <c r="E2" s="304"/>
      <c r="F2" s="304"/>
      <c r="G2" s="304"/>
      <c r="H2" s="304"/>
    </row>
    <row r="3" spans="1:14">
      <c r="A3" s="300" t="s">
        <v>124</v>
      </c>
      <c r="B3" s="302"/>
      <c r="D3" s="304"/>
      <c r="E3" s="304"/>
      <c r="F3" s="304"/>
      <c r="G3" s="304"/>
      <c r="H3" s="304"/>
    </row>
    <row r="4" spans="1:14">
      <c r="A4" s="300" t="s">
        <v>504</v>
      </c>
      <c r="B4" s="302"/>
      <c r="D4" s="304"/>
      <c r="E4" s="304"/>
      <c r="F4" s="304"/>
      <c r="G4" s="304"/>
      <c r="H4" s="304"/>
    </row>
    <row r="5" spans="1:14">
      <c r="A5" s="301" t="str">
        <f>RevReq!A4</f>
        <v>Test Year Ended December 31, 2021</v>
      </c>
      <c r="B5" s="302"/>
    </row>
    <row r="6" spans="1:14">
      <c r="A6" s="301"/>
      <c r="B6" s="302"/>
    </row>
    <row r="7" spans="1:14">
      <c r="A7" s="301"/>
      <c r="B7" s="302"/>
      <c r="D7" s="302"/>
      <c r="E7" s="305"/>
      <c r="F7" s="305"/>
      <c r="G7" s="305"/>
      <c r="H7" s="305"/>
    </row>
    <row r="8" spans="1:14">
      <c r="A8" s="301" t="s">
        <v>4</v>
      </c>
      <c r="B8" s="302"/>
      <c r="D8" s="302" t="s">
        <v>536</v>
      </c>
      <c r="E8" s="405" t="s">
        <v>424</v>
      </c>
      <c r="F8" s="405"/>
      <c r="G8" s="405"/>
      <c r="H8" s="405"/>
    </row>
    <row r="9" spans="1:14">
      <c r="A9" s="312" t="s">
        <v>5</v>
      </c>
      <c r="B9" s="313" t="s">
        <v>537</v>
      </c>
      <c r="C9" s="312"/>
      <c r="D9" s="313" t="s">
        <v>145</v>
      </c>
      <c r="E9" s="313" t="s">
        <v>145</v>
      </c>
      <c r="F9" s="313" t="s">
        <v>538</v>
      </c>
      <c r="G9" s="313" t="s">
        <v>539</v>
      </c>
      <c r="H9" s="313" t="s">
        <v>88</v>
      </c>
    </row>
    <row r="10" spans="1:14">
      <c r="A10" s="307" t="s">
        <v>53</v>
      </c>
      <c r="B10" s="307" t="s">
        <v>54</v>
      </c>
      <c r="C10" s="306"/>
      <c r="D10" s="307" t="s">
        <v>97</v>
      </c>
      <c r="E10" s="307" t="s">
        <v>98</v>
      </c>
      <c r="F10" s="307" t="s">
        <v>99</v>
      </c>
      <c r="G10" s="307" t="s">
        <v>100</v>
      </c>
      <c r="H10" s="307" t="s">
        <v>152</v>
      </c>
    </row>
    <row r="11" spans="1:14">
      <c r="A11" s="307"/>
      <c r="B11" s="307"/>
      <c r="C11" s="306"/>
      <c r="D11" s="307"/>
      <c r="E11" s="307"/>
      <c r="F11" s="307"/>
      <c r="G11" s="307"/>
      <c r="H11" s="307"/>
    </row>
    <row r="12" spans="1:14">
      <c r="A12" s="307"/>
      <c r="B12" s="307"/>
      <c r="C12" s="306"/>
      <c r="D12" s="307"/>
      <c r="E12" s="307"/>
      <c r="F12" s="307"/>
      <c r="G12" s="307"/>
      <c r="H12" s="307"/>
    </row>
    <row r="13" spans="1:14">
      <c r="A13" s="308">
        <v>1</v>
      </c>
      <c r="B13" s="309">
        <v>735</v>
      </c>
      <c r="C13" s="309"/>
      <c r="D13" s="310">
        <v>0</v>
      </c>
      <c r="E13" s="310">
        <f>D13/D$49*$E$49</f>
        <v>0</v>
      </c>
      <c r="F13" s="310"/>
      <c r="G13" s="310"/>
      <c r="H13" s="310">
        <f>SUM(E13:G13)</f>
        <v>0</v>
      </c>
      <c r="I13" s="309"/>
      <c r="J13" s="309"/>
      <c r="K13" s="309"/>
      <c r="L13" s="309"/>
      <c r="M13" s="309"/>
      <c r="N13" s="309"/>
    </row>
    <row r="14" spans="1:14">
      <c r="A14" s="311">
        <f>A13+1</f>
        <v>2</v>
      </c>
      <c r="B14" s="303">
        <v>813</v>
      </c>
      <c r="D14" s="304">
        <v>222912</v>
      </c>
      <c r="E14" s="304">
        <f t="shared" ref="E14:E47" si="0">D14/D$49*$E$49</f>
        <v>8685.8430446314978</v>
      </c>
      <c r="F14" s="304"/>
      <c r="G14" s="304"/>
      <c r="H14" s="304">
        <f t="shared" ref="H14:H48" si="1">SUM(E14:G14)</f>
        <v>8685.8430446314978</v>
      </c>
    </row>
    <row r="15" spans="1:14">
      <c r="A15" s="311">
        <f t="shared" ref="A15:A49" si="2">A14+1</f>
        <v>3</v>
      </c>
      <c r="B15" s="303">
        <v>840</v>
      </c>
      <c r="D15" s="304">
        <v>56487</v>
      </c>
      <c r="E15" s="304">
        <f t="shared" si="0"/>
        <v>2201.0354582171412</v>
      </c>
      <c r="F15" s="304"/>
      <c r="G15" s="304"/>
      <c r="H15" s="304">
        <f t="shared" si="1"/>
        <v>2201.0354582171412</v>
      </c>
    </row>
    <row r="16" spans="1:14">
      <c r="A16" s="311">
        <f t="shared" si="2"/>
        <v>4</v>
      </c>
      <c r="B16" s="303">
        <v>841</v>
      </c>
      <c r="D16" s="304">
        <v>105910</v>
      </c>
      <c r="E16" s="304">
        <f t="shared" si="0"/>
        <v>4126.8197174531742</v>
      </c>
      <c r="F16" s="304"/>
      <c r="G16" s="304"/>
      <c r="H16" s="304">
        <f t="shared" si="1"/>
        <v>4126.8197174531742</v>
      </c>
    </row>
    <row r="17" spans="1:8">
      <c r="A17" s="311">
        <f t="shared" si="2"/>
        <v>5</v>
      </c>
      <c r="B17" s="303">
        <v>843</v>
      </c>
      <c r="D17" s="304">
        <v>39310</v>
      </c>
      <c r="E17" s="304">
        <f t="shared" si="0"/>
        <v>1531.7277225293578</v>
      </c>
      <c r="F17" s="304"/>
      <c r="G17" s="304"/>
      <c r="H17" s="304">
        <f t="shared" si="1"/>
        <v>1531.7277225293578</v>
      </c>
    </row>
    <row r="18" spans="1:8">
      <c r="A18" s="311">
        <f t="shared" si="2"/>
        <v>6</v>
      </c>
      <c r="B18" s="303">
        <v>870</v>
      </c>
      <c r="D18" s="304">
        <v>868791</v>
      </c>
      <c r="E18" s="304">
        <f t="shared" si="0"/>
        <v>33852.741281709568</v>
      </c>
      <c r="F18" s="304"/>
      <c r="G18" s="304"/>
      <c r="H18" s="304">
        <f t="shared" si="1"/>
        <v>33852.741281709568</v>
      </c>
    </row>
    <row r="19" spans="1:8">
      <c r="A19" s="311">
        <f t="shared" si="2"/>
        <v>7</v>
      </c>
      <c r="B19" s="303">
        <v>871</v>
      </c>
      <c r="D19" s="304">
        <v>163147</v>
      </c>
      <c r="E19" s="304">
        <f t="shared" si="0"/>
        <v>6357.07918462216</v>
      </c>
      <c r="F19" s="304"/>
      <c r="G19" s="304"/>
      <c r="H19" s="304">
        <f t="shared" si="1"/>
        <v>6357.07918462216</v>
      </c>
    </row>
    <row r="20" spans="1:8">
      <c r="A20" s="311">
        <f t="shared" si="2"/>
        <v>8</v>
      </c>
      <c r="B20" s="303">
        <v>874</v>
      </c>
      <c r="D20" s="304">
        <v>533850</v>
      </c>
      <c r="E20" s="304">
        <f t="shared" si="0"/>
        <v>20801.649571923113</v>
      </c>
      <c r="F20" s="304"/>
      <c r="G20" s="304"/>
      <c r="H20" s="304">
        <f t="shared" si="1"/>
        <v>20801.649571923113</v>
      </c>
    </row>
    <row r="21" spans="1:8">
      <c r="A21" s="311">
        <f t="shared" si="2"/>
        <v>9</v>
      </c>
      <c r="B21" s="303">
        <v>875</v>
      </c>
      <c r="D21" s="304">
        <v>106986</v>
      </c>
      <c r="E21" s="304">
        <f t="shared" si="0"/>
        <v>4168.7464289627542</v>
      </c>
      <c r="F21" s="304"/>
      <c r="G21" s="304"/>
      <c r="H21" s="304">
        <f t="shared" si="1"/>
        <v>4168.7464289627542</v>
      </c>
    </row>
    <row r="22" spans="1:8">
      <c r="A22" s="311">
        <f t="shared" si="2"/>
        <v>10</v>
      </c>
      <c r="B22" s="303">
        <v>877</v>
      </c>
      <c r="D22" s="304">
        <v>44650</v>
      </c>
      <c r="E22" s="304">
        <f t="shared" si="0"/>
        <v>1739.8026662664925</v>
      </c>
      <c r="F22" s="304"/>
      <c r="G22" s="304"/>
      <c r="H22" s="304">
        <f t="shared" si="1"/>
        <v>1739.8026662664925</v>
      </c>
    </row>
    <row r="23" spans="1:8">
      <c r="A23" s="311">
        <f t="shared" si="2"/>
        <v>11</v>
      </c>
      <c r="B23" s="303">
        <v>878</v>
      </c>
      <c r="D23" s="304">
        <v>458639</v>
      </c>
      <c r="E23" s="304">
        <f t="shared" si="0"/>
        <v>17871.02698888685</v>
      </c>
      <c r="F23" s="304"/>
      <c r="G23" s="304"/>
      <c r="H23" s="304">
        <f t="shared" si="1"/>
        <v>17871.02698888685</v>
      </c>
    </row>
    <row r="24" spans="1:8">
      <c r="A24" s="311">
        <f t="shared" si="2"/>
        <v>12</v>
      </c>
      <c r="B24" s="303">
        <v>879</v>
      </c>
      <c r="D24" s="304">
        <v>618496</v>
      </c>
      <c r="E24" s="304">
        <f t="shared" si="0"/>
        <v>24099.910187573583</v>
      </c>
      <c r="F24" s="304"/>
      <c r="G24" s="304"/>
      <c r="H24" s="304">
        <f t="shared" si="1"/>
        <v>24099.910187573583</v>
      </c>
    </row>
    <row r="25" spans="1:8">
      <c r="A25" s="311">
        <f t="shared" si="2"/>
        <v>13</v>
      </c>
      <c r="B25" s="303">
        <v>880</v>
      </c>
      <c r="D25" s="304">
        <v>851066</v>
      </c>
      <c r="E25" s="304">
        <f t="shared" si="0"/>
        <v>33162.080536814305</v>
      </c>
      <c r="F25" s="304"/>
      <c r="G25" s="304"/>
      <c r="H25" s="304">
        <f t="shared" si="1"/>
        <v>33162.080536814305</v>
      </c>
    </row>
    <row r="26" spans="1:8">
      <c r="A26" s="311">
        <f t="shared" si="2"/>
        <v>14</v>
      </c>
      <c r="B26" s="303">
        <v>887</v>
      </c>
      <c r="D26" s="304">
        <v>482662</v>
      </c>
      <c r="E26" s="304">
        <f t="shared" si="0"/>
        <v>18807.091478287075</v>
      </c>
      <c r="F26" s="304"/>
      <c r="G26" s="304"/>
      <c r="H26" s="304">
        <f t="shared" si="1"/>
        <v>18807.091478287075</v>
      </c>
    </row>
    <row r="27" spans="1:8">
      <c r="A27" s="311">
        <f t="shared" si="2"/>
        <v>15</v>
      </c>
      <c r="B27" s="303">
        <v>889</v>
      </c>
      <c r="D27" s="304">
        <v>37358</v>
      </c>
      <c r="E27" s="304">
        <f t="shared" si="0"/>
        <v>1455.6673685640228</v>
      </c>
      <c r="F27" s="304"/>
      <c r="G27" s="304"/>
      <c r="H27" s="304">
        <f t="shared" si="1"/>
        <v>1455.6673685640228</v>
      </c>
    </row>
    <row r="28" spans="1:8">
      <c r="A28" s="311">
        <f t="shared" si="2"/>
        <v>16</v>
      </c>
      <c r="B28" s="303">
        <v>891</v>
      </c>
      <c r="D28" s="304">
        <v>36503</v>
      </c>
      <c r="E28" s="304">
        <f t="shared" si="0"/>
        <v>1422.3519983589199</v>
      </c>
      <c r="F28" s="304"/>
      <c r="G28" s="304"/>
      <c r="H28" s="304">
        <f t="shared" si="1"/>
        <v>1422.3519983589199</v>
      </c>
    </row>
    <row r="29" spans="1:8">
      <c r="A29" s="311">
        <f t="shared" si="2"/>
        <v>17</v>
      </c>
      <c r="B29" s="303">
        <v>892</v>
      </c>
      <c r="D29" s="304">
        <v>324449</v>
      </c>
      <c r="E29" s="304">
        <f t="shared" si="0"/>
        <v>12642.267307222783</v>
      </c>
      <c r="F29" s="304"/>
      <c r="G29" s="304"/>
      <c r="H29" s="304">
        <f t="shared" si="1"/>
        <v>12642.267307222783</v>
      </c>
    </row>
    <row r="30" spans="1:8">
      <c r="A30" s="311">
        <f t="shared" si="2"/>
        <v>18</v>
      </c>
      <c r="B30" s="303">
        <v>893</v>
      </c>
      <c r="D30" s="304">
        <v>125681</v>
      </c>
      <c r="E30" s="304">
        <f t="shared" si="0"/>
        <v>4897.2035587690716</v>
      </c>
      <c r="F30" s="304"/>
      <c r="G30" s="304"/>
      <c r="H30" s="304">
        <f t="shared" si="1"/>
        <v>4897.2035587690716</v>
      </c>
    </row>
    <row r="31" spans="1:8">
      <c r="A31" s="311">
        <f t="shared" si="2"/>
        <v>19</v>
      </c>
      <c r="B31" s="303">
        <v>901</v>
      </c>
      <c r="D31" s="304">
        <v>118423</v>
      </c>
      <c r="E31" s="304">
        <f t="shared" si="0"/>
        <v>4614.3930828057519</v>
      </c>
      <c r="F31" s="304"/>
      <c r="G31" s="304"/>
      <c r="H31" s="304">
        <f t="shared" si="1"/>
        <v>4614.3930828057519</v>
      </c>
    </row>
    <row r="32" spans="1:8">
      <c r="A32" s="311">
        <f t="shared" si="2"/>
        <v>20</v>
      </c>
      <c r="B32" s="303">
        <v>902</v>
      </c>
      <c r="D32" s="304">
        <v>236499</v>
      </c>
      <c r="E32" s="304">
        <f t="shared" si="0"/>
        <v>9215.2651908031185</v>
      </c>
      <c r="F32" s="304"/>
      <c r="G32" s="304"/>
      <c r="H32" s="304">
        <f t="shared" si="1"/>
        <v>9215.2651908031185</v>
      </c>
    </row>
    <row r="33" spans="1:8">
      <c r="A33" s="311">
        <f t="shared" si="2"/>
        <v>21</v>
      </c>
      <c r="B33" s="303">
        <v>903</v>
      </c>
      <c r="D33" s="304">
        <v>1548837</v>
      </c>
      <c r="E33" s="304">
        <f t="shared" si="0"/>
        <v>60350.96847059788</v>
      </c>
      <c r="F33" s="304"/>
      <c r="G33" s="304"/>
      <c r="H33" s="304">
        <f t="shared" si="1"/>
        <v>60350.96847059788</v>
      </c>
    </row>
    <row r="34" spans="1:8">
      <c r="A34" s="311">
        <f t="shared" si="2"/>
        <v>22</v>
      </c>
      <c r="B34" s="303">
        <v>904</v>
      </c>
      <c r="D34" s="304">
        <v>0</v>
      </c>
      <c r="E34" s="304">
        <f t="shared" si="0"/>
        <v>0</v>
      </c>
      <c r="F34" s="304"/>
      <c r="G34" s="304"/>
      <c r="H34" s="304">
        <f t="shared" si="1"/>
        <v>0</v>
      </c>
    </row>
    <row r="35" spans="1:8">
      <c r="A35" s="311">
        <f t="shared" si="2"/>
        <v>23</v>
      </c>
      <c r="B35" s="303">
        <v>905</v>
      </c>
      <c r="D35" s="304">
        <v>6067</v>
      </c>
      <c r="E35" s="304">
        <f t="shared" si="0"/>
        <v>236.4027497477897</v>
      </c>
      <c r="F35" s="304"/>
      <c r="G35" s="304"/>
      <c r="H35" s="304">
        <f t="shared" si="1"/>
        <v>236.4027497477897</v>
      </c>
    </row>
    <row r="36" spans="1:8">
      <c r="A36" s="311">
        <f t="shared" si="2"/>
        <v>24</v>
      </c>
      <c r="B36" s="303">
        <v>908</v>
      </c>
      <c r="D36" s="304">
        <v>0</v>
      </c>
      <c r="E36" s="304">
        <f t="shared" si="0"/>
        <v>0</v>
      </c>
      <c r="F36" s="304"/>
      <c r="G36" s="304"/>
      <c r="H36" s="304">
        <f t="shared" si="1"/>
        <v>0</v>
      </c>
    </row>
    <row r="37" spans="1:8">
      <c r="A37" s="311">
        <f t="shared" si="2"/>
        <v>25</v>
      </c>
      <c r="B37" s="303">
        <v>909</v>
      </c>
      <c r="D37" s="304">
        <v>0</v>
      </c>
      <c r="E37" s="304">
        <f t="shared" si="0"/>
        <v>0</v>
      </c>
      <c r="F37" s="304"/>
      <c r="G37" s="304"/>
      <c r="H37" s="304">
        <f t="shared" si="1"/>
        <v>0</v>
      </c>
    </row>
    <row r="38" spans="1:8">
      <c r="A38" s="311">
        <f t="shared" si="2"/>
        <v>26</v>
      </c>
      <c r="B38" s="303">
        <v>912</v>
      </c>
      <c r="D38" s="304">
        <v>79322</v>
      </c>
      <c r="E38" s="304">
        <f t="shared" si="0"/>
        <v>3090.8091174376423</v>
      </c>
      <c r="F38" s="304"/>
      <c r="G38" s="304"/>
      <c r="H38" s="304">
        <f t="shared" si="1"/>
        <v>3090.8091174376423</v>
      </c>
    </row>
    <row r="39" spans="1:8">
      <c r="A39" s="311">
        <f t="shared" si="2"/>
        <v>27</v>
      </c>
      <c r="B39" s="303">
        <v>916</v>
      </c>
      <c r="D39" s="304">
        <v>6637</v>
      </c>
      <c r="E39" s="304">
        <f t="shared" si="0"/>
        <v>258.61299655119171</v>
      </c>
      <c r="F39" s="304"/>
      <c r="G39" s="304"/>
      <c r="H39" s="304">
        <f t="shared" si="1"/>
        <v>258.61299655119171</v>
      </c>
    </row>
    <row r="40" spans="1:8">
      <c r="A40" s="311">
        <f t="shared" si="2"/>
        <v>28</v>
      </c>
      <c r="B40" s="303">
        <v>920</v>
      </c>
      <c r="D40" s="304">
        <v>671787</v>
      </c>
      <c r="E40" s="304">
        <f t="shared" si="0"/>
        <v>26176.412402310598</v>
      </c>
      <c r="F40" s="304"/>
      <c r="G40" s="304"/>
      <c r="H40" s="304">
        <f t="shared" si="1"/>
        <v>26176.412402310598</v>
      </c>
    </row>
    <row r="41" spans="1:8">
      <c r="A41" s="311">
        <f t="shared" si="2"/>
        <v>29</v>
      </c>
      <c r="B41" s="303">
        <v>922</v>
      </c>
      <c r="D41" s="304">
        <v>-108121</v>
      </c>
      <c r="E41" s="304">
        <f t="shared" si="0"/>
        <v>-4212.9720958432126</v>
      </c>
      <c r="F41" s="304"/>
      <c r="G41" s="304"/>
      <c r="H41" s="304">
        <f t="shared" si="1"/>
        <v>-4212.9720958432126</v>
      </c>
    </row>
    <row r="42" spans="1:8">
      <c r="A42" s="311">
        <f t="shared" si="2"/>
        <v>30</v>
      </c>
      <c r="B42" s="303">
        <v>924</v>
      </c>
      <c r="D42" s="304">
        <v>9462</v>
      </c>
      <c r="E42" s="304">
        <f t="shared" si="0"/>
        <v>368.69009693647376</v>
      </c>
      <c r="F42" s="304"/>
      <c r="G42" s="304"/>
      <c r="H42" s="304">
        <f t="shared" si="1"/>
        <v>368.69009693647376</v>
      </c>
    </row>
    <row r="43" spans="1:8">
      <c r="A43" s="311">
        <f t="shared" si="2"/>
        <v>31</v>
      </c>
      <c r="B43" s="303">
        <v>925</v>
      </c>
      <c r="D43" s="304">
        <v>14159</v>
      </c>
      <c r="E43" s="304">
        <f t="shared" si="0"/>
        <v>551.71032366556028</v>
      </c>
      <c r="F43" s="304"/>
      <c r="G43" s="304"/>
      <c r="H43" s="304">
        <f t="shared" si="1"/>
        <v>551.71032366556028</v>
      </c>
    </row>
    <row r="44" spans="1:8">
      <c r="A44" s="311">
        <f t="shared" si="2"/>
        <v>32</v>
      </c>
      <c r="B44" s="303">
        <v>926</v>
      </c>
      <c r="D44" s="304">
        <v>-1099080</v>
      </c>
      <c r="E44" s="304">
        <f t="shared" si="0"/>
        <v>-42826.03167839141</v>
      </c>
      <c r="F44" s="304">
        <f>'WP5-Payroll Adj'!F51</f>
        <v>28136.830198209918</v>
      </c>
      <c r="G44" s="304"/>
      <c r="H44" s="304">
        <f t="shared" si="1"/>
        <v>-14689.201480181491</v>
      </c>
    </row>
    <row r="45" spans="1:8">
      <c r="A45" s="311">
        <f t="shared" si="2"/>
        <v>33</v>
      </c>
      <c r="B45" s="303">
        <v>928</v>
      </c>
      <c r="D45" s="304">
        <v>1316</v>
      </c>
      <c r="E45" s="304">
        <f t="shared" si="0"/>
        <v>51.278394374170304</v>
      </c>
      <c r="F45" s="304"/>
      <c r="G45" s="304"/>
      <c r="H45" s="304">
        <f t="shared" si="1"/>
        <v>51.278394374170304</v>
      </c>
    </row>
    <row r="46" spans="1:8">
      <c r="A46" s="311">
        <f t="shared" si="2"/>
        <v>34</v>
      </c>
      <c r="B46" s="303">
        <v>930</v>
      </c>
      <c r="D46" s="304">
        <v>8303</v>
      </c>
      <c r="E46" s="304">
        <f t="shared" si="0"/>
        <v>323.52926176955623</v>
      </c>
      <c r="F46" s="304"/>
      <c r="G46" s="304"/>
      <c r="H46" s="304">
        <f t="shared" si="1"/>
        <v>323.52926176955623</v>
      </c>
    </row>
    <row r="47" spans="1:8">
      <c r="A47" s="311">
        <f t="shared" si="2"/>
        <v>35</v>
      </c>
      <c r="B47" s="303">
        <v>935</v>
      </c>
      <c r="D47" s="304">
        <v>0</v>
      </c>
      <c r="E47" s="304">
        <f t="shared" si="0"/>
        <v>0</v>
      </c>
      <c r="F47" s="304"/>
      <c r="G47" s="304"/>
      <c r="H47" s="304">
        <f t="shared" si="1"/>
        <v>0</v>
      </c>
    </row>
    <row r="48" spans="1:8">
      <c r="A48" s="311">
        <f t="shared" si="2"/>
        <v>36</v>
      </c>
      <c r="B48" s="303" t="s">
        <v>540</v>
      </c>
      <c r="D48" s="304"/>
      <c r="E48" s="304"/>
      <c r="F48" s="304"/>
      <c r="G48" s="304">
        <f>'WP5-Payroll Adj'!F57</f>
        <v>22734.763617843862</v>
      </c>
      <c r="H48" s="304">
        <f t="shared" si="1"/>
        <v>22734.763617843862</v>
      </c>
    </row>
    <row r="49" spans="1:8">
      <c r="A49" s="311">
        <f t="shared" si="2"/>
        <v>37</v>
      </c>
      <c r="B49" s="303" t="s">
        <v>88</v>
      </c>
      <c r="D49" s="403">
        <f>SUM(D13:D48)</f>
        <v>6570508</v>
      </c>
      <c r="E49" s="403">
        <f>'WP5-Payroll Adj'!F48</f>
        <v>256022.11281355697</v>
      </c>
      <c r="F49" s="403">
        <f t="shared" ref="F49:H49" si="3">SUM(F13:F48)</f>
        <v>28136.830198209918</v>
      </c>
      <c r="G49" s="403">
        <f t="shared" si="3"/>
        <v>22734.763617843862</v>
      </c>
      <c r="H49" s="403">
        <f t="shared" si="3"/>
        <v>306893.7066296108</v>
      </c>
    </row>
    <row r="50" spans="1:8">
      <c r="D50" s="304"/>
      <c r="E50" s="304"/>
      <c r="F50" s="304"/>
      <c r="G50" s="304"/>
      <c r="H50" s="304"/>
    </row>
    <row r="51" spans="1:8">
      <c r="D51" s="304"/>
      <c r="E51" s="304"/>
      <c r="F51" s="304"/>
      <c r="G51" s="304"/>
      <c r="H51" s="304"/>
    </row>
    <row r="52" spans="1:8">
      <c r="A52" s="303" t="s">
        <v>541</v>
      </c>
      <c r="D52" s="304"/>
      <c r="E52" s="304"/>
      <c r="F52" s="304"/>
      <c r="G52" s="304"/>
      <c r="H52" s="304"/>
    </row>
    <row r="53" spans="1:8">
      <c r="D53" s="304"/>
      <c r="E53" s="304"/>
      <c r="F53" s="304"/>
      <c r="G53" s="304"/>
      <c r="H53" s="304"/>
    </row>
    <row r="54" spans="1:8">
      <c r="D54" s="304"/>
      <c r="E54" s="304"/>
      <c r="F54" s="304"/>
      <c r="G54" s="304"/>
      <c r="H54" s="304"/>
    </row>
    <row r="55" spans="1:8">
      <c r="D55" s="304"/>
      <c r="E55" s="304"/>
      <c r="F55" s="304"/>
      <c r="G55" s="304"/>
      <c r="H55" s="304"/>
    </row>
    <row r="56" spans="1:8">
      <c r="D56" s="304"/>
      <c r="E56" s="304"/>
      <c r="F56" s="304"/>
      <c r="G56" s="304"/>
      <c r="H56" s="304"/>
    </row>
    <row r="57" spans="1:8">
      <c r="D57" s="304"/>
      <c r="E57" s="304"/>
      <c r="F57" s="304"/>
      <c r="G57" s="304"/>
      <c r="H57" s="304"/>
    </row>
    <row r="58" spans="1:8">
      <c r="D58" s="304"/>
      <c r="E58" s="304"/>
      <c r="F58" s="304"/>
      <c r="G58" s="304"/>
      <c r="H58" s="304"/>
    </row>
    <row r="59" spans="1:8">
      <c r="D59" s="304"/>
      <c r="E59" s="304"/>
      <c r="F59" s="304"/>
      <c r="G59" s="304"/>
      <c r="H59" s="304"/>
    </row>
    <row r="60" spans="1:8">
      <c r="D60" s="304"/>
      <c r="E60" s="304"/>
      <c r="F60" s="304"/>
      <c r="G60" s="304"/>
      <c r="H60" s="304"/>
    </row>
    <row r="61" spans="1:8">
      <c r="D61" s="304"/>
      <c r="E61" s="304"/>
      <c r="F61" s="304"/>
      <c r="G61" s="304"/>
      <c r="H61" s="304"/>
    </row>
    <row r="62" spans="1:8">
      <c r="D62" s="304"/>
      <c r="E62" s="304"/>
      <c r="F62" s="304"/>
      <c r="G62" s="304"/>
      <c r="H62" s="304"/>
    </row>
    <row r="63" spans="1:8">
      <c r="D63" s="304"/>
      <c r="E63" s="304"/>
      <c r="F63" s="304"/>
      <c r="G63" s="304"/>
      <c r="H63" s="304"/>
    </row>
    <row r="64" spans="1:8">
      <c r="D64" s="304"/>
      <c r="E64" s="304"/>
      <c r="F64" s="304"/>
      <c r="G64" s="304"/>
      <c r="H64" s="304"/>
    </row>
    <row r="65" spans="4:8">
      <c r="D65" s="304"/>
      <c r="E65" s="304"/>
      <c r="F65" s="304"/>
      <c r="G65" s="304"/>
      <c r="H65" s="304"/>
    </row>
    <row r="66" spans="4:8">
      <c r="D66" s="304"/>
      <c r="E66" s="304"/>
      <c r="F66" s="304"/>
      <c r="G66" s="304"/>
      <c r="H66" s="304"/>
    </row>
    <row r="67" spans="4:8">
      <c r="D67" s="304"/>
      <c r="E67" s="304"/>
      <c r="F67" s="304"/>
      <c r="G67" s="304"/>
      <c r="H67" s="304"/>
    </row>
    <row r="68" spans="4:8">
      <c r="D68" s="304"/>
      <c r="E68" s="304"/>
      <c r="F68" s="304"/>
      <c r="G68" s="304"/>
      <c r="H68" s="304"/>
    </row>
    <row r="69" spans="4:8">
      <c r="D69" s="304"/>
      <c r="E69" s="304"/>
      <c r="F69" s="304"/>
      <c r="G69" s="304"/>
      <c r="H69" s="304"/>
    </row>
    <row r="70" spans="4:8">
      <c r="D70" s="304"/>
      <c r="E70" s="304"/>
      <c r="F70" s="304"/>
      <c r="G70" s="304"/>
      <c r="H70" s="304"/>
    </row>
    <row r="71" spans="4:8">
      <c r="D71" s="304"/>
      <c r="E71" s="304"/>
      <c r="F71" s="304"/>
      <c r="G71" s="304"/>
      <c r="H71" s="304"/>
    </row>
    <row r="72" spans="4:8">
      <c r="D72" s="304"/>
      <c r="E72" s="304"/>
      <c r="F72" s="304"/>
      <c r="G72" s="304"/>
      <c r="H72" s="304"/>
    </row>
    <row r="73" spans="4:8">
      <c r="D73" s="304"/>
      <c r="E73" s="304"/>
      <c r="F73" s="304"/>
      <c r="G73" s="304"/>
      <c r="H73" s="304"/>
    </row>
    <row r="74" spans="4:8">
      <c r="D74" s="304"/>
      <c r="E74" s="304"/>
      <c r="F74" s="304"/>
      <c r="G74" s="304"/>
      <c r="H74" s="304"/>
    </row>
    <row r="75" spans="4:8">
      <c r="D75" s="304"/>
      <c r="E75" s="304"/>
      <c r="F75" s="304"/>
      <c r="G75" s="304"/>
      <c r="H75" s="304"/>
    </row>
    <row r="76" spans="4:8">
      <c r="D76" s="304"/>
      <c r="E76" s="304"/>
      <c r="F76" s="304"/>
      <c r="G76" s="304"/>
      <c r="H76" s="304"/>
    </row>
    <row r="77" spans="4:8">
      <c r="D77" s="304"/>
      <c r="E77" s="304"/>
      <c r="F77" s="304"/>
      <c r="G77" s="304"/>
      <c r="H77" s="304"/>
    </row>
    <row r="78" spans="4:8">
      <c r="D78" s="304"/>
      <c r="E78" s="304"/>
      <c r="F78" s="304"/>
      <c r="G78" s="304"/>
      <c r="H78" s="304"/>
    </row>
    <row r="79" spans="4:8">
      <c r="D79" s="304"/>
      <c r="E79" s="304"/>
      <c r="F79" s="304"/>
      <c r="G79" s="304"/>
      <c r="H79" s="304"/>
    </row>
    <row r="80" spans="4:8">
      <c r="D80" s="304"/>
      <c r="E80" s="304"/>
      <c r="F80" s="304"/>
      <c r="G80" s="304"/>
      <c r="H80" s="304"/>
    </row>
    <row r="81" spans="4:8">
      <c r="D81" s="304"/>
      <c r="E81" s="304"/>
      <c r="F81" s="304"/>
      <c r="G81" s="304"/>
      <c r="H81" s="304"/>
    </row>
    <row r="82" spans="4:8">
      <c r="D82" s="304"/>
      <c r="E82" s="304"/>
      <c r="F82" s="304"/>
      <c r="G82" s="304"/>
      <c r="H82" s="304"/>
    </row>
    <row r="83" spans="4:8">
      <c r="D83" s="304"/>
      <c r="E83" s="304"/>
      <c r="F83" s="304"/>
      <c r="G83" s="304"/>
      <c r="H83" s="304"/>
    </row>
    <row r="84" spans="4:8">
      <c r="D84" s="304"/>
      <c r="E84" s="304"/>
      <c r="F84" s="304"/>
      <c r="G84" s="304"/>
      <c r="H84" s="304"/>
    </row>
    <row r="85" spans="4:8">
      <c r="D85" s="304"/>
      <c r="E85" s="304"/>
      <c r="F85" s="304"/>
      <c r="G85" s="304"/>
      <c r="H85" s="304"/>
    </row>
    <row r="86" spans="4:8">
      <c r="D86" s="304"/>
      <c r="E86" s="304"/>
      <c r="F86" s="304"/>
      <c r="G86" s="304"/>
      <c r="H86" s="304"/>
    </row>
    <row r="87" spans="4:8">
      <c r="D87" s="304"/>
      <c r="E87" s="304"/>
      <c r="F87" s="304"/>
      <c r="G87" s="304"/>
      <c r="H87" s="304"/>
    </row>
    <row r="88" spans="4:8">
      <c r="D88" s="304"/>
      <c r="E88" s="304"/>
      <c r="F88" s="304"/>
      <c r="G88" s="304"/>
      <c r="H88" s="304"/>
    </row>
    <row r="89" spans="4:8">
      <c r="D89" s="304"/>
      <c r="E89" s="304"/>
      <c r="F89" s="304"/>
      <c r="G89" s="304"/>
      <c r="H89" s="304"/>
    </row>
    <row r="90" spans="4:8">
      <c r="D90" s="304"/>
      <c r="E90" s="304"/>
      <c r="F90" s="304"/>
      <c r="G90" s="304"/>
      <c r="H90" s="304"/>
    </row>
    <row r="91" spans="4:8">
      <c r="D91" s="304"/>
      <c r="E91" s="304"/>
      <c r="F91" s="304"/>
      <c r="G91" s="304"/>
      <c r="H91" s="304"/>
    </row>
    <row r="92" spans="4:8">
      <c r="D92" s="304"/>
      <c r="E92" s="304"/>
      <c r="F92" s="304"/>
      <c r="G92" s="304"/>
      <c r="H92" s="304"/>
    </row>
    <row r="93" spans="4:8">
      <c r="D93" s="304"/>
      <c r="E93" s="304"/>
      <c r="F93" s="304"/>
      <c r="G93" s="304"/>
      <c r="H93" s="304"/>
    </row>
    <row r="94" spans="4:8">
      <c r="D94" s="304"/>
      <c r="E94" s="304"/>
      <c r="F94" s="304"/>
      <c r="G94" s="304"/>
      <c r="H94" s="304"/>
    </row>
    <row r="95" spans="4:8">
      <c r="D95" s="304"/>
      <c r="E95" s="304"/>
      <c r="F95" s="304"/>
      <c r="G95" s="304"/>
      <c r="H95" s="304"/>
    </row>
    <row r="96" spans="4:8">
      <c r="D96" s="304"/>
      <c r="E96" s="304"/>
      <c r="F96" s="304"/>
      <c r="G96" s="304"/>
      <c r="H96" s="304"/>
    </row>
    <row r="97" spans="4:8">
      <c r="D97" s="304"/>
      <c r="E97" s="304"/>
      <c r="F97" s="304"/>
      <c r="G97" s="304"/>
      <c r="H97" s="304"/>
    </row>
    <row r="98" spans="4:8">
      <c r="D98" s="304"/>
      <c r="E98" s="304"/>
      <c r="F98" s="304"/>
      <c r="G98" s="304"/>
      <c r="H98" s="304"/>
    </row>
    <row r="99" spans="4:8">
      <c r="D99" s="304"/>
      <c r="E99" s="304"/>
      <c r="F99" s="304"/>
      <c r="G99" s="304"/>
      <c r="H99" s="304"/>
    </row>
    <row r="100" spans="4:8">
      <c r="D100" s="304"/>
      <c r="E100" s="304"/>
      <c r="F100" s="304"/>
      <c r="G100" s="304"/>
      <c r="H100" s="304"/>
    </row>
    <row r="101" spans="4:8">
      <c r="D101" s="304"/>
      <c r="E101" s="304"/>
      <c r="F101" s="304"/>
      <c r="G101" s="304"/>
      <c r="H101" s="304"/>
    </row>
    <row r="102" spans="4:8">
      <c r="D102" s="304"/>
      <c r="E102" s="304"/>
      <c r="F102" s="304"/>
      <c r="G102" s="304"/>
      <c r="H102" s="304"/>
    </row>
    <row r="103" spans="4:8">
      <c r="D103" s="304"/>
      <c r="E103" s="304"/>
      <c r="F103" s="304"/>
      <c r="G103" s="304"/>
      <c r="H103" s="304"/>
    </row>
    <row r="104" spans="4:8">
      <c r="D104" s="304"/>
      <c r="E104" s="304"/>
      <c r="F104" s="304"/>
      <c r="G104" s="304"/>
      <c r="H104" s="304"/>
    </row>
    <row r="105" spans="4:8">
      <c r="D105" s="304"/>
      <c r="E105" s="304"/>
      <c r="F105" s="304"/>
      <c r="G105" s="304"/>
      <c r="H105" s="304"/>
    </row>
    <row r="106" spans="4:8">
      <c r="D106" s="304"/>
      <c r="E106" s="304"/>
      <c r="F106" s="304"/>
      <c r="G106" s="304"/>
      <c r="H106" s="304"/>
    </row>
    <row r="107" spans="4:8">
      <c r="D107" s="304"/>
      <c r="E107" s="304"/>
      <c r="F107" s="304"/>
      <c r="G107" s="304"/>
      <c r="H107" s="304"/>
    </row>
    <row r="108" spans="4:8">
      <c r="D108" s="304"/>
      <c r="E108" s="304"/>
      <c r="F108" s="304"/>
      <c r="G108" s="304"/>
      <c r="H108" s="304"/>
    </row>
    <row r="109" spans="4:8">
      <c r="D109" s="304"/>
      <c r="E109" s="304"/>
      <c r="F109" s="304"/>
      <c r="G109" s="304"/>
      <c r="H109" s="304"/>
    </row>
    <row r="110" spans="4:8">
      <c r="D110" s="304"/>
      <c r="E110" s="304"/>
      <c r="F110" s="304"/>
      <c r="G110" s="304"/>
      <c r="H110" s="304"/>
    </row>
    <row r="111" spans="4:8">
      <c r="D111" s="304"/>
      <c r="E111" s="304"/>
      <c r="F111" s="304"/>
      <c r="G111" s="304"/>
      <c r="H111" s="304"/>
    </row>
    <row r="112" spans="4:8">
      <c r="D112" s="304"/>
      <c r="E112" s="304"/>
      <c r="F112" s="304"/>
      <c r="G112" s="304"/>
      <c r="H112" s="304"/>
    </row>
    <row r="113" spans="4:8">
      <c r="D113" s="304"/>
      <c r="E113" s="304"/>
      <c r="F113" s="304"/>
      <c r="G113" s="304"/>
      <c r="H113" s="304"/>
    </row>
    <row r="114" spans="4:8">
      <c r="D114" s="304"/>
      <c r="E114" s="304"/>
      <c r="F114" s="304"/>
      <c r="G114" s="304"/>
      <c r="H114" s="304"/>
    </row>
    <row r="115" spans="4:8">
      <c r="D115" s="304"/>
      <c r="E115" s="304"/>
      <c r="F115" s="304"/>
      <c r="G115" s="304"/>
      <c r="H115" s="304"/>
    </row>
    <row r="116" spans="4:8">
      <c r="D116" s="304"/>
      <c r="E116" s="304"/>
      <c r="F116" s="304"/>
      <c r="G116" s="304"/>
      <c r="H116" s="304"/>
    </row>
    <row r="117" spans="4:8">
      <c r="D117" s="304"/>
      <c r="E117" s="304"/>
      <c r="F117" s="304"/>
      <c r="G117" s="304"/>
      <c r="H117" s="304"/>
    </row>
    <row r="118" spans="4:8">
      <c r="D118" s="304"/>
      <c r="E118" s="304"/>
      <c r="F118" s="304"/>
      <c r="G118" s="304"/>
      <c r="H118" s="304"/>
    </row>
    <row r="119" spans="4:8">
      <c r="D119" s="304"/>
      <c r="E119" s="304"/>
      <c r="F119" s="304"/>
      <c r="G119" s="304"/>
      <c r="H119" s="304"/>
    </row>
    <row r="120" spans="4:8">
      <c r="D120" s="304"/>
      <c r="E120" s="304"/>
      <c r="F120" s="304"/>
      <c r="G120" s="304"/>
      <c r="H120" s="304"/>
    </row>
    <row r="121" spans="4:8">
      <c r="D121" s="304"/>
      <c r="E121" s="304"/>
      <c r="F121" s="304"/>
      <c r="G121" s="304"/>
      <c r="H121" s="304"/>
    </row>
    <row r="122" spans="4:8">
      <c r="D122" s="304"/>
      <c r="E122" s="304"/>
      <c r="F122" s="304"/>
      <c r="G122" s="304"/>
      <c r="H122" s="304"/>
    </row>
    <row r="123" spans="4:8">
      <c r="D123" s="304"/>
      <c r="E123" s="304"/>
      <c r="F123" s="304"/>
      <c r="G123" s="304"/>
      <c r="H123" s="304"/>
    </row>
    <row r="124" spans="4:8">
      <c r="D124" s="304"/>
      <c r="E124" s="304"/>
      <c r="F124" s="304"/>
      <c r="G124" s="304"/>
      <c r="H124" s="304"/>
    </row>
    <row r="125" spans="4:8">
      <c r="D125" s="304"/>
      <c r="E125" s="304"/>
      <c r="F125" s="304"/>
      <c r="G125" s="304"/>
      <c r="H125" s="304"/>
    </row>
    <row r="126" spans="4:8">
      <c r="D126" s="304"/>
      <c r="E126" s="304"/>
      <c r="F126" s="304"/>
      <c r="G126" s="304"/>
      <c r="H126" s="304"/>
    </row>
    <row r="127" spans="4:8">
      <c r="D127" s="304"/>
      <c r="E127" s="304"/>
      <c r="F127" s="304"/>
      <c r="G127" s="304"/>
      <c r="H127" s="304"/>
    </row>
    <row r="128" spans="4:8">
      <c r="D128" s="304"/>
      <c r="E128" s="304"/>
      <c r="F128" s="304"/>
      <c r="G128" s="304"/>
      <c r="H128" s="304"/>
    </row>
    <row r="129" spans="4:8">
      <c r="D129" s="304"/>
      <c r="E129" s="304"/>
      <c r="F129" s="304"/>
      <c r="G129" s="304"/>
      <c r="H129" s="304"/>
    </row>
    <row r="130" spans="4:8">
      <c r="D130" s="304"/>
      <c r="E130" s="304"/>
      <c r="F130" s="304"/>
      <c r="G130" s="304"/>
      <c r="H130" s="304"/>
    </row>
    <row r="131" spans="4:8">
      <c r="D131" s="304"/>
      <c r="E131" s="304"/>
      <c r="F131" s="304"/>
      <c r="G131" s="304"/>
      <c r="H131" s="304"/>
    </row>
    <row r="132" spans="4:8">
      <c r="D132" s="304"/>
      <c r="E132" s="304"/>
      <c r="F132" s="304"/>
      <c r="G132" s="304"/>
      <c r="H132" s="304"/>
    </row>
    <row r="133" spans="4:8">
      <c r="D133" s="304"/>
      <c r="E133" s="304"/>
      <c r="F133" s="304"/>
      <c r="G133" s="304"/>
      <c r="H133" s="304"/>
    </row>
    <row r="134" spans="4:8">
      <c r="D134" s="304"/>
      <c r="E134" s="304"/>
      <c r="F134" s="304"/>
      <c r="G134" s="304"/>
      <c r="H134" s="304"/>
    </row>
    <row r="135" spans="4:8">
      <c r="D135" s="304"/>
      <c r="E135" s="304"/>
      <c r="F135" s="304"/>
      <c r="G135" s="304"/>
      <c r="H135" s="304"/>
    </row>
    <row r="136" spans="4:8">
      <c r="D136" s="304"/>
      <c r="E136" s="304"/>
      <c r="F136" s="304"/>
      <c r="G136" s="304"/>
      <c r="H136" s="304"/>
    </row>
    <row r="137" spans="4:8">
      <c r="D137" s="304"/>
      <c r="E137" s="304"/>
      <c r="F137" s="304"/>
      <c r="G137" s="304"/>
      <c r="H137" s="304"/>
    </row>
    <row r="138" spans="4:8">
      <c r="D138" s="304"/>
      <c r="E138" s="304"/>
      <c r="F138" s="304"/>
      <c r="G138" s="304"/>
      <c r="H138" s="304"/>
    </row>
    <row r="139" spans="4:8">
      <c r="D139" s="304"/>
      <c r="E139" s="304"/>
      <c r="F139" s="304"/>
      <c r="G139" s="304"/>
      <c r="H139" s="304"/>
    </row>
    <row r="140" spans="4:8">
      <c r="D140" s="304"/>
      <c r="E140" s="304"/>
      <c r="F140" s="304"/>
      <c r="G140" s="304"/>
      <c r="H140" s="304"/>
    </row>
    <row r="141" spans="4:8">
      <c r="D141" s="304"/>
      <c r="E141" s="304"/>
      <c r="F141" s="304"/>
      <c r="G141" s="304"/>
      <c r="H141" s="304"/>
    </row>
    <row r="142" spans="4:8">
      <c r="D142" s="304"/>
      <c r="E142" s="304"/>
      <c r="F142" s="304"/>
      <c r="G142" s="304"/>
      <c r="H142" s="304"/>
    </row>
    <row r="143" spans="4:8">
      <c r="D143" s="304"/>
      <c r="E143" s="304"/>
      <c r="F143" s="304"/>
      <c r="G143" s="304"/>
      <c r="H143" s="304"/>
    </row>
    <row r="144" spans="4:8">
      <c r="D144" s="304"/>
      <c r="E144" s="304"/>
      <c r="F144" s="304"/>
      <c r="G144" s="304"/>
      <c r="H144" s="304"/>
    </row>
    <row r="145" spans="4:8">
      <c r="D145" s="304"/>
      <c r="E145" s="304"/>
      <c r="F145" s="304"/>
      <c r="G145" s="304"/>
      <c r="H145" s="304"/>
    </row>
    <row r="146" spans="4:8">
      <c r="D146" s="304"/>
      <c r="E146" s="304"/>
      <c r="F146" s="304"/>
      <c r="G146" s="304"/>
      <c r="H146" s="304"/>
    </row>
    <row r="147" spans="4:8">
      <c r="D147" s="304"/>
      <c r="E147" s="304"/>
      <c r="F147" s="304"/>
      <c r="G147" s="304"/>
      <c r="H147" s="304"/>
    </row>
    <row r="148" spans="4:8">
      <c r="D148" s="304"/>
      <c r="E148" s="304"/>
      <c r="F148" s="304"/>
      <c r="G148" s="304"/>
      <c r="H148" s="304"/>
    </row>
    <row r="149" spans="4:8">
      <c r="D149" s="304"/>
      <c r="E149" s="304"/>
      <c r="F149" s="304"/>
      <c r="G149" s="304"/>
      <c r="H149" s="304"/>
    </row>
    <row r="150" spans="4:8">
      <c r="D150" s="304"/>
      <c r="E150" s="304"/>
      <c r="F150" s="304"/>
      <c r="G150" s="304"/>
      <c r="H150" s="304"/>
    </row>
    <row r="151" spans="4:8">
      <c r="D151" s="304"/>
      <c r="E151" s="304"/>
      <c r="F151" s="304"/>
      <c r="G151" s="304"/>
      <c r="H151" s="304"/>
    </row>
  </sheetData>
  <mergeCells count="1">
    <mergeCell ref="E8:H8"/>
  </mergeCells>
  <pageMargins left="0.7" right="0.7" top="0.75" bottom="0.75" header="0.3" footer="0.3"/>
  <pageSetup scale="89" orientation="portrait" r:id="rId1"/>
  <headerFooter>
    <oddFooter>&amp;CExhibit BMG 1.1, WP 5
Page 6 of 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5"/>
  <sheetViews>
    <sheetView view="pageLayout" topLeftCell="A10" zoomScaleNormal="100" workbookViewId="0">
      <selection activeCell="E19" sqref="E19"/>
    </sheetView>
  </sheetViews>
  <sheetFormatPr defaultColWidth="8" defaultRowHeight="15.75"/>
  <cols>
    <col min="1" max="1" width="4.5703125" style="53" customWidth="1"/>
    <col min="2" max="2" width="0.85546875" style="53" customWidth="1"/>
    <col min="3" max="3" width="27" style="53" customWidth="1"/>
    <col min="4" max="4" width="0.85546875" style="53" customWidth="1"/>
    <col min="5" max="5" width="15.7109375" style="53" customWidth="1"/>
    <col min="6" max="6" width="0.85546875" style="53" customWidth="1"/>
    <col min="7" max="7" width="36" style="53" customWidth="1"/>
    <col min="8" max="16384" width="8" style="53"/>
  </cols>
  <sheetData>
    <row r="1" spans="1:7">
      <c r="A1" s="53" t="s">
        <v>0</v>
      </c>
    </row>
    <row r="2" spans="1:7">
      <c r="A2" s="17" t="s">
        <v>124</v>
      </c>
    </row>
    <row r="3" spans="1:7">
      <c r="A3" s="53" t="s">
        <v>206</v>
      </c>
    </row>
    <row r="4" spans="1:7">
      <c r="A4" s="2" t="str">
        <f>RevReq!A4</f>
        <v>Test Year Ended December 31, 2021</v>
      </c>
    </row>
    <row r="5" spans="1:7">
      <c r="A5" s="53" t="s">
        <v>1</v>
      </c>
      <c r="G5" s="64"/>
    </row>
    <row r="6" spans="1:7">
      <c r="G6" s="64"/>
    </row>
    <row r="7" spans="1:7">
      <c r="C7" s="54"/>
      <c r="E7" s="54"/>
    </row>
    <row r="8" spans="1:7">
      <c r="A8" s="17" t="s">
        <v>4</v>
      </c>
    </row>
    <row r="9" spans="1:7">
      <c r="A9" s="107" t="s">
        <v>5</v>
      </c>
      <c r="C9" s="55" t="s">
        <v>6</v>
      </c>
      <c r="E9" s="55" t="s">
        <v>457</v>
      </c>
      <c r="G9" s="55" t="s">
        <v>408</v>
      </c>
    </row>
    <row r="10" spans="1:7">
      <c r="A10" s="54"/>
      <c r="C10" s="54" t="s">
        <v>53</v>
      </c>
      <c r="E10" s="54" t="s">
        <v>54</v>
      </c>
      <c r="G10" s="54" t="s">
        <v>97</v>
      </c>
    </row>
    <row r="11" spans="1:7">
      <c r="A11" s="54"/>
      <c r="C11" s="54"/>
      <c r="E11" s="54"/>
    </row>
    <row r="12" spans="1:7">
      <c r="A12" s="56"/>
      <c r="C12" s="57"/>
    </row>
    <row r="13" spans="1:7">
      <c r="A13" s="56">
        <v>1</v>
      </c>
      <c r="C13" s="53" t="s">
        <v>207</v>
      </c>
      <c r="E13" s="58"/>
    </row>
    <row r="14" spans="1:7">
      <c r="A14" s="56">
        <f>+A13+1</f>
        <v>2</v>
      </c>
      <c r="C14" s="53" t="s">
        <v>542</v>
      </c>
    </row>
    <row r="15" spans="1:7">
      <c r="A15" s="56">
        <f>+A14+1</f>
        <v>3</v>
      </c>
      <c r="C15" s="53" t="s">
        <v>209</v>
      </c>
      <c r="E15" s="84">
        <v>894948</v>
      </c>
      <c r="G15" s="53" t="s">
        <v>543</v>
      </c>
    </row>
    <row r="16" spans="1:7">
      <c r="A16" s="56"/>
      <c r="E16" s="58"/>
    </row>
    <row r="17" spans="1:7">
      <c r="A17" s="56">
        <v>4</v>
      </c>
      <c r="C17" s="53" t="s">
        <v>544</v>
      </c>
      <c r="E17" s="152"/>
    </row>
    <row r="18" spans="1:7">
      <c r="A18" s="56"/>
    </row>
    <row r="19" spans="1:7">
      <c r="A19" s="56">
        <f>+A17+1</f>
        <v>5</v>
      </c>
      <c r="C19" s="153" t="s">
        <v>545</v>
      </c>
      <c r="E19" s="404">
        <f>E15</f>
        <v>894948</v>
      </c>
    </row>
    <row r="20" spans="1:7">
      <c r="A20" s="56"/>
    </row>
    <row r="21" spans="1:7">
      <c r="A21" s="56"/>
      <c r="E21" s="53" t="s">
        <v>546</v>
      </c>
    </row>
    <row r="23" spans="1:7">
      <c r="A23" s="56"/>
      <c r="C23" s="61"/>
      <c r="D23" s="61"/>
      <c r="E23" s="61"/>
      <c r="F23" s="61"/>
    </row>
    <row r="24" spans="1:7">
      <c r="A24" s="56"/>
      <c r="C24" s="61"/>
      <c r="D24" s="61"/>
      <c r="E24" s="65"/>
      <c r="F24" s="61"/>
    </row>
    <row r="25" spans="1:7">
      <c r="A25" s="56"/>
      <c r="C25" s="61"/>
      <c r="D25" s="61"/>
      <c r="E25" s="66"/>
      <c r="F25" s="62"/>
    </row>
    <row r="26" spans="1:7">
      <c r="A26" s="56"/>
      <c r="C26" s="61"/>
      <c r="D26" s="61"/>
      <c r="E26" s="62"/>
      <c r="F26" s="62"/>
    </row>
    <row r="27" spans="1:7">
      <c r="A27" s="60"/>
      <c r="B27" s="60"/>
      <c r="C27" s="67"/>
      <c r="D27" s="67"/>
      <c r="E27" s="67"/>
      <c r="F27" s="67"/>
      <c r="G27" s="60"/>
    </row>
    <row r="28" spans="1:7">
      <c r="A28" s="56"/>
      <c r="B28" s="60"/>
      <c r="C28" s="67"/>
      <c r="D28" s="67"/>
      <c r="E28" s="67"/>
      <c r="F28" s="67"/>
      <c r="G28" s="60"/>
    </row>
    <row r="29" spans="1:7">
      <c r="A29" s="60"/>
      <c r="B29" s="60"/>
      <c r="C29" s="67"/>
      <c r="D29" s="67"/>
      <c r="E29" s="67"/>
      <c r="F29" s="67"/>
      <c r="G29" s="60"/>
    </row>
    <row r="30" spans="1:7">
      <c r="A30" s="56"/>
      <c r="B30" s="60"/>
      <c r="C30" s="67"/>
      <c r="D30" s="67"/>
      <c r="E30" s="67"/>
      <c r="F30" s="67"/>
      <c r="G30" s="60"/>
    </row>
    <row r="31" spans="1:7">
      <c r="A31" s="60"/>
      <c r="B31" s="60"/>
      <c r="C31" s="67"/>
      <c r="D31" s="67"/>
      <c r="E31" s="67"/>
      <c r="F31" s="67"/>
      <c r="G31" s="60"/>
    </row>
    <row r="32" spans="1:7">
      <c r="A32" s="56"/>
      <c r="B32" s="60"/>
      <c r="C32" s="67"/>
      <c r="D32" s="67"/>
      <c r="E32" s="67"/>
      <c r="F32" s="67"/>
      <c r="G32" s="60"/>
    </row>
    <row r="33" spans="1:7">
      <c r="A33" s="60"/>
      <c r="B33" s="60"/>
      <c r="C33" s="60"/>
      <c r="D33" s="60"/>
      <c r="E33" s="60"/>
      <c r="F33" s="60"/>
      <c r="G33" s="60"/>
    </row>
    <row r="34" spans="1:7">
      <c r="A34" s="60"/>
      <c r="B34" s="60"/>
      <c r="C34" s="60"/>
      <c r="D34" s="60"/>
      <c r="E34" s="60"/>
      <c r="F34" s="60"/>
      <c r="G34" s="60"/>
    </row>
    <row r="35" spans="1:7">
      <c r="A35" s="60"/>
      <c r="B35" s="60"/>
      <c r="C35" s="60"/>
      <c r="D35" s="60"/>
      <c r="E35" s="60"/>
      <c r="F35" s="60"/>
      <c r="G35" s="60"/>
    </row>
  </sheetData>
  <phoneticPr fontId="7" type="noConversion"/>
  <printOptions horizontalCentered="1"/>
  <pageMargins left="0.75" right="0.75" top="1" bottom="1" header="0.5" footer="0.5"/>
  <pageSetup orientation="portrait" r:id="rId1"/>
  <headerFooter alignWithMargins="0">
    <oddFooter>&amp;CExhibit BMG 1.1, WP 6
Page 1 of 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9"/>
  <dimension ref="A1:H34"/>
  <sheetViews>
    <sheetView view="pageLayout" zoomScaleNormal="100" workbookViewId="0">
      <selection activeCell="A6" sqref="A6"/>
    </sheetView>
  </sheetViews>
  <sheetFormatPr defaultColWidth="8" defaultRowHeight="15.75"/>
  <cols>
    <col min="1" max="1" width="4.42578125" style="2" customWidth="1"/>
    <col min="2" max="2" width="0.85546875" style="2" customWidth="1"/>
    <col min="3" max="3" width="15.140625" style="2" customWidth="1"/>
    <col min="4" max="4" width="26.42578125" style="2" customWidth="1"/>
    <col min="5" max="5" width="0.85546875" style="2" customWidth="1"/>
    <col min="6" max="6" width="13.5703125" style="25" customWidth="1"/>
    <col min="7" max="7" width="0.85546875" style="2" customWidth="1"/>
    <col min="8" max="8" width="26.28515625" style="2" customWidth="1"/>
    <col min="9" max="16384" width="8" style="2"/>
  </cols>
  <sheetData>
    <row r="1" spans="1:8">
      <c r="A1" s="2" t="s">
        <v>0</v>
      </c>
    </row>
    <row r="2" spans="1:8">
      <c r="A2" s="2" t="str">
        <f>RevReq!A2</f>
        <v>Docket No. NG22-___</v>
      </c>
    </row>
    <row r="3" spans="1:8">
      <c r="A3" s="2" t="s">
        <v>124</v>
      </c>
    </row>
    <row r="4" spans="1:8">
      <c r="A4" s="2" t="s">
        <v>547</v>
      </c>
    </row>
    <row r="5" spans="1:8">
      <c r="A5" s="2" t="str">
        <f>RevReq!A4</f>
        <v>Test Year Ended December 31, 2021</v>
      </c>
    </row>
    <row r="8" spans="1:8">
      <c r="A8" s="17" t="s">
        <v>4</v>
      </c>
    </row>
    <row r="9" spans="1:8">
      <c r="A9" s="316" t="s">
        <v>5</v>
      </c>
      <c r="C9" s="406" t="s">
        <v>6</v>
      </c>
      <c r="D9" s="407"/>
      <c r="F9" s="315" t="s">
        <v>457</v>
      </c>
      <c r="H9" s="314" t="s">
        <v>408</v>
      </c>
    </row>
    <row r="10" spans="1:8">
      <c r="C10" s="408" t="s">
        <v>53</v>
      </c>
      <c r="D10" s="409"/>
      <c r="F10" s="51" t="s">
        <v>54</v>
      </c>
      <c r="H10" s="4" t="s">
        <v>97</v>
      </c>
    </row>
    <row r="11" spans="1:8">
      <c r="C11" s="4"/>
      <c r="F11" s="51"/>
      <c r="H11" s="4"/>
    </row>
    <row r="12" spans="1:8">
      <c r="A12" s="109">
        <v>1</v>
      </c>
      <c r="C12" s="2" t="s">
        <v>548</v>
      </c>
      <c r="F12" s="25">
        <f>'WP7pg2-Pension Costs '!L25</f>
        <v>-516702.91387430491</v>
      </c>
      <c r="H12" s="2" t="s">
        <v>549</v>
      </c>
    </row>
    <row r="13" spans="1:8">
      <c r="A13" s="109">
        <f>A12+1</f>
        <v>2</v>
      </c>
      <c r="C13" s="2" t="s">
        <v>550</v>
      </c>
      <c r="F13" s="25">
        <f>'WP7pg2-Pension Costs '!L33</f>
        <v>91264.03790765944</v>
      </c>
      <c r="H13" s="2" t="s">
        <v>549</v>
      </c>
    </row>
    <row r="14" spans="1:8">
      <c r="A14" s="109">
        <f>A13+1</f>
        <v>3</v>
      </c>
      <c r="C14" s="2" t="s">
        <v>551</v>
      </c>
      <c r="F14" s="73">
        <f>'WP7pg2-Pension Costs '!L41</f>
        <v>-43240.65660795063</v>
      </c>
      <c r="H14" s="2" t="s">
        <v>549</v>
      </c>
    </row>
    <row r="15" spans="1:8">
      <c r="A15" s="109">
        <f t="shared" ref="A15:A27" si="0">A14+1</f>
        <v>4</v>
      </c>
      <c r="C15" s="2" t="s">
        <v>88</v>
      </c>
      <c r="F15" s="25">
        <f>SUM(F12:F14)</f>
        <v>-468679.53257459612</v>
      </c>
      <c r="H15" s="2" t="s">
        <v>552</v>
      </c>
    </row>
    <row r="16" spans="1:8">
      <c r="A16" s="109">
        <f t="shared" si="0"/>
        <v>5</v>
      </c>
    </row>
    <row r="17" spans="1:8">
      <c r="A17" s="109">
        <f t="shared" si="0"/>
        <v>6</v>
      </c>
      <c r="C17" s="2" t="s">
        <v>553</v>
      </c>
      <c r="F17" s="25">
        <f>'WP7pg2-Pension Costs '!L12</f>
        <v>-767855</v>
      </c>
      <c r="H17" s="2" t="s">
        <v>549</v>
      </c>
    </row>
    <row r="18" spans="1:8">
      <c r="A18" s="109">
        <f t="shared" si="0"/>
        <v>7</v>
      </c>
      <c r="C18" s="2" t="s">
        <v>554</v>
      </c>
      <c r="F18" s="25">
        <f>'WP7pg2-Pension Costs '!L14</f>
        <v>88815</v>
      </c>
      <c r="H18" s="2" t="s">
        <v>549</v>
      </c>
    </row>
    <row r="19" spans="1:8">
      <c r="A19" s="109">
        <f t="shared" si="0"/>
        <v>8</v>
      </c>
      <c r="C19" s="2" t="s">
        <v>555</v>
      </c>
      <c r="F19" s="73">
        <f>'WP7pg2-Pension Costs '!L16</f>
        <v>11567</v>
      </c>
      <c r="H19" s="2" t="s">
        <v>549</v>
      </c>
    </row>
    <row r="20" spans="1:8">
      <c r="A20" s="109">
        <f t="shared" si="0"/>
        <v>9</v>
      </c>
      <c r="C20" s="2" t="s">
        <v>88</v>
      </c>
      <c r="F20" s="25">
        <f>SUM(F17:F19)</f>
        <v>-667473</v>
      </c>
      <c r="H20" s="2" t="s">
        <v>556</v>
      </c>
    </row>
    <row r="21" spans="1:8">
      <c r="A21" s="109">
        <f t="shared" si="0"/>
        <v>10</v>
      </c>
    </row>
    <row r="22" spans="1:8">
      <c r="A22" s="109">
        <f t="shared" si="0"/>
        <v>11</v>
      </c>
      <c r="C22" s="2" t="s">
        <v>420</v>
      </c>
      <c r="F22" s="25">
        <f>F15-F20</f>
        <v>198793.46742540388</v>
      </c>
      <c r="H22" s="2" t="s">
        <v>557</v>
      </c>
    </row>
    <row r="23" spans="1:8">
      <c r="A23" s="109">
        <f t="shared" si="0"/>
        <v>12</v>
      </c>
      <c r="C23" s="2" t="s">
        <v>558</v>
      </c>
      <c r="F23" s="70">
        <f>'WP5 p.5-DirectPay2021'!O39</f>
        <v>0.72414994019809298</v>
      </c>
      <c r="H23" s="2" t="s">
        <v>559</v>
      </c>
    </row>
    <row r="24" spans="1:8">
      <c r="A24" s="109">
        <f t="shared" si="0"/>
        <v>13</v>
      </c>
      <c r="C24" s="2" t="s">
        <v>560</v>
      </c>
      <c r="F24" s="25">
        <f>F22*F23</f>
        <v>143956.27754787778</v>
      </c>
      <c r="H24" s="2" t="s">
        <v>561</v>
      </c>
    </row>
    <row r="25" spans="1:8">
      <c r="A25" s="109">
        <f t="shared" si="0"/>
        <v>14</v>
      </c>
    </row>
    <row r="26" spans="1:8" ht="16.5" thickBot="1">
      <c r="A26" s="109">
        <f t="shared" si="0"/>
        <v>15</v>
      </c>
      <c r="C26" s="15" t="s">
        <v>424</v>
      </c>
    </row>
    <row r="27" spans="1:8" s="15" customFormat="1" ht="16.5" thickBot="1">
      <c r="A27" s="109">
        <f t="shared" si="0"/>
        <v>16</v>
      </c>
      <c r="C27" s="15" t="s">
        <v>562</v>
      </c>
      <c r="F27" s="52">
        <f>F24</f>
        <v>143956.27754787778</v>
      </c>
    </row>
    <row r="28" spans="1:8">
      <c r="A28" s="6"/>
    </row>
    <row r="29" spans="1:8">
      <c r="A29" s="6"/>
      <c r="F29" s="2" t="s">
        <v>563</v>
      </c>
    </row>
    <row r="30" spans="1:8">
      <c r="A30" s="6"/>
    </row>
    <row r="31" spans="1:8">
      <c r="A31" s="6"/>
    </row>
    <row r="32" spans="1:8">
      <c r="A32" s="6"/>
    </row>
    <row r="33" spans="1:1">
      <c r="A33" s="6"/>
    </row>
    <row r="34" spans="1:1">
      <c r="A34" s="6"/>
    </row>
  </sheetData>
  <mergeCells count="2">
    <mergeCell ref="C9:D9"/>
    <mergeCell ref="C10:D10"/>
  </mergeCells>
  <phoneticPr fontId="7" type="noConversion"/>
  <printOptions horizontalCentered="1"/>
  <pageMargins left="0.75" right="0.75" top="1" bottom="1" header="0.5" footer="0.5"/>
  <pageSetup orientation="portrait" r:id="rId1"/>
  <headerFooter alignWithMargins="0">
    <oddFooter>&amp;CExhibit BMG 1.1, WP 7
Page 1 of 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0">
    <pageSetUpPr fitToPage="1"/>
  </sheetPr>
  <dimension ref="A1:N41"/>
  <sheetViews>
    <sheetView view="pageLayout" zoomScaleNormal="100" workbookViewId="0">
      <selection activeCell="A6" sqref="A6"/>
    </sheetView>
  </sheetViews>
  <sheetFormatPr defaultColWidth="8" defaultRowHeight="15.75"/>
  <cols>
    <col min="1" max="1" width="4.42578125" style="116" customWidth="1"/>
    <col min="2" max="2" width="1" style="116" customWidth="1"/>
    <col min="3" max="3" width="15.28515625" style="116" customWidth="1"/>
    <col min="4" max="4" width="15.7109375" style="116" customWidth="1"/>
    <col min="5" max="5" width="1" style="116" customWidth="1"/>
    <col min="6" max="6" width="19.5703125" style="116" customWidth="1"/>
    <col min="7" max="7" width="1" style="116" customWidth="1"/>
    <col min="8" max="8" width="15.140625" style="116" bestFit="1" customWidth="1"/>
    <col min="9" max="9" width="1" style="116" customWidth="1"/>
    <col min="10" max="10" width="14.42578125" style="116" bestFit="1" customWidth="1"/>
    <col min="11" max="11" width="1" style="116" customWidth="1"/>
    <col min="12" max="12" width="12.42578125" style="111" bestFit="1" customWidth="1"/>
    <col min="13" max="13" width="1" style="116" customWidth="1"/>
    <col min="14" max="14" width="24.140625" style="116" customWidth="1"/>
    <col min="15" max="16384" width="8" style="116"/>
  </cols>
  <sheetData>
    <row r="1" spans="1:14">
      <c r="A1" s="116" t="s">
        <v>0</v>
      </c>
      <c r="L1" s="116"/>
    </row>
    <row r="2" spans="1:14">
      <c r="A2" s="116" t="str">
        <f>RevReq!A2</f>
        <v>Docket No. NG22-___</v>
      </c>
      <c r="L2" s="116"/>
    </row>
    <row r="3" spans="1:14">
      <c r="A3" s="116" t="s">
        <v>124</v>
      </c>
      <c r="L3" s="116"/>
    </row>
    <row r="4" spans="1:14">
      <c r="A4" s="116" t="s">
        <v>547</v>
      </c>
      <c r="L4" s="116"/>
    </row>
    <row r="5" spans="1:14">
      <c r="A5" s="116" t="str">
        <f>RevReq!A4</f>
        <v>Test Year Ended December 31, 2021</v>
      </c>
      <c r="L5" s="154"/>
    </row>
    <row r="6" spans="1:14">
      <c r="L6" s="154"/>
    </row>
    <row r="7" spans="1:14">
      <c r="H7" s="120"/>
      <c r="J7" s="120"/>
      <c r="L7" s="154" t="s">
        <v>50</v>
      </c>
    </row>
    <row r="8" spans="1:14">
      <c r="A8" s="116" t="s">
        <v>4</v>
      </c>
      <c r="C8" s="412"/>
      <c r="D8" s="413"/>
      <c r="F8" s="120"/>
      <c r="H8" s="120" t="s">
        <v>88</v>
      </c>
      <c r="J8" s="120" t="s">
        <v>88</v>
      </c>
      <c r="L8" s="158" t="s">
        <v>51</v>
      </c>
      <c r="N8" s="120"/>
    </row>
    <row r="9" spans="1:14">
      <c r="A9" s="155" t="s">
        <v>5</v>
      </c>
      <c r="C9" s="410" t="s">
        <v>6</v>
      </c>
      <c r="D9" s="411"/>
      <c r="F9" s="157" t="s">
        <v>537</v>
      </c>
      <c r="H9" s="156" t="s">
        <v>507</v>
      </c>
      <c r="J9" s="156" t="s">
        <v>52</v>
      </c>
      <c r="L9" s="157" t="s">
        <v>52</v>
      </c>
      <c r="N9" s="156" t="s">
        <v>408</v>
      </c>
    </row>
    <row r="10" spans="1:14">
      <c r="A10" s="119"/>
      <c r="C10" s="120" t="s">
        <v>53</v>
      </c>
      <c r="F10" s="120" t="s">
        <v>54</v>
      </c>
      <c r="G10" s="120"/>
      <c r="H10" s="120" t="s">
        <v>97</v>
      </c>
      <c r="I10" s="120"/>
      <c r="J10" s="120" t="s">
        <v>98</v>
      </c>
      <c r="K10" s="120"/>
      <c r="L10" s="158" t="s">
        <v>99</v>
      </c>
      <c r="M10" s="120"/>
      <c r="N10" s="120" t="s">
        <v>100</v>
      </c>
    </row>
    <row r="11" spans="1:14">
      <c r="A11" s="159"/>
      <c r="H11" s="123"/>
      <c r="I11" s="123"/>
      <c r="J11" s="123"/>
      <c r="K11" s="123"/>
      <c r="L11" s="123"/>
    </row>
    <row r="12" spans="1:14">
      <c r="A12" s="122">
        <v>1</v>
      </c>
      <c r="C12" s="116" t="s">
        <v>564</v>
      </c>
      <c r="F12" s="116" t="s">
        <v>565</v>
      </c>
      <c r="H12" s="160">
        <f>H21</f>
        <v>-22053763</v>
      </c>
      <c r="I12" s="123"/>
      <c r="J12" s="123">
        <f>546476-6839521</f>
        <v>-6293045</v>
      </c>
      <c r="K12" s="123"/>
      <c r="L12" s="123">
        <f>67109-834964</f>
        <v>-767855</v>
      </c>
      <c r="N12" s="116" t="s">
        <v>566</v>
      </c>
    </row>
    <row r="13" spans="1:14">
      <c r="A13" s="122">
        <f>A12+1</f>
        <v>2</v>
      </c>
      <c r="C13" s="116" t="s">
        <v>567</v>
      </c>
      <c r="H13" s="160"/>
      <c r="I13" s="123"/>
      <c r="J13" s="124">
        <f>J12/H12</f>
        <v>0.28535016903917937</v>
      </c>
      <c r="K13" s="124"/>
      <c r="L13" s="124">
        <f>L12/J12</f>
        <v>0.12201644831715013</v>
      </c>
    </row>
    <row r="14" spans="1:14">
      <c r="A14" s="122">
        <f t="shared" ref="A14:A41" si="0">A13+1</f>
        <v>3</v>
      </c>
      <c r="C14" s="116" t="s">
        <v>568</v>
      </c>
      <c r="F14" s="116">
        <v>926.22500000000002</v>
      </c>
      <c r="H14" s="160">
        <f>H29</f>
        <v>2490130</v>
      </c>
      <c r="I14" s="123"/>
      <c r="J14" s="123">
        <v>723223</v>
      </c>
      <c r="K14" s="123"/>
      <c r="L14" s="123">
        <v>88815</v>
      </c>
      <c r="N14" s="116" t="s">
        <v>569</v>
      </c>
    </row>
    <row r="15" spans="1:14">
      <c r="A15" s="122">
        <f t="shared" si="0"/>
        <v>4</v>
      </c>
      <c r="C15" s="116" t="s">
        <v>567</v>
      </c>
      <c r="H15" s="160"/>
      <c r="I15" s="123"/>
      <c r="J15" s="124">
        <f>J14/H14</f>
        <v>0.29043584069907996</v>
      </c>
      <c r="K15" s="124"/>
      <c r="L15" s="124">
        <f>L14/J14</f>
        <v>0.12280444620815432</v>
      </c>
    </row>
    <row r="16" spans="1:14">
      <c r="A16" s="122">
        <f t="shared" si="0"/>
        <v>5</v>
      </c>
      <c r="C16" s="116" t="s">
        <v>570</v>
      </c>
      <c r="F16" s="116" t="s">
        <v>571</v>
      </c>
      <c r="H16" s="160">
        <f>H37</f>
        <v>573665</v>
      </c>
      <c r="I16" s="123"/>
      <c r="J16" s="123">
        <f>1450595-1363896</f>
        <v>86699</v>
      </c>
      <c r="K16" s="123"/>
      <c r="L16" s="123">
        <f>178762-167195</f>
        <v>11567</v>
      </c>
      <c r="N16" s="116" t="s">
        <v>572</v>
      </c>
    </row>
    <row r="17" spans="1:14">
      <c r="A17" s="122">
        <f t="shared" si="0"/>
        <v>6</v>
      </c>
      <c r="C17" s="116" t="s">
        <v>567</v>
      </c>
      <c r="H17" s="123"/>
      <c r="I17" s="123"/>
      <c r="J17" s="124">
        <f>J16/H16</f>
        <v>0.15113175808180732</v>
      </c>
      <c r="K17" s="124"/>
      <c r="L17" s="124">
        <f>L16/J16</f>
        <v>0.13341561032999227</v>
      </c>
    </row>
    <row r="18" spans="1:14">
      <c r="A18" s="122">
        <f t="shared" si="0"/>
        <v>7</v>
      </c>
      <c r="H18" s="161"/>
      <c r="J18" s="123"/>
      <c r="K18" s="123"/>
      <c r="L18" s="123"/>
    </row>
    <row r="19" spans="1:14">
      <c r="A19" s="122">
        <f t="shared" si="0"/>
        <v>8</v>
      </c>
      <c r="H19" s="162"/>
      <c r="J19" s="123"/>
      <c r="K19" s="123"/>
      <c r="L19" s="123"/>
    </row>
    <row r="20" spans="1:14">
      <c r="A20" s="122">
        <f t="shared" si="0"/>
        <v>9</v>
      </c>
      <c r="C20" s="116" t="s">
        <v>573</v>
      </c>
      <c r="H20" s="163">
        <v>-6530925</v>
      </c>
      <c r="J20" s="123"/>
      <c r="K20" s="123"/>
      <c r="L20" s="123"/>
      <c r="N20" s="116" t="s">
        <v>574</v>
      </c>
    </row>
    <row r="21" spans="1:14">
      <c r="A21" s="122">
        <f t="shared" si="0"/>
        <v>10</v>
      </c>
      <c r="C21" s="116" t="s">
        <v>575</v>
      </c>
      <c r="H21" s="163">
        <v>-22053763</v>
      </c>
      <c r="J21" s="123"/>
      <c r="K21" s="123"/>
      <c r="L21" s="123"/>
      <c r="N21" s="116" t="s">
        <v>576</v>
      </c>
    </row>
    <row r="22" spans="1:14">
      <c r="A22" s="122">
        <f t="shared" si="0"/>
        <v>11</v>
      </c>
      <c r="C22" s="116" t="s">
        <v>577</v>
      </c>
      <c r="H22" s="164">
        <v>-15936388</v>
      </c>
      <c r="J22" s="123"/>
      <c r="K22" s="123"/>
      <c r="L22" s="123"/>
      <c r="N22" s="116" t="s">
        <v>578</v>
      </c>
    </row>
    <row r="23" spans="1:14">
      <c r="A23" s="122">
        <f t="shared" si="0"/>
        <v>12</v>
      </c>
      <c r="C23" s="116" t="s">
        <v>579</v>
      </c>
      <c r="H23" s="163">
        <f>AVERAGE(H20:H22)</f>
        <v>-14840358.666666666</v>
      </c>
      <c r="J23" s="123"/>
      <c r="K23" s="123"/>
      <c r="L23" s="123"/>
      <c r="N23" s="116" t="s">
        <v>580</v>
      </c>
    </row>
    <row r="24" spans="1:14">
      <c r="A24" s="122">
        <f t="shared" si="0"/>
        <v>13</v>
      </c>
      <c r="C24" s="116" t="s">
        <v>581</v>
      </c>
      <c r="J24" s="123">
        <f>H23*J13</f>
        <v>-4234698.8541353839</v>
      </c>
      <c r="K24" s="123"/>
      <c r="L24" s="123"/>
      <c r="N24" s="116" t="s">
        <v>582</v>
      </c>
    </row>
    <row r="25" spans="1:14">
      <c r="A25" s="122">
        <f t="shared" si="0"/>
        <v>14</v>
      </c>
      <c r="C25" s="116" t="s">
        <v>583</v>
      </c>
      <c r="H25" s="165"/>
      <c r="J25" s="123"/>
      <c r="K25" s="123"/>
      <c r="L25" s="123">
        <f>J24*L13</f>
        <v>-516702.91387430491</v>
      </c>
      <c r="N25" s="116" t="s">
        <v>584</v>
      </c>
    </row>
    <row r="26" spans="1:14">
      <c r="A26" s="122">
        <f t="shared" si="0"/>
        <v>15</v>
      </c>
      <c r="H26" s="165"/>
      <c r="J26" s="123"/>
      <c r="K26" s="123"/>
      <c r="L26" s="123"/>
    </row>
    <row r="27" spans="1:14">
      <c r="A27" s="122">
        <f t="shared" si="0"/>
        <v>16</v>
      </c>
      <c r="H27" s="162"/>
      <c r="J27" s="123"/>
      <c r="K27" s="123"/>
      <c r="L27" s="123"/>
    </row>
    <row r="28" spans="1:14">
      <c r="A28" s="122">
        <f t="shared" si="0"/>
        <v>17</v>
      </c>
      <c r="C28" s="116" t="s">
        <v>585</v>
      </c>
      <c r="H28" s="163">
        <v>2606315</v>
      </c>
      <c r="J28" s="123"/>
      <c r="K28" s="123"/>
      <c r="L28" s="123"/>
      <c r="N28" s="116" t="s">
        <v>586</v>
      </c>
    </row>
    <row r="29" spans="1:14">
      <c r="A29" s="122">
        <f t="shared" si="0"/>
        <v>18</v>
      </c>
      <c r="C29" s="116" t="s">
        <v>587</v>
      </c>
      <c r="H29" s="163">
        <v>2490130</v>
      </c>
      <c r="J29" s="123"/>
      <c r="K29" s="123"/>
      <c r="L29" s="123"/>
      <c r="N29" s="116" t="s">
        <v>588</v>
      </c>
    </row>
    <row r="30" spans="1:14">
      <c r="A30" s="122">
        <f t="shared" si="0"/>
        <v>19</v>
      </c>
      <c r="C30" s="116" t="s">
        <v>589</v>
      </c>
      <c r="H30" s="164">
        <v>2579938</v>
      </c>
      <c r="J30" s="123"/>
      <c r="K30" s="123"/>
      <c r="L30" s="123"/>
      <c r="N30" s="116" t="s">
        <v>590</v>
      </c>
    </row>
    <row r="31" spans="1:14">
      <c r="A31" s="122">
        <f t="shared" si="0"/>
        <v>20</v>
      </c>
      <c r="C31" s="116" t="s">
        <v>579</v>
      </c>
      <c r="H31" s="163">
        <f>AVERAGE(H28:H30)</f>
        <v>2558794.3333333335</v>
      </c>
      <c r="J31" s="123"/>
      <c r="K31" s="123"/>
      <c r="L31" s="123"/>
      <c r="N31" s="116" t="s">
        <v>591</v>
      </c>
    </row>
    <row r="32" spans="1:14">
      <c r="A32" s="122">
        <f t="shared" si="0"/>
        <v>21</v>
      </c>
      <c r="C32" s="116" t="s">
        <v>592</v>
      </c>
      <c r="J32" s="123">
        <f>H31*J15</f>
        <v>743165.58337770856</v>
      </c>
      <c r="K32" s="123"/>
      <c r="L32" s="123"/>
      <c r="N32" s="116" t="s">
        <v>593</v>
      </c>
    </row>
    <row r="33" spans="1:14">
      <c r="A33" s="122">
        <f t="shared" si="0"/>
        <v>22</v>
      </c>
      <c r="C33" s="116" t="s">
        <v>594</v>
      </c>
      <c r="H33" s="165"/>
      <c r="J33" s="123"/>
      <c r="K33" s="123"/>
      <c r="L33" s="123">
        <f>J32*L15</f>
        <v>91264.03790765944</v>
      </c>
      <c r="N33" s="116" t="s">
        <v>595</v>
      </c>
    </row>
    <row r="34" spans="1:14">
      <c r="A34" s="122">
        <f t="shared" si="0"/>
        <v>23</v>
      </c>
    </row>
    <row r="35" spans="1:14">
      <c r="A35" s="122">
        <f t="shared" si="0"/>
        <v>24</v>
      </c>
      <c r="H35" s="162"/>
      <c r="J35" s="111"/>
      <c r="L35" s="162"/>
    </row>
    <row r="36" spans="1:14">
      <c r="A36" s="122">
        <f t="shared" si="0"/>
        <v>25</v>
      </c>
      <c r="C36" s="116" t="s">
        <v>596</v>
      </c>
      <c r="H36" s="163">
        <f>1746185-3257898</f>
        <v>-1511713</v>
      </c>
      <c r="J36" s="111"/>
      <c r="L36" s="161"/>
      <c r="N36" s="116" t="s">
        <v>597</v>
      </c>
    </row>
    <row r="37" spans="1:14">
      <c r="A37" s="122">
        <f t="shared" si="0"/>
        <v>26</v>
      </c>
      <c r="C37" s="116" t="s">
        <v>598</v>
      </c>
      <c r="H37" s="163">
        <f>2163152-1589487</f>
        <v>573665</v>
      </c>
      <c r="J37" s="111"/>
      <c r="N37" s="116" t="s">
        <v>599</v>
      </c>
    </row>
    <row r="38" spans="1:14">
      <c r="A38" s="122">
        <f t="shared" si="0"/>
        <v>27</v>
      </c>
      <c r="C38" s="116" t="s">
        <v>600</v>
      </c>
      <c r="H38" s="166">
        <f>-2101900-3393609</f>
        <v>-5495509</v>
      </c>
      <c r="N38" s="116" t="s">
        <v>601</v>
      </c>
    </row>
    <row r="39" spans="1:14">
      <c r="A39" s="122">
        <f t="shared" si="0"/>
        <v>28</v>
      </c>
      <c r="C39" s="116" t="s">
        <v>579</v>
      </c>
      <c r="H39" s="160">
        <f>AVERAGE(H36:H38)</f>
        <v>-2144519</v>
      </c>
      <c r="N39" s="116" t="s">
        <v>602</v>
      </c>
    </row>
    <row r="40" spans="1:14">
      <c r="A40" s="122">
        <f t="shared" si="0"/>
        <v>29</v>
      </c>
      <c r="C40" s="116" t="s">
        <v>603</v>
      </c>
      <c r="J40" s="123">
        <f>H39*J17</f>
        <v>-324104.92670983932</v>
      </c>
      <c r="K40" s="123"/>
      <c r="L40" s="123"/>
      <c r="N40" s="116" t="s">
        <v>604</v>
      </c>
    </row>
    <row r="41" spans="1:14">
      <c r="A41" s="122">
        <f t="shared" si="0"/>
        <v>30</v>
      </c>
      <c r="C41" s="116" t="s">
        <v>594</v>
      </c>
      <c r="J41" s="123"/>
      <c r="K41" s="123"/>
      <c r="L41" s="123">
        <f>J40*L17</f>
        <v>-43240.65660795063</v>
      </c>
      <c r="N41" s="116" t="s">
        <v>605</v>
      </c>
    </row>
  </sheetData>
  <mergeCells count="2">
    <mergeCell ref="C9:D9"/>
    <mergeCell ref="C8:D8"/>
  </mergeCells>
  <phoneticPr fontId="7" type="noConversion"/>
  <printOptions horizontalCentered="1"/>
  <pageMargins left="0.75" right="0.63" top="1" bottom="1" header="0.5" footer="0.5"/>
  <pageSetup scale="72" fitToHeight="0" orientation="portrait" r:id="rId1"/>
  <headerFooter alignWithMargins="0">
    <oddFooter>&amp;CExhibit BGM 1.1, WP 7
Page 2 of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26"/>
  <sheetViews>
    <sheetView topLeftCell="A24" zoomScaleNormal="100" workbookViewId="0">
      <selection activeCell="A6" sqref="A6"/>
    </sheetView>
  </sheetViews>
  <sheetFormatPr defaultColWidth="8" defaultRowHeight="15.75"/>
  <cols>
    <col min="1" max="1" width="4.5703125" style="53" customWidth="1"/>
    <col min="2" max="2" width="0.85546875" style="53" customWidth="1"/>
    <col min="3" max="3" width="41.28515625" style="53" customWidth="1"/>
    <col min="4" max="4" width="0.85546875" style="53" customWidth="1"/>
    <col min="5" max="5" width="12.42578125" style="53" customWidth="1"/>
    <col min="6" max="6" width="0.85546875" style="53" customWidth="1"/>
    <col min="7" max="7" width="30.28515625" style="53" bestFit="1" customWidth="1"/>
    <col min="8" max="16384" width="8" style="53"/>
  </cols>
  <sheetData>
    <row r="1" spans="1:7">
      <c r="A1" s="53" t="s">
        <v>0</v>
      </c>
    </row>
    <row r="2" spans="1:7" s="2" customFormat="1">
      <c r="A2" s="2" t="str">
        <f>RevReq!A2</f>
        <v>Docket No. NG22-___</v>
      </c>
    </row>
    <row r="3" spans="1:7">
      <c r="A3" s="17" t="s">
        <v>124</v>
      </c>
    </row>
    <row r="4" spans="1:7">
      <c r="A4" s="53" t="s">
        <v>606</v>
      </c>
    </row>
    <row r="5" spans="1:7">
      <c r="A5" s="2" t="str">
        <f>RevReq!A4</f>
        <v>Test Year Ended December 31, 2021</v>
      </c>
    </row>
    <row r="7" spans="1:7">
      <c r="C7" s="54"/>
      <c r="E7" s="54"/>
    </row>
    <row r="8" spans="1:7">
      <c r="A8" s="153" t="s">
        <v>4</v>
      </c>
    </row>
    <row r="9" spans="1:7">
      <c r="A9" s="167" t="s">
        <v>5</v>
      </c>
      <c r="C9" s="55" t="s">
        <v>6</v>
      </c>
      <c r="E9" s="55" t="s">
        <v>457</v>
      </c>
      <c r="G9" s="55" t="s">
        <v>408</v>
      </c>
    </row>
    <row r="10" spans="1:7">
      <c r="A10" s="54"/>
      <c r="C10" s="54" t="s">
        <v>53</v>
      </c>
      <c r="E10" s="54" t="s">
        <v>54</v>
      </c>
      <c r="G10" s="54" t="s">
        <v>97</v>
      </c>
    </row>
    <row r="11" spans="1:7">
      <c r="A11" s="54"/>
      <c r="C11" s="54"/>
      <c r="E11" s="54"/>
    </row>
    <row r="12" spans="1:7">
      <c r="A12" s="168">
        <v>1</v>
      </c>
      <c r="C12" s="53" t="s">
        <v>607</v>
      </c>
      <c r="E12" s="54"/>
    </row>
    <row r="13" spans="1:7">
      <c r="A13" s="168"/>
      <c r="C13" s="57"/>
    </row>
    <row r="14" spans="1:7">
      <c r="A14" s="168">
        <v>2</v>
      </c>
      <c r="C14" s="53" t="s">
        <v>608</v>
      </c>
    </row>
    <row r="15" spans="1:7">
      <c r="A15" s="168">
        <f>A14+1</f>
        <v>3</v>
      </c>
      <c r="C15" s="53" t="s">
        <v>609</v>
      </c>
      <c r="E15" s="58">
        <v>7126</v>
      </c>
      <c r="G15" s="53" t="s">
        <v>610</v>
      </c>
    </row>
    <row r="16" spans="1:7">
      <c r="A16" s="168">
        <f t="shared" ref="A16:A25" si="0">A15+1</f>
        <v>4</v>
      </c>
      <c r="C16" s="53" t="s">
        <v>611</v>
      </c>
      <c r="E16" s="58">
        <v>378955</v>
      </c>
      <c r="G16" s="53" t="s">
        <v>612</v>
      </c>
    </row>
    <row r="17" spans="1:7">
      <c r="A17" s="168">
        <f t="shared" si="0"/>
        <v>5</v>
      </c>
      <c r="C17" s="53" t="s">
        <v>613</v>
      </c>
      <c r="E17" s="58">
        <v>58168</v>
      </c>
      <c r="G17" s="53" t="s">
        <v>614</v>
      </c>
    </row>
    <row r="18" spans="1:7">
      <c r="A18" s="168">
        <f t="shared" si="0"/>
        <v>6</v>
      </c>
      <c r="C18" s="101" t="s">
        <v>615</v>
      </c>
      <c r="D18" s="102"/>
      <c r="E18" s="103">
        <v>233205.96</v>
      </c>
      <c r="F18" s="85"/>
      <c r="G18" s="53" t="s">
        <v>616</v>
      </c>
    </row>
    <row r="19" spans="1:7">
      <c r="A19" s="168">
        <f t="shared" si="0"/>
        <v>7</v>
      </c>
      <c r="C19" s="53" t="s">
        <v>617</v>
      </c>
      <c r="E19" s="58">
        <v>365575.8836159776</v>
      </c>
      <c r="G19" s="53" t="s">
        <v>618</v>
      </c>
    </row>
    <row r="20" spans="1:7">
      <c r="A20" s="168">
        <f t="shared" si="0"/>
        <v>8</v>
      </c>
      <c r="B20" s="85"/>
      <c r="C20" s="101"/>
      <c r="D20" s="102"/>
      <c r="E20" s="103"/>
      <c r="F20" s="85"/>
    </row>
    <row r="21" spans="1:7" ht="16.5" thickBot="1">
      <c r="A21" s="168">
        <f t="shared" si="0"/>
        <v>9</v>
      </c>
      <c r="C21" s="53" t="s">
        <v>88</v>
      </c>
      <c r="E21" s="59">
        <f>SUM(E15:E20)</f>
        <v>1043030.8436159776</v>
      </c>
    </row>
    <row r="22" spans="1:7" ht="16.5" thickTop="1">
      <c r="A22" s="168">
        <f t="shared" si="0"/>
        <v>10</v>
      </c>
      <c r="E22" s="58"/>
    </row>
    <row r="23" spans="1:7">
      <c r="A23" s="168">
        <f t="shared" si="0"/>
        <v>11</v>
      </c>
      <c r="B23" s="60"/>
      <c r="C23" s="61" t="s">
        <v>619</v>
      </c>
      <c r="D23" s="60"/>
      <c r="E23" s="62"/>
      <c r="F23" s="60"/>
    </row>
    <row r="24" spans="1:7">
      <c r="A24" s="168">
        <f t="shared" si="0"/>
        <v>12</v>
      </c>
    </row>
    <row r="25" spans="1:7">
      <c r="A25" s="168">
        <f t="shared" si="0"/>
        <v>13</v>
      </c>
      <c r="C25" s="61" t="s">
        <v>620</v>
      </c>
      <c r="E25" s="63">
        <f>E21</f>
        <v>1043030.8436159776</v>
      </c>
      <c r="G25" s="10" t="s">
        <v>621</v>
      </c>
    </row>
    <row r="26" spans="1:7">
      <c r="A26" s="56"/>
      <c r="C26" s="61"/>
      <c r="E26" s="62"/>
    </row>
  </sheetData>
  <phoneticPr fontId="7" type="noConversion"/>
  <printOptions horizontalCentered="1"/>
  <pageMargins left="0.75" right="0.75" top="1" bottom="1" header="0.5" footer="0.5"/>
  <pageSetup orientation="portrait" r:id="rId1"/>
  <headerFooter alignWithMargins="0">
    <oddFooter>&amp;CExhibit BGM 1.1, WP 8
Page 1 of 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16"/>
  <sheetViews>
    <sheetView topLeftCell="A92" zoomScaleNormal="100" workbookViewId="0">
      <selection activeCell="G10" sqref="G10"/>
    </sheetView>
  </sheetViews>
  <sheetFormatPr defaultColWidth="8.85546875" defaultRowHeight="15.75"/>
  <cols>
    <col min="1" max="1" width="4.85546875" style="169" customWidth="1"/>
    <col min="2" max="2" width="3.28515625" style="169" customWidth="1"/>
    <col min="3" max="3" width="31.5703125" style="169" customWidth="1"/>
    <col min="4" max="4" width="1.7109375" style="169" customWidth="1"/>
    <col min="5" max="5" width="14.140625" style="169" bestFit="1" customWidth="1"/>
    <col min="6" max="6" width="1.28515625" style="169" customWidth="1"/>
    <col min="7" max="7" width="14.140625" style="169" bestFit="1" customWidth="1"/>
    <col min="8" max="8" width="1.140625" style="169" customWidth="1"/>
    <col min="9" max="9" width="25.5703125" style="169" customWidth="1"/>
    <col min="10" max="11" width="8.7109375" style="169" bestFit="1" customWidth="1"/>
    <col min="12" max="16384" width="8.85546875" style="169"/>
  </cols>
  <sheetData>
    <row r="1" spans="1:13">
      <c r="A1" s="102" t="s">
        <v>0</v>
      </c>
      <c r="K1" s="170"/>
      <c r="M1" s="170"/>
    </row>
    <row r="2" spans="1:13">
      <c r="A2" s="116" t="str">
        <f>RevReq!A2</f>
        <v>Docket No. NG22-___</v>
      </c>
      <c r="K2" s="170"/>
      <c r="M2" s="170"/>
    </row>
    <row r="3" spans="1:13">
      <c r="A3" s="117" t="s">
        <v>124</v>
      </c>
      <c r="K3" s="170"/>
    </row>
    <row r="4" spans="1:13">
      <c r="A4" s="102" t="s">
        <v>220</v>
      </c>
      <c r="K4" s="170"/>
    </row>
    <row r="5" spans="1:13">
      <c r="A5" s="116" t="str">
        <f>RevReq!A4</f>
        <v>Test Year Ended December 31, 2021</v>
      </c>
    </row>
    <row r="6" spans="1:13">
      <c r="A6" s="116"/>
    </row>
    <row r="7" spans="1:13">
      <c r="A7" s="116"/>
    </row>
    <row r="8" spans="1:13">
      <c r="A8" s="171" t="s">
        <v>4</v>
      </c>
    </row>
    <row r="9" spans="1:13">
      <c r="A9" s="172" t="s">
        <v>5</v>
      </c>
      <c r="C9" s="173" t="s">
        <v>6</v>
      </c>
      <c r="E9" s="173" t="s">
        <v>622</v>
      </c>
      <c r="G9" s="173" t="s">
        <v>623</v>
      </c>
      <c r="I9" s="173" t="s">
        <v>408</v>
      </c>
    </row>
    <row r="10" spans="1:13">
      <c r="C10" s="174" t="s">
        <v>53</v>
      </c>
      <c r="D10" s="174"/>
      <c r="E10" s="174" t="s">
        <v>54</v>
      </c>
      <c r="F10" s="174"/>
      <c r="G10" s="174" t="s">
        <v>97</v>
      </c>
      <c r="H10" s="174"/>
      <c r="I10" s="174" t="s">
        <v>98</v>
      </c>
    </row>
    <row r="12" spans="1:13">
      <c r="A12" s="175">
        <v>1</v>
      </c>
      <c r="C12" s="169" t="s">
        <v>624</v>
      </c>
      <c r="E12" s="176">
        <f>E66</f>
        <v>93374</v>
      </c>
      <c r="F12" s="177"/>
      <c r="G12" s="176">
        <f>G66</f>
        <v>10280</v>
      </c>
      <c r="H12" s="177"/>
      <c r="I12" s="169" t="s">
        <v>625</v>
      </c>
    </row>
    <row r="13" spans="1:13">
      <c r="A13" s="175">
        <f>+A12+1</f>
        <v>2</v>
      </c>
      <c r="C13" s="169" t="s">
        <v>626</v>
      </c>
      <c r="E13" s="176">
        <f>E64</f>
        <v>94794</v>
      </c>
      <c r="F13" s="177"/>
      <c r="G13" s="176">
        <f>G64</f>
        <v>10436</v>
      </c>
      <c r="H13" s="177"/>
      <c r="I13" s="169" t="s">
        <v>625</v>
      </c>
    </row>
    <row r="14" spans="1:13">
      <c r="A14" s="175">
        <f>+A13+1</f>
        <v>3</v>
      </c>
      <c r="C14" s="169" t="s">
        <v>627</v>
      </c>
      <c r="E14" s="178">
        <f>+E13-E12</f>
        <v>1420</v>
      </c>
      <c r="F14" s="177"/>
      <c r="G14" s="178">
        <f>+G13-G12</f>
        <v>156</v>
      </c>
      <c r="H14" s="177"/>
      <c r="I14" s="169" t="s">
        <v>628</v>
      </c>
    </row>
    <row r="15" spans="1:13">
      <c r="A15" s="175"/>
      <c r="E15" s="177"/>
      <c r="F15" s="177"/>
      <c r="G15" s="177"/>
      <c r="H15" s="177"/>
    </row>
    <row r="16" spans="1:13">
      <c r="A16" s="175">
        <f>+A14+1</f>
        <v>4</v>
      </c>
      <c r="C16" s="169" t="s">
        <v>629</v>
      </c>
      <c r="E16" s="176">
        <f>E92</f>
        <v>58371329</v>
      </c>
      <c r="F16" s="177"/>
      <c r="G16" s="176">
        <f>G92</f>
        <v>39279193</v>
      </c>
      <c r="H16" s="177"/>
      <c r="I16" s="169" t="s">
        <v>630</v>
      </c>
    </row>
    <row r="17" spans="1:9">
      <c r="A17" s="175"/>
    </row>
    <row r="18" spans="1:9">
      <c r="A18" s="175">
        <f>+A16+1</f>
        <v>5</v>
      </c>
      <c r="C18" s="169" t="s">
        <v>631</v>
      </c>
    </row>
    <row r="19" spans="1:9">
      <c r="A19" s="175">
        <f>+A18+1</f>
        <v>6</v>
      </c>
      <c r="C19" s="169" t="s">
        <v>632</v>
      </c>
      <c r="E19" s="169">
        <v>480011</v>
      </c>
      <c r="G19" s="169">
        <v>481011</v>
      </c>
    </row>
    <row r="20" spans="1:9">
      <c r="A20" s="175">
        <f>+A19+1</f>
        <v>7</v>
      </c>
      <c r="C20" s="169" t="s">
        <v>633</v>
      </c>
      <c r="E20" s="179">
        <v>59066908</v>
      </c>
      <c r="F20" s="180"/>
      <c r="G20" s="179">
        <v>33041113</v>
      </c>
      <c r="H20" s="181"/>
      <c r="I20" s="169" t="s">
        <v>634</v>
      </c>
    </row>
    <row r="21" spans="1:9">
      <c r="A21" s="175">
        <f>A20+1</f>
        <v>8</v>
      </c>
      <c r="C21" s="169" t="s">
        <v>635</v>
      </c>
      <c r="E21" s="179">
        <f>146057+39350667</f>
        <v>39496724</v>
      </c>
      <c r="F21" s="180"/>
      <c r="G21" s="179">
        <f>357227+15669800+22558+15729+60782+10780228</f>
        <v>26906324</v>
      </c>
      <c r="H21" s="181"/>
      <c r="I21" s="169" t="s">
        <v>636</v>
      </c>
    </row>
    <row r="22" spans="1:9">
      <c r="A22" s="175">
        <f t="shared" ref="A22" si="0">A21+1</f>
        <v>9</v>
      </c>
      <c r="C22" s="169" t="s">
        <v>637</v>
      </c>
      <c r="E22" s="179">
        <v>0</v>
      </c>
      <c r="F22" s="180"/>
      <c r="G22" s="179">
        <v>0</v>
      </c>
      <c r="H22" s="181"/>
    </row>
    <row r="23" spans="1:9">
      <c r="A23" s="175">
        <f>A22+1</f>
        <v>10</v>
      </c>
      <c r="E23" s="179"/>
      <c r="F23" s="180"/>
      <c r="G23" s="179"/>
      <c r="H23" s="181"/>
    </row>
    <row r="24" spans="1:9">
      <c r="A24" s="175">
        <f>A23+1</f>
        <v>11</v>
      </c>
      <c r="C24" s="169" t="s">
        <v>638</v>
      </c>
      <c r="E24" s="182">
        <f>E20-E21-E22</f>
        <v>19570184</v>
      </c>
      <c r="F24" s="180"/>
      <c r="G24" s="182">
        <f>G20-G21-G22</f>
        <v>6134789</v>
      </c>
      <c r="H24" s="181"/>
      <c r="I24" s="169" t="s">
        <v>639</v>
      </c>
    </row>
    <row r="25" spans="1:9">
      <c r="A25" s="175"/>
      <c r="E25" s="181"/>
      <c r="F25" s="181"/>
      <c r="G25" s="181"/>
      <c r="H25" s="181"/>
    </row>
    <row r="26" spans="1:9">
      <c r="A26" s="175">
        <f>+A24+1</f>
        <v>12</v>
      </c>
      <c r="C26" s="169" t="s">
        <v>640</v>
      </c>
    </row>
    <row r="27" spans="1:9">
      <c r="A27" s="175">
        <f>+A26+1</f>
        <v>13</v>
      </c>
      <c r="C27" s="169" t="s">
        <v>641</v>
      </c>
      <c r="E27" s="183">
        <f>+E24/E16*100</f>
        <v>33.527048870173914</v>
      </c>
      <c r="G27" s="183">
        <f>+G24/G16*100</f>
        <v>15.618419146238569</v>
      </c>
      <c r="I27" s="169" t="s">
        <v>642</v>
      </c>
    </row>
    <row r="28" spans="1:9">
      <c r="A28" s="175"/>
    </row>
    <row r="29" spans="1:9">
      <c r="A29" s="175">
        <f>+A27+1</f>
        <v>14</v>
      </c>
      <c r="C29" s="169" t="s">
        <v>643</v>
      </c>
    </row>
    <row r="30" spans="1:9">
      <c r="A30" s="175">
        <f>+A29+1</f>
        <v>15</v>
      </c>
      <c r="C30" s="169" t="s">
        <v>644</v>
      </c>
      <c r="E30" s="176">
        <f>+E16/E12</f>
        <v>625.1347163021826</v>
      </c>
      <c r="G30" s="176">
        <f>+G16/G12</f>
        <v>3820.9331712062258</v>
      </c>
      <c r="I30" s="169" t="s">
        <v>645</v>
      </c>
    </row>
    <row r="31" spans="1:9">
      <c r="A31" s="175"/>
    </row>
    <row r="32" spans="1:9">
      <c r="A32" s="175">
        <f>+A30+1</f>
        <v>16</v>
      </c>
      <c r="C32" s="169" t="s">
        <v>646</v>
      </c>
    </row>
    <row r="33" spans="1:11">
      <c r="A33" s="175">
        <f>+A32+1</f>
        <v>17</v>
      </c>
      <c r="C33" s="169" t="s">
        <v>519</v>
      </c>
      <c r="E33" s="176">
        <f>+E13*E30</f>
        <v>59259020.297149099</v>
      </c>
      <c r="F33" s="177"/>
      <c r="G33" s="176">
        <f>+G13*G30</f>
        <v>39875258.574708171</v>
      </c>
      <c r="H33" s="177"/>
      <c r="I33" s="169" t="s">
        <v>647</v>
      </c>
    </row>
    <row r="34" spans="1:11">
      <c r="A34" s="175">
        <f>+A33+1</f>
        <v>18</v>
      </c>
      <c r="C34" s="169" t="s">
        <v>648</v>
      </c>
      <c r="E34" s="179">
        <f>+E33*E27/100</f>
        <v>19867800.695011459</v>
      </c>
      <c r="F34" s="180"/>
      <c r="G34" s="179">
        <f>+G33*G27/100</f>
        <v>6227885.0198443579</v>
      </c>
      <c r="I34" s="169" t="s">
        <v>649</v>
      </c>
    </row>
    <row r="35" spans="1:11">
      <c r="A35" s="175"/>
    </row>
    <row r="36" spans="1:11">
      <c r="A36" s="175">
        <f>+A34+1</f>
        <v>19</v>
      </c>
      <c r="C36" s="169" t="s">
        <v>650</v>
      </c>
    </row>
    <row r="37" spans="1:11">
      <c r="A37" s="175">
        <f>+A36+1</f>
        <v>20</v>
      </c>
      <c r="C37" s="169" t="s">
        <v>519</v>
      </c>
      <c r="E37" s="176">
        <f>+E33-E16</f>
        <v>887691.29714909941</v>
      </c>
      <c r="G37" s="176">
        <f>+G33-G16</f>
        <v>596065.57470817119</v>
      </c>
      <c r="I37" s="169" t="s">
        <v>651</v>
      </c>
    </row>
    <row r="38" spans="1:11">
      <c r="A38" s="175">
        <f>+A37+1</f>
        <v>21</v>
      </c>
      <c r="C38" s="169" t="s">
        <v>652</v>
      </c>
      <c r="E38" s="179">
        <f>+E34-E24</f>
        <v>297616.69501145929</v>
      </c>
      <c r="F38" s="180"/>
      <c r="G38" s="179">
        <f>+G34-G24</f>
        <v>93096.019844357856</v>
      </c>
      <c r="I38" s="169" t="s">
        <v>653</v>
      </c>
    </row>
    <row r="39" spans="1:11">
      <c r="A39" s="175"/>
    </row>
    <row r="40" spans="1:11" ht="16.5" thickBot="1">
      <c r="A40" s="175"/>
      <c r="C40" s="184" t="s">
        <v>654</v>
      </c>
      <c r="D40" s="184"/>
      <c r="E40" s="184"/>
      <c r="F40" s="184"/>
      <c r="G40" s="184"/>
    </row>
    <row r="41" spans="1:11" ht="16.5" thickBot="1">
      <c r="A41" s="175">
        <f>A38+1</f>
        <v>22</v>
      </c>
      <c r="C41" s="184" t="s">
        <v>655</v>
      </c>
      <c r="D41" s="184"/>
      <c r="E41" s="185">
        <f>E38+G38</f>
        <v>390712.71485581715</v>
      </c>
      <c r="F41" s="184"/>
      <c r="G41" s="186"/>
      <c r="I41" s="169" t="s">
        <v>656</v>
      </c>
    </row>
    <row r="42" spans="1:11" ht="65.25" customHeight="1">
      <c r="A42" s="414" t="s">
        <v>657</v>
      </c>
      <c r="B42" s="414"/>
      <c r="C42" s="414"/>
      <c r="D42" s="414"/>
      <c r="E42" s="414"/>
      <c r="F42" s="414"/>
      <c r="G42" s="414"/>
      <c r="H42" s="414"/>
      <c r="I42" s="414"/>
    </row>
    <row r="43" spans="1:11">
      <c r="A43" s="414" t="s">
        <v>658</v>
      </c>
      <c r="B43" s="414"/>
      <c r="C43" s="414"/>
      <c r="D43" s="414"/>
      <c r="E43" s="414"/>
      <c r="F43" s="414"/>
      <c r="G43" s="414"/>
      <c r="H43" s="414"/>
      <c r="I43" s="414"/>
      <c r="K43" s="170"/>
    </row>
    <row r="44" spans="1:11">
      <c r="A44" s="187"/>
      <c r="K44" s="170"/>
    </row>
    <row r="45" spans="1:11">
      <c r="A45" s="187"/>
      <c r="K45" s="170"/>
    </row>
    <row r="46" spans="1:11">
      <c r="A46" s="187" t="s">
        <v>0</v>
      </c>
    </row>
    <row r="47" spans="1:11">
      <c r="A47" s="169" t="s">
        <v>659</v>
      </c>
    </row>
    <row r="48" spans="1:11">
      <c r="A48" s="169" t="str">
        <f>A5</f>
        <v>Test Year Ended December 31, 2021</v>
      </c>
    </row>
    <row r="49" spans="1:8">
      <c r="A49" s="171" t="s">
        <v>4</v>
      </c>
      <c r="E49" s="169" t="s">
        <v>660</v>
      </c>
      <c r="G49" s="169" t="s">
        <v>661</v>
      </c>
    </row>
    <row r="50" spans="1:8">
      <c r="A50" s="172" t="s">
        <v>5</v>
      </c>
      <c r="B50" s="188"/>
      <c r="C50" s="173" t="s">
        <v>662</v>
      </c>
      <c r="D50" s="188"/>
      <c r="E50" s="173" t="s">
        <v>622</v>
      </c>
      <c r="G50" s="173" t="s">
        <v>623</v>
      </c>
    </row>
    <row r="51" spans="1:8">
      <c r="A51" s="188"/>
      <c r="B51" s="188"/>
      <c r="C51" s="189" t="s">
        <v>53</v>
      </c>
      <c r="D51" s="188"/>
      <c r="E51" s="189" t="s">
        <v>54</v>
      </c>
      <c r="G51" s="189" t="s">
        <v>97</v>
      </c>
    </row>
    <row r="52" spans="1:8">
      <c r="A52" s="184"/>
      <c r="B52" s="188"/>
      <c r="C52" s="188"/>
      <c r="D52" s="188"/>
    </row>
    <row r="53" spans="1:8">
      <c r="A53" s="175">
        <f>+A52+1</f>
        <v>1</v>
      </c>
      <c r="C53" s="190" t="s">
        <v>663</v>
      </c>
      <c r="D53" s="149"/>
      <c r="E53" s="149">
        <v>92906</v>
      </c>
      <c r="G53" s="149">
        <v>10273</v>
      </c>
      <c r="H53" s="169">
        <v>493285</v>
      </c>
    </row>
    <row r="54" spans="1:8">
      <c r="A54" s="175">
        <f t="shared" ref="A54:A67" si="1">+A53+1</f>
        <v>2</v>
      </c>
      <c r="B54" s="149"/>
      <c r="C54" s="190" t="s">
        <v>664</v>
      </c>
      <c r="D54" s="149"/>
      <c r="E54" s="149">
        <v>93137</v>
      </c>
      <c r="G54" s="149">
        <v>10278</v>
      </c>
    </row>
    <row r="55" spans="1:8">
      <c r="A55" s="175">
        <f t="shared" si="1"/>
        <v>3</v>
      </c>
      <c r="B55" s="149"/>
      <c r="C55" s="190" t="s">
        <v>665</v>
      </c>
      <c r="D55" s="149"/>
      <c r="E55" s="149">
        <v>93150</v>
      </c>
      <c r="G55" s="149">
        <v>10299</v>
      </c>
    </row>
    <row r="56" spans="1:8">
      <c r="A56" s="175">
        <f t="shared" si="1"/>
        <v>4</v>
      </c>
      <c r="B56" s="149"/>
      <c r="C56" s="190" t="s">
        <v>666</v>
      </c>
      <c r="D56" s="149"/>
      <c r="E56" s="149">
        <v>93066</v>
      </c>
      <c r="G56" s="149">
        <v>10285</v>
      </c>
    </row>
    <row r="57" spans="1:8">
      <c r="A57" s="175">
        <f t="shared" si="1"/>
        <v>5</v>
      </c>
      <c r="B57" s="149"/>
      <c r="C57" s="190" t="s">
        <v>667</v>
      </c>
      <c r="E57" s="149">
        <v>92980</v>
      </c>
      <c r="G57" s="149">
        <v>10250</v>
      </c>
    </row>
    <row r="58" spans="1:8">
      <c r="A58" s="175">
        <f t="shared" si="1"/>
        <v>6</v>
      </c>
      <c r="B58" s="149"/>
      <c r="C58" s="190" t="s">
        <v>668</v>
      </c>
      <c r="D58" s="149"/>
      <c r="E58" s="149">
        <v>92844</v>
      </c>
      <c r="G58" s="191">
        <v>10210</v>
      </c>
    </row>
    <row r="59" spans="1:8">
      <c r="A59" s="175">
        <f t="shared" si="1"/>
        <v>7</v>
      </c>
      <c r="B59" s="149"/>
      <c r="C59" s="190" t="s">
        <v>669</v>
      </c>
      <c r="D59" s="149"/>
      <c r="E59" s="191">
        <v>92871</v>
      </c>
      <c r="G59" s="191">
        <v>10213</v>
      </c>
    </row>
    <row r="60" spans="1:8">
      <c r="A60" s="175">
        <f t="shared" si="1"/>
        <v>8</v>
      </c>
      <c r="B60" s="149"/>
      <c r="C60" s="190" t="s">
        <v>670</v>
      </c>
      <c r="D60" s="149"/>
      <c r="E60" s="191">
        <v>93028</v>
      </c>
      <c r="G60" s="191">
        <v>10199</v>
      </c>
    </row>
    <row r="61" spans="1:8">
      <c r="A61" s="175">
        <f t="shared" si="1"/>
        <v>9</v>
      </c>
      <c r="B61" s="149"/>
      <c r="C61" s="190" t="s">
        <v>671</v>
      </c>
      <c r="D61" s="149"/>
      <c r="E61" s="191">
        <v>93250</v>
      </c>
      <c r="G61" s="191">
        <v>10241</v>
      </c>
    </row>
    <row r="62" spans="1:8">
      <c r="A62" s="175">
        <f t="shared" si="1"/>
        <v>10</v>
      </c>
      <c r="B62" s="149"/>
      <c r="C62" s="190" t="s">
        <v>672</v>
      </c>
      <c r="D62" s="149"/>
      <c r="E62" s="191">
        <v>93984</v>
      </c>
      <c r="G62" s="191">
        <v>10294</v>
      </c>
    </row>
    <row r="63" spans="1:8">
      <c r="A63" s="175">
        <f t="shared" si="1"/>
        <v>11</v>
      </c>
      <c r="B63" s="149"/>
      <c r="C63" s="190" t="s">
        <v>673</v>
      </c>
      <c r="E63" s="191">
        <v>94477</v>
      </c>
      <c r="G63" s="191">
        <v>10383</v>
      </c>
    </row>
    <row r="64" spans="1:8">
      <c r="A64" s="175">
        <f t="shared" si="1"/>
        <v>12</v>
      </c>
      <c r="B64" s="149"/>
      <c r="C64" s="190" t="s">
        <v>674</v>
      </c>
      <c r="D64" s="149"/>
      <c r="E64" s="191">
        <v>94794</v>
      </c>
      <c r="G64" s="191">
        <v>10436</v>
      </c>
    </row>
    <row r="65" spans="1:16">
      <c r="A65" s="175">
        <f t="shared" si="1"/>
        <v>13</v>
      </c>
      <c r="B65" s="149"/>
      <c r="C65" s="169" t="s">
        <v>88</v>
      </c>
      <c r="E65" s="192">
        <f>SUM(E53:E64)</f>
        <v>1120487</v>
      </c>
      <c r="G65" s="192">
        <f>SUM(G53:G64)</f>
        <v>123361</v>
      </c>
      <c r="I65" s="169" t="s">
        <v>675</v>
      </c>
    </row>
    <row r="66" spans="1:16">
      <c r="A66" s="175">
        <f t="shared" si="1"/>
        <v>14</v>
      </c>
      <c r="B66" s="149"/>
      <c r="C66" s="169" t="s">
        <v>676</v>
      </c>
      <c r="E66" s="149">
        <f>ROUND(+E65/12,0)</f>
        <v>93374</v>
      </c>
      <c r="G66" s="149">
        <f>ROUND(+G65/12,0)</f>
        <v>10280</v>
      </c>
      <c r="I66" s="169" t="s">
        <v>677</v>
      </c>
    </row>
    <row r="67" spans="1:16">
      <c r="A67" s="175">
        <f t="shared" si="1"/>
        <v>15</v>
      </c>
      <c r="B67" s="149"/>
      <c r="C67" s="169" t="s">
        <v>678</v>
      </c>
      <c r="E67" s="193">
        <f>+E64-E66</f>
        <v>1420</v>
      </c>
      <c r="G67" s="193">
        <f>+G64-G66</f>
        <v>156</v>
      </c>
      <c r="I67" s="169" t="s">
        <v>679</v>
      </c>
    </row>
    <row r="68" spans="1:16">
      <c r="A68" s="194"/>
      <c r="B68" s="149"/>
    </row>
    <row r="69" spans="1:16">
      <c r="A69" s="187"/>
      <c r="C69" s="169" t="s">
        <v>680</v>
      </c>
      <c r="K69" s="170"/>
    </row>
    <row r="70" spans="1:16" ht="253.5" customHeight="1">
      <c r="A70" s="414" t="s">
        <v>657</v>
      </c>
      <c r="B70" s="414"/>
      <c r="C70" s="414"/>
      <c r="D70" s="414"/>
      <c r="E70" s="414"/>
      <c r="F70" s="414"/>
      <c r="G70" s="414"/>
      <c r="H70" s="414"/>
      <c r="I70" s="414"/>
      <c r="K70" s="170"/>
    </row>
    <row r="71" spans="1:16">
      <c r="A71" s="414" t="s">
        <v>681</v>
      </c>
      <c r="B71" s="414"/>
      <c r="C71" s="414"/>
      <c r="D71" s="414"/>
      <c r="E71" s="414"/>
      <c r="F71" s="414"/>
      <c r="G71" s="414"/>
      <c r="H71" s="414"/>
      <c r="I71" s="414"/>
      <c r="K71" s="170"/>
    </row>
    <row r="72" spans="1:16">
      <c r="A72" s="187" t="s">
        <v>0</v>
      </c>
      <c r="B72" s="187"/>
      <c r="C72" s="187"/>
      <c r="D72" s="187"/>
      <c r="E72" s="187"/>
      <c r="F72" s="187"/>
      <c r="G72" s="187"/>
    </row>
    <row r="73" spans="1:16">
      <c r="A73" s="187" t="s">
        <v>682</v>
      </c>
      <c r="B73" s="187"/>
      <c r="C73" s="187"/>
      <c r="D73" s="187"/>
      <c r="E73" s="187"/>
      <c r="F73" s="187"/>
      <c r="G73" s="187"/>
    </row>
    <row r="74" spans="1:16">
      <c r="A74" s="187" t="str">
        <f>A5</f>
        <v>Test Year Ended December 31, 2021</v>
      </c>
      <c r="B74" s="187"/>
      <c r="C74" s="187"/>
      <c r="D74" s="187"/>
      <c r="E74" s="187"/>
      <c r="F74" s="187"/>
      <c r="G74" s="187"/>
    </row>
    <row r="75" spans="1:16">
      <c r="A75" s="187"/>
      <c r="B75" s="187"/>
      <c r="C75" s="187"/>
      <c r="D75" s="187"/>
      <c r="E75" s="187"/>
      <c r="F75" s="187"/>
      <c r="G75" s="187"/>
    </row>
    <row r="76" spans="1:16">
      <c r="A76" s="171" t="s">
        <v>4</v>
      </c>
      <c r="B76" s="187"/>
      <c r="C76" s="187"/>
      <c r="D76" s="187"/>
      <c r="E76" s="195" t="s">
        <v>683</v>
      </c>
      <c r="F76" s="187"/>
      <c r="G76" s="195" t="s">
        <v>684</v>
      </c>
    </row>
    <row r="77" spans="1:16">
      <c r="A77" s="172" t="s">
        <v>5</v>
      </c>
      <c r="B77" s="188"/>
      <c r="C77" s="173" t="s">
        <v>662</v>
      </c>
      <c r="E77" s="173" t="s">
        <v>622</v>
      </c>
      <c r="G77" s="173" t="s">
        <v>623</v>
      </c>
    </row>
    <row r="78" spans="1:16">
      <c r="A78" s="188"/>
      <c r="B78" s="188"/>
      <c r="C78" s="189" t="s">
        <v>53</v>
      </c>
      <c r="E78" s="189" t="s">
        <v>54</v>
      </c>
      <c r="G78" s="189" t="s">
        <v>97</v>
      </c>
    </row>
    <row r="79" spans="1:16">
      <c r="A79" s="184"/>
      <c r="B79" s="188"/>
      <c r="C79" s="188"/>
    </row>
    <row r="80" spans="1:16">
      <c r="A80" s="175">
        <f t="shared" ref="A80:A92" si="2">+A79+1</f>
        <v>1</v>
      </c>
      <c r="C80" s="190" t="s">
        <v>663</v>
      </c>
      <c r="E80" s="149">
        <v>9918756</v>
      </c>
      <c r="F80" s="149">
        <v>484740391</v>
      </c>
      <c r="G80" s="149">
        <v>6679979</v>
      </c>
      <c r="H80" s="169">
        <v>327316411</v>
      </c>
      <c r="L80" s="190"/>
      <c r="N80" s="149"/>
      <c r="O80" s="149"/>
      <c r="P80" s="149"/>
    </row>
    <row r="81" spans="1:16">
      <c r="A81" s="175">
        <f t="shared" si="2"/>
        <v>2</v>
      </c>
      <c r="B81" s="149"/>
      <c r="C81" s="190" t="s">
        <v>664</v>
      </c>
      <c r="E81" s="149">
        <v>11297071</v>
      </c>
      <c r="F81" s="149"/>
      <c r="G81" s="149">
        <v>6857192</v>
      </c>
      <c r="L81" s="190"/>
      <c r="N81" s="149"/>
      <c r="O81" s="149"/>
      <c r="P81" s="149"/>
    </row>
    <row r="82" spans="1:16">
      <c r="A82" s="175">
        <f t="shared" si="2"/>
        <v>3</v>
      </c>
      <c r="B82" s="149"/>
      <c r="C82" s="190" t="s">
        <v>665</v>
      </c>
      <c r="E82" s="149">
        <v>10673381</v>
      </c>
      <c r="F82" s="149"/>
      <c r="G82" s="149">
        <v>6786723</v>
      </c>
      <c r="L82" s="190"/>
      <c r="N82" s="149"/>
      <c r="O82" s="149"/>
      <c r="P82" s="149"/>
    </row>
    <row r="83" spans="1:16">
      <c r="A83" s="175">
        <f t="shared" si="2"/>
        <v>4</v>
      </c>
      <c r="B83" s="149"/>
      <c r="C83" s="190" t="s">
        <v>666</v>
      </c>
      <c r="E83" s="149">
        <v>5166683</v>
      </c>
      <c r="F83" s="149"/>
      <c r="G83" s="149">
        <v>3557548</v>
      </c>
      <c r="L83" s="190"/>
      <c r="N83" s="149"/>
      <c r="O83" s="149"/>
      <c r="P83" s="149"/>
    </row>
    <row r="84" spans="1:16">
      <c r="A84" s="175">
        <f t="shared" si="2"/>
        <v>5</v>
      </c>
      <c r="B84" s="149"/>
      <c r="C84" s="190" t="s">
        <v>667</v>
      </c>
      <c r="E84" s="149">
        <v>3225552</v>
      </c>
      <c r="F84" s="149"/>
      <c r="G84" s="149">
        <v>2096098</v>
      </c>
      <c r="L84" s="190"/>
      <c r="N84" s="149"/>
      <c r="O84" s="149"/>
      <c r="P84" s="149"/>
    </row>
    <row r="85" spans="1:16">
      <c r="A85" s="175">
        <f t="shared" si="2"/>
        <v>6</v>
      </c>
      <c r="B85" s="149"/>
      <c r="C85" s="190" t="s">
        <v>668</v>
      </c>
      <c r="E85" s="149">
        <v>1601283</v>
      </c>
      <c r="F85" s="149"/>
      <c r="G85" s="149">
        <v>1192496</v>
      </c>
      <c r="L85" s="190"/>
      <c r="N85" s="149"/>
      <c r="O85" s="149"/>
      <c r="P85" s="149"/>
    </row>
    <row r="86" spans="1:16">
      <c r="A86" s="175">
        <f t="shared" si="2"/>
        <v>7</v>
      </c>
      <c r="B86" s="149"/>
      <c r="C86" s="190" t="s">
        <v>669</v>
      </c>
      <c r="E86" s="149">
        <v>1051164</v>
      </c>
      <c r="F86" s="149"/>
      <c r="G86" s="149">
        <v>954225</v>
      </c>
    </row>
    <row r="87" spans="1:16">
      <c r="A87" s="175">
        <f t="shared" si="2"/>
        <v>8</v>
      </c>
      <c r="B87" s="149"/>
      <c r="C87" s="190" t="s">
        <v>670</v>
      </c>
      <c r="E87" s="149">
        <v>1022345</v>
      </c>
      <c r="F87" s="149"/>
      <c r="G87" s="149">
        <v>892909</v>
      </c>
    </row>
    <row r="88" spans="1:16">
      <c r="A88" s="175">
        <f t="shared" si="2"/>
        <v>9</v>
      </c>
      <c r="B88" s="149"/>
      <c r="C88" s="190" t="s">
        <v>671</v>
      </c>
      <c r="E88" s="149">
        <v>1003873</v>
      </c>
      <c r="F88" s="149"/>
      <c r="G88" s="149">
        <v>875136</v>
      </c>
    </row>
    <row r="89" spans="1:16">
      <c r="A89" s="175">
        <f t="shared" si="2"/>
        <v>10</v>
      </c>
      <c r="B89" s="149"/>
      <c r="C89" s="190" t="s">
        <v>672</v>
      </c>
      <c r="E89" s="149">
        <v>1342113</v>
      </c>
      <c r="F89" s="149"/>
      <c r="G89" s="149">
        <v>1192917</v>
      </c>
    </row>
    <row r="90" spans="1:16">
      <c r="A90" s="175">
        <f t="shared" si="2"/>
        <v>11</v>
      </c>
      <c r="B90" s="149"/>
      <c r="C90" s="190" t="s">
        <v>673</v>
      </c>
      <c r="E90" s="149">
        <v>3971553</v>
      </c>
      <c r="F90" s="149"/>
      <c r="G90" s="149">
        <v>2857437</v>
      </c>
    </row>
    <row r="91" spans="1:16">
      <c r="A91" s="175">
        <f t="shared" si="2"/>
        <v>12</v>
      </c>
      <c r="B91" s="149"/>
      <c r="C91" s="190" t="s">
        <v>674</v>
      </c>
      <c r="E91" s="149">
        <v>8097555</v>
      </c>
      <c r="F91" s="149"/>
      <c r="G91" s="149">
        <v>5336533</v>
      </c>
    </row>
    <row r="92" spans="1:16">
      <c r="A92" s="175">
        <f t="shared" si="2"/>
        <v>13</v>
      </c>
      <c r="B92" s="149"/>
      <c r="C92" s="169" t="s">
        <v>88</v>
      </c>
      <c r="E92" s="192">
        <f>SUM(E80:E91)</f>
        <v>58371329</v>
      </c>
      <c r="G92" s="192">
        <f>SUM(G80:G91)</f>
        <v>39279193</v>
      </c>
    </row>
    <row r="94" spans="1:16">
      <c r="C94" s="169" t="s">
        <v>680</v>
      </c>
    </row>
    <row r="115" spans="1:9">
      <c r="A115" s="414" t="s">
        <v>657</v>
      </c>
      <c r="B115" s="414"/>
      <c r="C115" s="414"/>
      <c r="D115" s="414"/>
      <c r="E115" s="414"/>
      <c r="F115" s="414"/>
      <c r="G115" s="414"/>
      <c r="H115" s="414"/>
      <c r="I115" s="414"/>
    </row>
    <row r="116" spans="1:9">
      <c r="A116" s="414" t="s">
        <v>685</v>
      </c>
      <c r="B116" s="414"/>
      <c r="C116" s="414"/>
      <c r="D116" s="414"/>
      <c r="E116" s="414"/>
      <c r="F116" s="414"/>
      <c r="G116" s="414"/>
      <c r="H116" s="414"/>
      <c r="I116" s="414"/>
    </row>
  </sheetData>
  <mergeCells count="6">
    <mergeCell ref="A115:I115"/>
    <mergeCell ref="A116:I116"/>
    <mergeCell ref="A42:I42"/>
    <mergeCell ref="A43:I43"/>
    <mergeCell ref="A70:I70"/>
    <mergeCell ref="A71:I71"/>
  </mergeCells>
  <pageMargins left="0.75" right="0.75" top="1" bottom="1" header="0.5" footer="0.5"/>
  <pageSetup scale="90" fitToHeight="0" orientation="portrait" r:id="rId1"/>
  <headerFooter alignWithMargins="0"/>
  <rowBreaks count="2" manualBreakCount="2">
    <brk id="43" max="8" man="1"/>
    <brk id="71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22"/>
  <sheetViews>
    <sheetView zoomScaleNormal="100" workbookViewId="0">
      <selection activeCell="A6" sqref="A6:XFD6"/>
    </sheetView>
  </sheetViews>
  <sheetFormatPr defaultColWidth="8.85546875" defaultRowHeight="15.75"/>
  <cols>
    <col min="1" max="1" width="5.140625" style="17" customWidth="1"/>
    <col min="2" max="2" width="1" style="17" customWidth="1"/>
    <col min="3" max="3" width="53.42578125" style="17" bestFit="1" customWidth="1"/>
    <col min="4" max="4" width="0.85546875" style="17" customWidth="1"/>
    <col min="5" max="5" width="11.140625" style="17" customWidth="1"/>
    <col min="6" max="6" width="35.5703125" style="17" customWidth="1"/>
    <col min="7" max="7" width="8.85546875" style="17"/>
    <col min="8" max="8" width="7.5703125" style="17" customWidth="1"/>
    <col min="9" max="16384" width="8.85546875" style="17"/>
  </cols>
  <sheetData>
    <row r="1" spans="1:6">
      <c r="A1" s="17" t="s">
        <v>0</v>
      </c>
    </row>
    <row r="2" spans="1:6">
      <c r="A2" s="2" t="str">
        <f>RevReq!A2</f>
        <v>Docket No. NG22-___</v>
      </c>
    </row>
    <row r="3" spans="1:6">
      <c r="A3" s="17" t="s">
        <v>124</v>
      </c>
    </row>
    <row r="4" spans="1:6">
      <c r="A4" s="17" t="s">
        <v>223</v>
      </c>
    </row>
    <row r="5" spans="1:6">
      <c r="A5" s="2" t="str">
        <f>RevReq!A4</f>
        <v>Test Year Ended December 31, 2021</v>
      </c>
    </row>
    <row r="6" spans="1:6">
      <c r="A6" s="2"/>
    </row>
    <row r="8" spans="1:6">
      <c r="A8" s="196" t="s">
        <v>4</v>
      </c>
    </row>
    <row r="9" spans="1:6">
      <c r="A9" s="107" t="s">
        <v>5</v>
      </c>
      <c r="C9" s="22" t="s">
        <v>6</v>
      </c>
      <c r="E9" s="21" t="s">
        <v>88</v>
      </c>
      <c r="F9" s="22" t="s">
        <v>408</v>
      </c>
    </row>
    <row r="10" spans="1:6">
      <c r="C10" s="19" t="s">
        <v>53</v>
      </c>
      <c r="E10" s="19" t="s">
        <v>54</v>
      </c>
      <c r="F10" s="19" t="s">
        <v>97</v>
      </c>
    </row>
    <row r="13" spans="1:6">
      <c r="A13" s="108">
        <v>1</v>
      </c>
      <c r="C13" s="17" t="s">
        <v>686</v>
      </c>
    </row>
    <row r="14" spans="1:6">
      <c r="A14" s="108"/>
    </row>
    <row r="15" spans="1:6">
      <c r="A15" s="108">
        <v>2</v>
      </c>
      <c r="C15" s="17" t="s">
        <v>687</v>
      </c>
      <c r="E15" s="35">
        <v>954680</v>
      </c>
      <c r="F15" s="17" t="s">
        <v>688</v>
      </c>
    </row>
    <row r="16" spans="1:6">
      <c r="A16" s="108">
        <f>+A15+1</f>
        <v>3</v>
      </c>
      <c r="C16" s="17" t="s">
        <v>689</v>
      </c>
      <c r="E16" s="36">
        <v>2166</v>
      </c>
      <c r="F16" s="17" t="s">
        <v>688</v>
      </c>
    </row>
    <row r="17" spans="1:6" ht="16.5" thickBot="1">
      <c r="A17" s="108">
        <f t="shared" ref="A17" si="0">+A16+1</f>
        <v>4</v>
      </c>
      <c r="C17" s="68" t="s">
        <v>690</v>
      </c>
      <c r="E17" s="82">
        <f>E15-E16</f>
        <v>952514</v>
      </c>
    </row>
    <row r="18" spans="1:6" ht="16.5" thickTop="1">
      <c r="A18" s="108"/>
      <c r="E18" s="35"/>
    </row>
    <row r="19" spans="1:6">
      <c r="A19" s="108"/>
      <c r="E19" s="35"/>
    </row>
    <row r="20" spans="1:6">
      <c r="A20" s="108">
        <v>5</v>
      </c>
      <c r="C20" s="39" t="s">
        <v>424</v>
      </c>
      <c r="E20" s="69">
        <f>E17</f>
        <v>952514</v>
      </c>
      <c r="F20" s="2" t="s">
        <v>691</v>
      </c>
    </row>
    <row r="21" spans="1:6">
      <c r="E21" s="35"/>
    </row>
    <row r="22" spans="1:6">
      <c r="C22" s="40"/>
      <c r="E22" s="40"/>
    </row>
  </sheetData>
  <printOptions horizontalCentered="1"/>
  <pageMargins left="0.75" right="0.64" top="1" bottom="1" header="0.5" footer="0.5"/>
  <pageSetup scale="85" orientation="portrait" r:id="rId1"/>
  <headerFooter alignWithMargins="0">
    <oddFooter>&amp;CExhibit BGM 1.1, WP 10
Page 1 of 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4"/>
  <sheetViews>
    <sheetView zoomScaleNormal="100" workbookViewId="0">
      <selection activeCell="A8" sqref="A7:XFD8"/>
    </sheetView>
  </sheetViews>
  <sheetFormatPr defaultColWidth="8" defaultRowHeight="15.75"/>
  <cols>
    <col min="1" max="1" width="4.42578125" style="318" customWidth="1"/>
    <col min="2" max="2" width="0.85546875" style="318" customWidth="1"/>
    <col min="3" max="3" width="15.140625" style="318" customWidth="1"/>
    <col min="4" max="4" width="17.85546875" style="318" customWidth="1"/>
    <col min="5" max="5" width="0.85546875" style="318" customWidth="1"/>
    <col min="6" max="6" width="13.5703125" style="318" customWidth="1"/>
    <col min="7" max="7" width="0.85546875" style="318" customWidth="1"/>
    <col min="8" max="8" width="30.42578125" style="318" customWidth="1"/>
    <col min="9" max="13" width="8" style="318" customWidth="1"/>
    <col min="14" max="14" width="11.85546875" style="318" customWidth="1"/>
    <col min="15" max="15" width="8" style="318" customWidth="1"/>
    <col min="16" max="16" width="11.42578125" style="318" customWidth="1"/>
    <col min="17" max="16384" width="8" style="318"/>
  </cols>
  <sheetData>
    <row r="1" spans="1:8">
      <c r="A1" s="317" t="s">
        <v>0</v>
      </c>
    </row>
    <row r="2" spans="1:8">
      <c r="A2" s="301" t="str">
        <f>RevReq!A2</f>
        <v>Docket No. NG22-___</v>
      </c>
    </row>
    <row r="3" spans="1:8">
      <c r="A3" s="317" t="s">
        <v>124</v>
      </c>
    </row>
    <row r="4" spans="1:8">
      <c r="A4" s="301" t="s">
        <v>692</v>
      </c>
    </row>
    <row r="5" spans="1:8">
      <c r="A5" s="301" t="str">
        <f>RevReq!A4</f>
        <v>Test Year Ended December 31, 2021</v>
      </c>
    </row>
    <row r="6" spans="1:8">
      <c r="A6" s="319"/>
    </row>
    <row r="7" spans="1:8">
      <c r="A7" s="319"/>
    </row>
    <row r="8" spans="1:8">
      <c r="A8" s="318" t="s">
        <v>4</v>
      </c>
    </row>
    <row r="9" spans="1:8">
      <c r="A9" s="320" t="s">
        <v>5</v>
      </c>
      <c r="B9" s="321"/>
      <c r="C9" s="415" t="s">
        <v>6</v>
      </c>
      <c r="D9" s="416"/>
      <c r="E9" s="321"/>
      <c r="F9" s="323" t="s">
        <v>457</v>
      </c>
      <c r="G9" s="321"/>
      <c r="H9" s="322" t="s">
        <v>408</v>
      </c>
    </row>
    <row r="10" spans="1:8">
      <c r="A10" s="324"/>
      <c r="B10" s="321"/>
      <c r="C10" s="417" t="s">
        <v>53</v>
      </c>
      <c r="D10" s="418"/>
      <c r="E10" s="321"/>
      <c r="F10" s="326" t="s">
        <v>54</v>
      </c>
      <c r="G10" s="321"/>
      <c r="H10" s="325" t="s">
        <v>97</v>
      </c>
    </row>
    <row r="11" spans="1:8">
      <c r="A11" s="319"/>
      <c r="C11" s="327"/>
      <c r="F11" s="327"/>
      <c r="H11" s="327"/>
    </row>
    <row r="12" spans="1:8">
      <c r="A12" s="328">
        <v>1</v>
      </c>
      <c r="C12" s="318" t="s">
        <v>693</v>
      </c>
      <c r="F12" s="329">
        <v>329000</v>
      </c>
      <c r="H12" s="330" t="s">
        <v>694</v>
      </c>
    </row>
    <row r="13" spans="1:8">
      <c r="A13" s="328">
        <v>2</v>
      </c>
      <c r="C13" s="318" t="s">
        <v>695</v>
      </c>
      <c r="F13" s="331">
        <v>5</v>
      </c>
    </row>
    <row r="14" spans="1:8">
      <c r="A14" s="328">
        <v>3</v>
      </c>
      <c r="C14" s="318" t="s">
        <v>696</v>
      </c>
      <c r="F14" s="332">
        <f>F12/F13</f>
        <v>65800</v>
      </c>
      <c r="H14" s="318" t="s">
        <v>697</v>
      </c>
    </row>
    <row r="15" spans="1:8">
      <c r="A15" s="328"/>
      <c r="F15" s="332"/>
    </row>
    <row r="16" spans="1:8">
      <c r="A16" s="328">
        <v>4</v>
      </c>
      <c r="C16" s="318" t="s">
        <v>698</v>
      </c>
      <c r="F16" s="332">
        <v>0</v>
      </c>
    </row>
    <row r="17" spans="1:8">
      <c r="A17" s="328"/>
      <c r="F17" s="333"/>
    </row>
    <row r="18" spans="1:8">
      <c r="A18" s="328">
        <v>5</v>
      </c>
      <c r="C18" s="318" t="s">
        <v>420</v>
      </c>
      <c r="F18" s="334">
        <f>F14-F16</f>
        <v>65800</v>
      </c>
      <c r="H18" s="318" t="s">
        <v>699</v>
      </c>
    </row>
    <row r="19" spans="1:8">
      <c r="A19" s="328"/>
    </row>
    <row r="20" spans="1:8">
      <c r="A20" s="328">
        <v>6</v>
      </c>
      <c r="C20" s="319" t="s">
        <v>424</v>
      </c>
    </row>
    <row r="21" spans="1:8">
      <c r="A21" s="328">
        <v>7</v>
      </c>
      <c r="C21" s="319" t="s">
        <v>562</v>
      </c>
      <c r="F21" s="335">
        <f>F18</f>
        <v>65800</v>
      </c>
      <c r="H21" s="301" t="s">
        <v>700</v>
      </c>
    </row>
    <row r="24" spans="1:8">
      <c r="F24" s="327"/>
    </row>
  </sheetData>
  <mergeCells count="2">
    <mergeCell ref="C9:D9"/>
    <mergeCell ref="C10:D10"/>
  </mergeCells>
  <printOptions horizontalCentered="1"/>
  <pageMargins left="0.75" right="0.75" top="1" bottom="1" header="0.5" footer="0.5"/>
  <pageSetup orientation="portrait" r:id="rId1"/>
  <headerFooter alignWithMargins="0">
    <oddFooter>&amp;CExhibit BGM 1.1, WP 11
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6"/>
  <sheetViews>
    <sheetView zoomScaleNormal="100" workbookViewId="0"/>
  </sheetViews>
  <sheetFormatPr defaultColWidth="8.85546875" defaultRowHeight="15.75"/>
  <cols>
    <col min="1" max="1" width="5" style="17" customWidth="1"/>
    <col min="2" max="2" width="0.85546875" style="17" customWidth="1"/>
    <col min="3" max="3" width="74.140625" style="17" customWidth="1"/>
    <col min="4" max="4" width="0.85546875" style="17" customWidth="1"/>
    <col min="5" max="5" width="12.7109375" style="17" customWidth="1"/>
    <col min="6" max="7" width="8.85546875" style="17"/>
    <col min="8" max="8" width="14" style="17" bestFit="1" customWidth="1"/>
    <col min="9" max="9" width="12.7109375" style="17" bestFit="1" customWidth="1"/>
    <col min="10" max="11" width="9.140625" style="17" bestFit="1" customWidth="1"/>
    <col min="12" max="16" width="8.85546875" style="17"/>
    <col min="17" max="17" width="15.42578125" style="17" customWidth="1"/>
    <col min="18" max="18" width="13.7109375" style="17" bestFit="1" customWidth="1"/>
    <col min="19" max="19" width="9.5703125" style="17" bestFit="1" customWidth="1"/>
    <col min="20" max="20" width="13.7109375" style="17" bestFit="1" customWidth="1"/>
    <col min="21" max="16384" width="8.85546875" style="17"/>
  </cols>
  <sheetData>
    <row r="1" spans="1:19">
      <c r="A1" s="17" t="s">
        <v>0</v>
      </c>
    </row>
    <row r="2" spans="1:19">
      <c r="A2" s="17" t="s">
        <v>1</v>
      </c>
    </row>
    <row r="3" spans="1:19">
      <c r="A3" s="17" t="s">
        <v>8</v>
      </c>
    </row>
    <row r="4" spans="1:19">
      <c r="A4" s="17" t="s">
        <v>3</v>
      </c>
    </row>
    <row r="5" spans="1:19">
      <c r="A5" s="18" t="s">
        <v>49</v>
      </c>
    </row>
    <row r="7" spans="1:19">
      <c r="E7" s="19" t="s">
        <v>50</v>
      </c>
    </row>
    <row r="8" spans="1:19">
      <c r="E8" s="19" t="s">
        <v>51</v>
      </c>
      <c r="I8" s="20"/>
      <c r="J8" s="20"/>
      <c r="K8" s="20"/>
    </row>
    <row r="9" spans="1:19">
      <c r="A9" s="21" t="s">
        <v>4</v>
      </c>
      <c r="C9" s="22" t="s">
        <v>6</v>
      </c>
      <c r="E9" s="21" t="s">
        <v>52</v>
      </c>
      <c r="I9" s="23"/>
    </row>
    <row r="10" spans="1:19">
      <c r="C10" s="19" t="s">
        <v>53</v>
      </c>
      <c r="D10" s="19"/>
      <c r="E10" s="19" t="s">
        <v>54</v>
      </c>
      <c r="H10" s="110"/>
      <c r="I10" s="111"/>
      <c r="J10" s="112"/>
      <c r="K10" s="112"/>
      <c r="L10" s="112"/>
      <c r="S10" s="83"/>
    </row>
    <row r="11" spans="1:19">
      <c r="H11" s="110"/>
      <c r="I11" s="111"/>
      <c r="J11" s="112"/>
      <c r="K11" s="112"/>
      <c r="L11" s="112"/>
    </row>
    <row r="12" spans="1:19">
      <c r="A12" s="108">
        <v>1</v>
      </c>
      <c r="C12" s="17" t="s">
        <v>55</v>
      </c>
      <c r="E12" s="77">
        <v>152187</v>
      </c>
      <c r="H12" s="110"/>
      <c r="I12" s="113"/>
      <c r="J12" s="112"/>
      <c r="K12" s="112"/>
      <c r="L12" s="112"/>
    </row>
    <row r="13" spans="1:19">
      <c r="A13" s="108"/>
      <c r="H13" s="110"/>
      <c r="I13" s="114"/>
      <c r="J13" s="110"/>
      <c r="K13" s="110"/>
      <c r="L13" s="115"/>
    </row>
    <row r="14" spans="1:19">
      <c r="A14" s="108">
        <f>+A12+1</f>
        <v>2</v>
      </c>
      <c r="C14" s="17" t="s">
        <v>56</v>
      </c>
      <c r="E14" s="26">
        <f>WACC!G16</f>
        <v>7.6040639217714159E-2</v>
      </c>
    </row>
    <row r="15" spans="1:19">
      <c r="A15" s="108"/>
    </row>
    <row r="16" spans="1:19">
      <c r="A16" s="108">
        <f>+A14+1</f>
        <v>3</v>
      </c>
      <c r="C16" s="17" t="s">
        <v>57</v>
      </c>
      <c r="E16" s="27">
        <f>(+E12*E14)</f>
        <v>11572.396760626265</v>
      </c>
      <c r="H16" s="100"/>
    </row>
    <row r="17" spans="1:9">
      <c r="A17" s="108"/>
      <c r="E17" s="27"/>
    </row>
    <row r="18" spans="1:9">
      <c r="A18" s="108">
        <f>+A16+1</f>
        <v>4</v>
      </c>
      <c r="C18" s="17" t="s">
        <v>58</v>
      </c>
      <c r="E18" s="28">
        <f>+opincsum!I26</f>
        <v>6052.9122398723557</v>
      </c>
    </row>
    <row r="19" spans="1:9">
      <c r="A19" s="108"/>
      <c r="E19" s="27"/>
    </row>
    <row r="20" spans="1:9">
      <c r="A20" s="108">
        <f>+A18+1</f>
        <v>5</v>
      </c>
      <c r="C20" s="17" t="s">
        <v>59</v>
      </c>
      <c r="E20" s="27">
        <f>+E16-E18</f>
        <v>5519.4845207539092</v>
      </c>
    </row>
    <row r="21" spans="1:9">
      <c r="A21" s="108"/>
      <c r="E21" s="27"/>
    </row>
    <row r="22" spans="1:9">
      <c r="A22" s="108">
        <f>+A20+1</f>
        <v>6</v>
      </c>
      <c r="C22" s="17" t="s">
        <v>60</v>
      </c>
      <c r="E22" s="27"/>
    </row>
    <row r="23" spans="1:9">
      <c r="A23" s="108">
        <f>+A22+1</f>
        <v>7</v>
      </c>
      <c r="C23" s="17" t="s">
        <v>61</v>
      </c>
      <c r="E23" s="27">
        <f>(+E20/0.79)*0.21</f>
        <v>1467.2047460231909</v>
      </c>
    </row>
    <row r="24" spans="1:9">
      <c r="A24" s="108"/>
      <c r="E24" s="27"/>
    </row>
    <row r="25" spans="1:9">
      <c r="A25" s="108">
        <f>+A23+1</f>
        <v>8</v>
      </c>
      <c r="C25" s="17" t="s">
        <v>62</v>
      </c>
      <c r="E25" s="27">
        <f>(E20+E23)*0.0034</f>
        <v>23.754743507042139</v>
      </c>
    </row>
    <row r="26" spans="1:9">
      <c r="A26" s="108"/>
      <c r="E26" s="27"/>
    </row>
    <row r="27" spans="1:9">
      <c r="A27" s="108">
        <f>+A25+1</f>
        <v>9</v>
      </c>
      <c r="C27" s="17" t="s">
        <v>63</v>
      </c>
      <c r="E27" s="250">
        <f>+E20+E23+E25</f>
        <v>7010.4440102841418</v>
      </c>
    </row>
    <row r="28" spans="1:9">
      <c r="A28" s="108"/>
      <c r="E28" s="27"/>
    </row>
    <row r="29" spans="1:9">
      <c r="A29" s="108">
        <f>+A27+1</f>
        <v>10</v>
      </c>
      <c r="C29" s="17" t="s">
        <v>64</v>
      </c>
      <c r="E29" s="27">
        <f>+E27*0.0038</f>
        <v>26.639687239079738</v>
      </c>
    </row>
    <row r="30" spans="1:9">
      <c r="A30" s="108"/>
      <c r="E30" s="27"/>
    </row>
    <row r="31" spans="1:9" ht="16.5" thickBot="1">
      <c r="A31" s="108">
        <f>+A29+1</f>
        <v>11</v>
      </c>
      <c r="C31" s="17" t="s">
        <v>65</v>
      </c>
      <c r="E31" s="29">
        <f>+E27+E29</f>
        <v>7037.0836975232214</v>
      </c>
      <c r="H31" s="25"/>
      <c r="I31" s="27"/>
    </row>
    <row r="32" spans="1:9" ht="16.5" thickTop="1">
      <c r="A32" s="108"/>
      <c r="E32" s="27"/>
    </row>
    <row r="33" spans="1:5">
      <c r="A33" s="108">
        <f>+A31+1</f>
        <v>12</v>
      </c>
      <c r="C33" s="17" t="s">
        <v>66</v>
      </c>
      <c r="E33" s="27">
        <f>opincsum!I13</f>
        <v>30043.452384855802</v>
      </c>
    </row>
    <row r="34" spans="1:5">
      <c r="A34" s="108"/>
      <c r="E34" s="27"/>
    </row>
    <row r="35" spans="1:5">
      <c r="A35" s="108">
        <f>A33+1</f>
        <v>13</v>
      </c>
      <c r="C35" s="17" t="s">
        <v>67</v>
      </c>
      <c r="E35" s="27">
        <f>-'Pro Forma Summary'!AC14</f>
        <v>80455.035000000003</v>
      </c>
    </row>
    <row r="36" spans="1:5">
      <c r="A36" s="108"/>
      <c r="E36" s="28"/>
    </row>
    <row r="37" spans="1:5">
      <c r="A37" s="108">
        <f>A35+1</f>
        <v>14</v>
      </c>
      <c r="C37" s="17" t="s">
        <v>68</v>
      </c>
      <c r="E37" s="27">
        <f>E35+E33</f>
        <v>110498.48738485581</v>
      </c>
    </row>
    <row r="38" spans="1:5">
      <c r="A38" s="108"/>
      <c r="E38" s="27"/>
    </row>
    <row r="39" spans="1:5" ht="16.5" thickBot="1">
      <c r="A39" s="108">
        <f>+A37+1</f>
        <v>15</v>
      </c>
      <c r="C39" s="17" t="s">
        <v>69</v>
      </c>
      <c r="E39" s="249">
        <f>E31/E37</f>
        <v>6.3684887133465665E-2</v>
      </c>
    </row>
    <row r="40" spans="1:5" ht="16.5" thickTop="1"/>
    <row r="42" spans="1:5">
      <c r="C42" s="17" t="s">
        <v>70</v>
      </c>
    </row>
    <row r="43" spans="1:5">
      <c r="C43" s="17" t="s">
        <v>71</v>
      </c>
    </row>
    <row r="44" spans="1:5" s="72" customFormat="1">
      <c r="A44" s="17"/>
      <c r="B44" s="17"/>
      <c r="C44" s="17" t="s">
        <v>72</v>
      </c>
      <c r="D44" s="17"/>
      <c r="E44" s="17"/>
    </row>
    <row r="45" spans="1:5">
      <c r="C45" s="17" t="s">
        <v>73</v>
      </c>
    </row>
    <row r="46" spans="1:5">
      <c r="C46" s="17" t="s">
        <v>74</v>
      </c>
    </row>
    <row r="47" spans="1:5">
      <c r="A47" s="72"/>
      <c r="B47" s="72"/>
      <c r="C47" s="17" t="s">
        <v>75</v>
      </c>
      <c r="D47" s="72"/>
      <c r="E47" s="72"/>
    </row>
    <row r="48" spans="1:5">
      <c r="A48" s="72"/>
      <c r="B48" s="72"/>
      <c r="C48" s="17" t="s">
        <v>76</v>
      </c>
      <c r="D48" s="72"/>
      <c r="E48" s="72"/>
    </row>
    <row r="49" spans="3:3">
      <c r="C49" s="17" t="s">
        <v>77</v>
      </c>
    </row>
    <row r="50" spans="3:3">
      <c r="C50" s="17" t="s">
        <v>78</v>
      </c>
    </row>
    <row r="51" spans="3:3">
      <c r="C51" s="17" t="s">
        <v>79</v>
      </c>
    </row>
    <row r="52" spans="3:3">
      <c r="C52" s="17" t="s">
        <v>80</v>
      </c>
    </row>
    <row r="53" spans="3:3">
      <c r="C53" s="17" t="s">
        <v>81</v>
      </c>
    </row>
    <row r="54" spans="3:3">
      <c r="C54" s="17" t="s">
        <v>82</v>
      </c>
    </row>
    <row r="55" spans="3:3">
      <c r="C55" s="17" t="s">
        <v>83</v>
      </c>
    </row>
    <row r="56" spans="3:3">
      <c r="C56" s="17" t="s">
        <v>84</v>
      </c>
    </row>
  </sheetData>
  <phoneticPr fontId="9" type="noConversion"/>
  <printOptions horizontalCentered="1"/>
  <pageMargins left="0.75" right="0.75" top="1" bottom="1" header="0.5" footer="0.5"/>
  <pageSetup scale="79" orientation="portrait" r:id="rId1"/>
  <headerFooter alignWithMargins="0">
    <oddFooter xml:space="preserve">&amp;CExhibit BMG 1.1, Schedule 1
Page &amp;P of &amp;N&amp;R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F21"/>
  <sheetViews>
    <sheetView zoomScaleNormal="100" workbookViewId="0">
      <selection activeCell="A6" sqref="A6:XFD6"/>
    </sheetView>
  </sheetViews>
  <sheetFormatPr defaultColWidth="8.85546875" defaultRowHeight="15.75"/>
  <cols>
    <col min="1" max="1" width="5.140625" style="117" customWidth="1"/>
    <col min="2" max="2" width="1" style="117" customWidth="1"/>
    <col min="3" max="3" width="32.85546875" style="117" customWidth="1"/>
    <col min="4" max="4" width="0.85546875" style="117" customWidth="1"/>
    <col min="5" max="5" width="11.140625" style="117" customWidth="1"/>
    <col min="6" max="6" width="30.42578125" style="117" customWidth="1"/>
    <col min="7" max="7" width="8.85546875" style="117"/>
    <col min="8" max="8" width="7.5703125" style="117" customWidth="1"/>
    <col min="9" max="16384" width="8.85546875" style="117"/>
  </cols>
  <sheetData>
    <row r="1" spans="1:6">
      <c r="A1" s="117" t="s">
        <v>0</v>
      </c>
    </row>
    <row r="2" spans="1:6">
      <c r="A2" s="116" t="str">
        <f>RevReq!A2</f>
        <v>Docket No. NG22-___</v>
      </c>
    </row>
    <row r="3" spans="1:6">
      <c r="A3" s="117" t="s">
        <v>124</v>
      </c>
    </row>
    <row r="4" spans="1:6">
      <c r="A4" s="117" t="s">
        <v>229</v>
      </c>
    </row>
    <row r="5" spans="1:6">
      <c r="A5" s="116" t="str">
        <f>RevReq!A4</f>
        <v>Test Year Ended December 31, 2021</v>
      </c>
    </row>
    <row r="6" spans="1:6">
      <c r="A6" s="116"/>
    </row>
    <row r="8" spans="1:6">
      <c r="A8" s="197" t="s">
        <v>4</v>
      </c>
    </row>
    <row r="9" spans="1:6">
      <c r="A9" s="118" t="s">
        <v>5</v>
      </c>
      <c r="C9" s="134" t="s">
        <v>6</v>
      </c>
      <c r="E9" s="135" t="s">
        <v>88</v>
      </c>
      <c r="F9" s="134" t="s">
        <v>408</v>
      </c>
    </row>
    <row r="10" spans="1:6">
      <c r="C10" s="133" t="s">
        <v>53</v>
      </c>
      <c r="E10" s="133" t="s">
        <v>54</v>
      </c>
      <c r="F10" s="133" t="s">
        <v>97</v>
      </c>
    </row>
    <row r="13" spans="1:6">
      <c r="A13" s="198">
        <v>1</v>
      </c>
      <c r="C13" s="117" t="s">
        <v>686</v>
      </c>
    </row>
    <row r="14" spans="1:6">
      <c r="A14" s="198"/>
    </row>
    <row r="15" spans="1:6">
      <c r="A15" s="198">
        <f>+A13+1</f>
        <v>2</v>
      </c>
      <c r="C15" s="117" t="s">
        <v>701</v>
      </c>
    </row>
    <row r="16" spans="1:6">
      <c r="A16" s="198">
        <f>+A15+1</f>
        <v>3</v>
      </c>
      <c r="C16" s="117" t="s">
        <v>702</v>
      </c>
    </row>
    <row r="17" spans="1:6">
      <c r="A17" s="198">
        <f>+A16+1</f>
        <v>4</v>
      </c>
      <c r="C17" s="117" t="s">
        <v>703</v>
      </c>
      <c r="E17" s="199">
        <v>122196</v>
      </c>
      <c r="F17" s="117" t="s">
        <v>704</v>
      </c>
    </row>
    <row r="18" spans="1:6">
      <c r="A18" s="198"/>
      <c r="E18" s="199"/>
    </row>
    <row r="19" spans="1:6">
      <c r="A19" s="198">
        <f>+A17+1</f>
        <v>5</v>
      </c>
      <c r="C19" s="200" t="s">
        <v>424</v>
      </c>
      <c r="E19" s="201">
        <f>-E17</f>
        <v>-122196</v>
      </c>
      <c r="F19" s="116" t="s">
        <v>705</v>
      </c>
    </row>
    <row r="20" spans="1:6">
      <c r="E20" s="199"/>
    </row>
    <row r="21" spans="1:6">
      <c r="C21" s="202"/>
      <c r="E21" s="202"/>
    </row>
  </sheetData>
  <phoneticPr fontId="0" type="noConversion"/>
  <printOptions horizontalCentered="1"/>
  <pageMargins left="0.75" right="0.64" top="1" bottom="1" header="0.5" footer="0.5"/>
  <pageSetup orientation="portrait" r:id="rId1"/>
  <headerFooter alignWithMargins="0">
    <oddFooter>&amp;CExhibit BGM 1.1, WP 12
Page 1 of 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21"/>
  <sheetViews>
    <sheetView zoomScaleNormal="100" workbookViewId="0">
      <selection activeCell="F2" sqref="F2"/>
    </sheetView>
  </sheetViews>
  <sheetFormatPr defaultColWidth="8" defaultRowHeight="15.75"/>
  <cols>
    <col min="1" max="1" width="4.42578125" style="217" customWidth="1"/>
    <col min="2" max="2" width="0.85546875" style="217" customWidth="1"/>
    <col min="3" max="3" width="21.140625" style="217" customWidth="1"/>
    <col min="4" max="4" width="15" style="217" customWidth="1"/>
    <col min="5" max="5" width="0.85546875" style="217" customWidth="1"/>
    <col min="6" max="6" width="13.5703125" style="217" customWidth="1"/>
    <col min="7" max="7" width="0.85546875" style="217" customWidth="1"/>
    <col min="8" max="8" width="31" style="217" customWidth="1"/>
    <col min="9" max="16384" width="8" style="217"/>
  </cols>
  <sheetData>
    <row r="1" spans="1:8">
      <c r="A1" s="217" t="s">
        <v>0</v>
      </c>
    </row>
    <row r="2" spans="1:8" s="117" customFormat="1">
      <c r="A2" s="116" t="str">
        <f>RevReq!A2</f>
        <v>Docket No. NG22-___</v>
      </c>
    </row>
    <row r="3" spans="1:8">
      <c r="A3" s="117" t="s">
        <v>124</v>
      </c>
    </row>
    <row r="4" spans="1:8">
      <c r="A4" s="102" t="s">
        <v>706</v>
      </c>
    </row>
    <row r="5" spans="1:8">
      <c r="A5" s="116" t="str">
        <f>RevReq!A4</f>
        <v>Test Year Ended December 31, 2021</v>
      </c>
    </row>
    <row r="8" spans="1:8">
      <c r="A8" s="231" t="s">
        <v>4</v>
      </c>
    </row>
    <row r="9" spans="1:8">
      <c r="A9" s="247" t="s">
        <v>5</v>
      </c>
      <c r="C9" s="220" t="s">
        <v>6</v>
      </c>
      <c r="D9" s="219"/>
      <c r="F9" s="221" t="s">
        <v>457</v>
      </c>
      <c r="H9" s="221" t="s">
        <v>408</v>
      </c>
    </row>
    <row r="10" spans="1:8">
      <c r="A10" s="222"/>
      <c r="C10" s="223" t="s">
        <v>53</v>
      </c>
      <c r="F10" s="224" t="s">
        <v>54</v>
      </c>
      <c r="H10" s="224" t="s">
        <v>97</v>
      </c>
    </row>
    <row r="11" spans="1:8">
      <c r="A11" s="222"/>
      <c r="C11" s="225"/>
      <c r="F11" s="225"/>
      <c r="H11" s="225"/>
    </row>
    <row r="12" spans="1:8">
      <c r="A12" s="248">
        <v>1</v>
      </c>
      <c r="C12" s="217" t="s">
        <v>707</v>
      </c>
      <c r="F12" s="123">
        <v>97639</v>
      </c>
      <c r="H12" s="231" t="s">
        <v>708</v>
      </c>
    </row>
    <row r="13" spans="1:8">
      <c r="A13" s="248">
        <f>A12+1</f>
        <v>2</v>
      </c>
      <c r="C13" s="217" t="s">
        <v>709</v>
      </c>
      <c r="D13" s="241"/>
      <c r="F13" s="242">
        <v>81790</v>
      </c>
      <c r="H13" s="231" t="s">
        <v>708</v>
      </c>
    </row>
    <row r="14" spans="1:8">
      <c r="A14" s="248">
        <f t="shared" ref="A14:A16" si="0">A13+1</f>
        <v>3</v>
      </c>
      <c r="C14" s="222"/>
      <c r="D14" s="241"/>
      <c r="F14" s="243"/>
    </row>
    <row r="15" spans="1:8">
      <c r="A15" s="248">
        <f t="shared" si="0"/>
        <v>4</v>
      </c>
      <c r="C15" s="222" t="s">
        <v>710</v>
      </c>
      <c r="D15" s="241"/>
      <c r="F15" s="243"/>
    </row>
    <row r="16" spans="1:8">
      <c r="A16" s="248">
        <f t="shared" si="0"/>
        <v>5</v>
      </c>
      <c r="C16" s="244" t="s">
        <v>711</v>
      </c>
      <c r="D16" s="241"/>
      <c r="F16" s="245">
        <f>-(F12+F13)</f>
        <v>-179429</v>
      </c>
      <c r="H16" s="116" t="s">
        <v>712</v>
      </c>
    </row>
    <row r="17" spans="1:6">
      <c r="A17" s="226"/>
      <c r="C17" s="222"/>
      <c r="D17" s="241"/>
      <c r="F17" s="243"/>
    </row>
    <row r="18" spans="1:6">
      <c r="A18" s="226"/>
      <c r="F18" s="246"/>
    </row>
    <row r="19" spans="1:6">
      <c r="A19" s="226"/>
    </row>
    <row r="20" spans="1:6">
      <c r="A20" s="226"/>
      <c r="C20" s="222"/>
    </row>
    <row r="21" spans="1:6">
      <c r="A21" s="226"/>
    </row>
  </sheetData>
  <pageMargins left="0.7" right="0.7" top="0.75" bottom="0.75" header="0.3" footer="0.3"/>
  <pageSetup orientation="portrait" horizontalDpi="300" verticalDpi="300" r:id="rId1"/>
  <headerFooter>
    <oddFooter>&amp;CExhibit BGM 1.1, WP 13
Page 1 of 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27"/>
  <sheetViews>
    <sheetView view="pageLayout" topLeftCell="A15" zoomScaleNormal="100" workbookViewId="0">
      <selection activeCell="D1" sqref="D1"/>
    </sheetView>
  </sheetViews>
  <sheetFormatPr defaultColWidth="8" defaultRowHeight="15.75"/>
  <cols>
    <col min="1" max="1" width="4.42578125" style="217" customWidth="1"/>
    <col min="2" max="2" width="0.85546875" style="217" customWidth="1"/>
    <col min="3" max="3" width="21.140625" style="217" customWidth="1"/>
    <col min="4" max="4" width="23.28515625" style="217" customWidth="1"/>
    <col min="5" max="5" width="0.85546875" style="217" customWidth="1"/>
    <col min="6" max="6" width="13.5703125" style="217" customWidth="1"/>
    <col min="7" max="7" width="0.85546875" style="217" customWidth="1"/>
    <col min="8" max="8" width="32.7109375" style="217" customWidth="1"/>
    <col min="9" max="16384" width="8" style="217"/>
  </cols>
  <sheetData>
    <row r="1" spans="1:8">
      <c r="A1" s="217" t="s">
        <v>0</v>
      </c>
    </row>
    <row r="2" spans="1:8" s="117" customFormat="1">
      <c r="A2" s="116" t="str">
        <f>RevReq!A2</f>
        <v>Docket No. NG22-___</v>
      </c>
    </row>
    <row r="3" spans="1:8">
      <c r="A3" s="218" t="s">
        <v>124</v>
      </c>
    </row>
    <row r="4" spans="1:8">
      <c r="A4" s="102" t="s">
        <v>713</v>
      </c>
    </row>
    <row r="5" spans="1:8">
      <c r="A5" s="116" t="str">
        <f>RevReq!A4</f>
        <v>Test Year Ended December 31, 2021</v>
      </c>
    </row>
    <row r="8" spans="1:8">
      <c r="A8" s="231" t="s">
        <v>4</v>
      </c>
    </row>
    <row r="9" spans="1:8">
      <c r="A9" s="247" t="s">
        <v>5</v>
      </c>
      <c r="C9" s="220" t="s">
        <v>6</v>
      </c>
      <c r="D9" s="219"/>
      <c r="F9" s="221" t="s">
        <v>457</v>
      </c>
      <c r="H9" s="221" t="s">
        <v>408</v>
      </c>
    </row>
    <row r="10" spans="1:8">
      <c r="A10" s="222"/>
      <c r="C10" s="223" t="s">
        <v>53</v>
      </c>
      <c r="F10" s="224" t="s">
        <v>54</v>
      </c>
      <c r="H10" s="224" t="s">
        <v>97</v>
      </c>
    </row>
    <row r="11" spans="1:8">
      <c r="A11" s="222"/>
      <c r="C11" s="225"/>
      <c r="F11" s="225"/>
      <c r="H11" s="225"/>
    </row>
    <row r="12" spans="1:8">
      <c r="A12" s="248">
        <v>1</v>
      </c>
      <c r="C12" s="217" t="s">
        <v>714</v>
      </c>
      <c r="F12" s="227"/>
    </row>
    <row r="13" spans="1:8">
      <c r="A13" s="248">
        <f>A12+1</f>
        <v>2</v>
      </c>
      <c r="C13" s="237" t="s">
        <v>715</v>
      </c>
      <c r="D13" s="228"/>
      <c r="F13" s="229">
        <v>50804</v>
      </c>
      <c r="H13" s="102" t="s">
        <v>716</v>
      </c>
    </row>
    <row r="14" spans="1:8">
      <c r="A14" s="248">
        <f>A13+1</f>
        <v>3</v>
      </c>
      <c r="C14" s="102"/>
      <c r="D14" s="228"/>
      <c r="F14" s="218"/>
    </row>
    <row r="15" spans="1:8">
      <c r="A15" s="248">
        <f>A14+1</f>
        <v>4</v>
      </c>
      <c r="C15" s="102" t="s">
        <v>717</v>
      </c>
      <c r="D15" s="228"/>
      <c r="F15" s="111"/>
      <c r="H15" s="102"/>
    </row>
    <row r="16" spans="1:8">
      <c r="A16" s="248">
        <f t="shared" ref="A16:A24" si="0">A15+1</f>
        <v>5</v>
      </c>
      <c r="C16" s="237" t="s">
        <v>718</v>
      </c>
      <c r="D16" s="228"/>
      <c r="F16" s="111">
        <v>1031.8499999999999</v>
      </c>
      <c r="H16" s="102" t="s">
        <v>719</v>
      </c>
    </row>
    <row r="17" spans="1:8">
      <c r="A17" s="248">
        <f t="shared" si="0"/>
        <v>6</v>
      </c>
      <c r="C17" s="237" t="s">
        <v>720</v>
      </c>
      <c r="D17" s="228"/>
      <c r="F17" s="111">
        <f>4619384.08-4620848.1</f>
        <v>-1464.019999999553</v>
      </c>
      <c r="H17" s="102" t="s">
        <v>719</v>
      </c>
    </row>
    <row r="18" spans="1:8">
      <c r="A18" s="248">
        <f t="shared" si="0"/>
        <v>7</v>
      </c>
      <c r="C18" s="238" t="s">
        <v>721</v>
      </c>
      <c r="D18" s="228"/>
      <c r="F18" s="239">
        <f>F17+F16</f>
        <v>-432.16999999955306</v>
      </c>
    </row>
    <row r="19" spans="1:8">
      <c r="A19" s="248"/>
      <c r="C19" s="237"/>
      <c r="D19" s="228"/>
      <c r="F19" s="218"/>
    </row>
    <row r="20" spans="1:8">
      <c r="A20" s="248">
        <f>A18+1</f>
        <v>8</v>
      </c>
      <c r="C20" s="233" t="s">
        <v>619</v>
      </c>
    </row>
    <row r="21" spans="1:8">
      <c r="A21" s="248">
        <f t="shared" si="0"/>
        <v>9</v>
      </c>
      <c r="C21" s="102"/>
      <c r="D21" s="228"/>
      <c r="F21" s="102"/>
    </row>
    <row r="22" spans="1:8">
      <c r="A22" s="248">
        <f t="shared" si="0"/>
        <v>10</v>
      </c>
      <c r="C22" s="234" t="s">
        <v>722</v>
      </c>
      <c r="D22" s="228"/>
      <c r="F22" s="240">
        <f>-F13</f>
        <v>-50804</v>
      </c>
      <c r="H22" s="116" t="s">
        <v>723</v>
      </c>
    </row>
    <row r="23" spans="1:8">
      <c r="A23" s="248">
        <f t="shared" si="0"/>
        <v>11</v>
      </c>
      <c r="C23" s="203"/>
      <c r="D23" s="203"/>
      <c r="E23" s="203"/>
      <c r="F23" s="203"/>
      <c r="G23" s="203"/>
      <c r="H23" s="203"/>
    </row>
    <row r="24" spans="1:8">
      <c r="A24" s="248">
        <f t="shared" si="0"/>
        <v>12</v>
      </c>
      <c r="C24" s="234" t="s">
        <v>724</v>
      </c>
      <c r="D24" s="228"/>
      <c r="F24" s="240">
        <f>-F17-F16</f>
        <v>432.16999999955306</v>
      </c>
      <c r="H24" s="116" t="s">
        <v>723</v>
      </c>
    </row>
    <row r="25" spans="1:8">
      <c r="A25" s="226"/>
    </row>
    <row r="26" spans="1:8">
      <c r="A26" s="226"/>
      <c r="C26" s="222"/>
    </row>
    <row r="27" spans="1:8">
      <c r="A27" s="226"/>
    </row>
  </sheetData>
  <pageMargins left="0.7" right="0.7" top="0.75" bottom="0.75" header="0.3" footer="0.3"/>
  <pageSetup scale="94" orientation="portrait" horizontalDpi="300" verticalDpi="300" r:id="rId1"/>
  <headerFooter>
    <oddFooter>&amp;CExhibit BGM 1.1, WP 14
Page 1 of 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H40"/>
  <sheetViews>
    <sheetView zoomScaleNormal="100" workbookViewId="0">
      <selection activeCell="C8" sqref="C8"/>
    </sheetView>
  </sheetViews>
  <sheetFormatPr defaultColWidth="8" defaultRowHeight="15.75"/>
  <cols>
    <col min="1" max="1" width="4.42578125" style="217" customWidth="1"/>
    <col min="2" max="2" width="0.85546875" style="217" customWidth="1"/>
    <col min="3" max="3" width="21.140625" style="217" customWidth="1"/>
    <col min="4" max="4" width="25.140625" style="217" customWidth="1"/>
    <col min="5" max="5" width="0.85546875" style="217" customWidth="1"/>
    <col min="6" max="6" width="13.5703125" style="217" customWidth="1"/>
    <col min="7" max="7" width="0.85546875" style="217" customWidth="1"/>
    <col min="8" max="8" width="45.42578125" style="217" bestFit="1" customWidth="1"/>
    <col min="9" max="16384" width="8" style="217"/>
  </cols>
  <sheetData>
    <row r="1" spans="1:8">
      <c r="A1" s="217" t="s">
        <v>0</v>
      </c>
    </row>
    <row r="2" spans="1:8">
      <c r="A2" s="218" t="s">
        <v>124</v>
      </c>
    </row>
    <row r="3" spans="1:8">
      <c r="A3" s="102" t="s">
        <v>244</v>
      </c>
    </row>
    <row r="4" spans="1:8">
      <c r="A4" s="116" t="str">
        <f>RevReq!A4</f>
        <v>Test Year Ended December 31, 2021</v>
      </c>
    </row>
    <row r="7" spans="1:8">
      <c r="A7" s="231" t="s">
        <v>4</v>
      </c>
    </row>
    <row r="8" spans="1:8">
      <c r="A8" s="247" t="s">
        <v>5</v>
      </c>
      <c r="C8" s="220" t="s">
        <v>6</v>
      </c>
      <c r="D8" s="219"/>
      <c r="F8" s="221" t="s">
        <v>457</v>
      </c>
      <c r="H8" s="221" t="s">
        <v>408</v>
      </c>
    </row>
    <row r="9" spans="1:8">
      <c r="A9" s="222"/>
      <c r="C9" s="223" t="s">
        <v>53</v>
      </c>
      <c r="F9" s="224" t="s">
        <v>54</v>
      </c>
      <c r="H9" s="224" t="s">
        <v>97</v>
      </c>
    </row>
    <row r="10" spans="1:8">
      <c r="A10" s="222"/>
      <c r="C10" s="225"/>
      <c r="F10" s="225"/>
      <c r="H10" s="225"/>
    </row>
    <row r="11" spans="1:8">
      <c r="A11" s="248">
        <v>1</v>
      </c>
      <c r="C11" s="217" t="s">
        <v>725</v>
      </c>
      <c r="F11" s="227"/>
    </row>
    <row r="12" spans="1:8">
      <c r="A12" s="248">
        <f>A11+1</f>
        <v>2</v>
      </c>
      <c r="C12" s="102" t="s">
        <v>726</v>
      </c>
      <c r="D12" s="228"/>
      <c r="F12" s="229">
        <v>69147358</v>
      </c>
      <c r="H12" s="102" t="s">
        <v>727</v>
      </c>
    </row>
    <row r="13" spans="1:8">
      <c r="A13" s="248">
        <f t="shared" ref="A13:A37" si="0">A12+1</f>
        <v>3</v>
      </c>
      <c r="C13" s="102" t="s">
        <v>728</v>
      </c>
      <c r="D13" s="228"/>
      <c r="F13" s="229">
        <v>6746508</v>
      </c>
      <c r="H13" s="102" t="s">
        <v>729</v>
      </c>
    </row>
    <row r="14" spans="1:8">
      <c r="A14" s="248">
        <f t="shared" si="0"/>
        <v>4</v>
      </c>
      <c r="C14" s="102" t="s">
        <v>730</v>
      </c>
      <c r="D14" s="228"/>
      <c r="F14" s="229">
        <v>4427297</v>
      </c>
      <c r="H14" s="102" t="s">
        <v>731</v>
      </c>
    </row>
    <row r="15" spans="1:8">
      <c r="A15" s="248">
        <f t="shared" si="0"/>
        <v>5</v>
      </c>
      <c r="C15" s="102" t="s">
        <v>732</v>
      </c>
      <c r="D15" s="228"/>
      <c r="F15" s="229">
        <v>139281</v>
      </c>
      <c r="H15" s="102" t="s">
        <v>733</v>
      </c>
    </row>
    <row r="16" spans="1:8">
      <c r="A16" s="248">
        <f t="shared" si="0"/>
        <v>6</v>
      </c>
      <c r="C16" s="102" t="s">
        <v>734</v>
      </c>
      <c r="D16" s="228"/>
      <c r="F16" s="230">
        <v>-5409</v>
      </c>
      <c r="H16" s="102"/>
    </row>
    <row r="17" spans="1:8">
      <c r="A17" s="248">
        <f t="shared" si="0"/>
        <v>7</v>
      </c>
      <c r="C17" s="102" t="s">
        <v>735</v>
      </c>
      <c r="D17" s="228"/>
      <c r="F17" s="229">
        <f>SUM(F12:F16)</f>
        <v>80455035</v>
      </c>
      <c r="H17" s="231" t="s">
        <v>736</v>
      </c>
    </row>
    <row r="18" spans="1:8">
      <c r="A18" s="248">
        <f t="shared" si="0"/>
        <v>8</v>
      </c>
      <c r="C18" s="102"/>
      <c r="D18" s="228"/>
      <c r="F18" s="229"/>
      <c r="H18" s="231"/>
    </row>
    <row r="19" spans="1:8">
      <c r="A19" s="248">
        <f t="shared" si="0"/>
        <v>9</v>
      </c>
      <c r="C19" s="102" t="s">
        <v>737</v>
      </c>
      <c r="D19" s="228"/>
      <c r="F19" s="232">
        <v>99643010</v>
      </c>
      <c r="H19" s="102" t="s">
        <v>738</v>
      </c>
    </row>
    <row r="20" spans="1:8">
      <c r="A20" s="248">
        <f t="shared" si="0"/>
        <v>10</v>
      </c>
      <c r="C20" s="102" t="s">
        <v>739</v>
      </c>
      <c r="D20" s="228"/>
      <c r="F20" s="230">
        <v>19206045</v>
      </c>
      <c r="H20" s="102" t="s">
        <v>740</v>
      </c>
    </row>
    <row r="21" spans="1:8">
      <c r="A21" s="248">
        <f t="shared" si="0"/>
        <v>11</v>
      </c>
      <c r="C21" s="102" t="s">
        <v>741</v>
      </c>
      <c r="D21" s="228"/>
      <c r="F21" s="232">
        <f>F19-F20</f>
        <v>80436965</v>
      </c>
      <c r="H21" s="102" t="s">
        <v>742</v>
      </c>
    </row>
    <row r="22" spans="1:8">
      <c r="A22" s="248">
        <f t="shared" si="0"/>
        <v>12</v>
      </c>
      <c r="C22" s="102"/>
      <c r="D22" s="228"/>
      <c r="F22" s="232"/>
      <c r="H22" s="102"/>
    </row>
    <row r="23" spans="1:8">
      <c r="A23" s="248">
        <f t="shared" si="0"/>
        <v>13</v>
      </c>
      <c r="C23" s="102" t="s">
        <v>743</v>
      </c>
      <c r="D23" s="228"/>
      <c r="F23" s="232">
        <v>22916</v>
      </c>
      <c r="H23" s="102" t="s">
        <v>744</v>
      </c>
    </row>
    <row r="24" spans="1:8">
      <c r="A24" s="248">
        <f t="shared" si="0"/>
        <v>14</v>
      </c>
      <c r="C24" s="102"/>
      <c r="D24" s="228"/>
      <c r="F24" s="232"/>
      <c r="H24" s="102"/>
    </row>
    <row r="25" spans="1:8">
      <c r="A25" s="248">
        <f t="shared" si="0"/>
        <v>15</v>
      </c>
      <c r="C25" s="102" t="s">
        <v>745</v>
      </c>
      <c r="D25" s="228"/>
      <c r="F25" s="232">
        <v>40986</v>
      </c>
      <c r="H25" s="102" t="s">
        <v>746</v>
      </c>
    </row>
    <row r="26" spans="1:8">
      <c r="A26" s="248">
        <f t="shared" si="0"/>
        <v>16</v>
      </c>
      <c r="C26" s="102"/>
      <c r="D26" s="228"/>
      <c r="F26" s="232"/>
      <c r="H26" s="102"/>
    </row>
    <row r="27" spans="1:8">
      <c r="A27" s="248">
        <f t="shared" si="0"/>
        <v>17</v>
      </c>
      <c r="C27" s="102" t="s">
        <v>747</v>
      </c>
      <c r="D27" s="228"/>
      <c r="F27" s="232">
        <f>F17-F21+F23-F25</f>
        <v>0</v>
      </c>
      <c r="H27" s="102" t="s">
        <v>748</v>
      </c>
    </row>
    <row r="28" spans="1:8">
      <c r="A28" s="248">
        <f t="shared" si="0"/>
        <v>18</v>
      </c>
      <c r="C28" s="102"/>
      <c r="D28" s="228"/>
      <c r="F28" s="232"/>
      <c r="H28" s="102"/>
    </row>
    <row r="29" spans="1:8">
      <c r="A29" s="248">
        <f t="shared" si="0"/>
        <v>19</v>
      </c>
      <c r="C29" s="233" t="s">
        <v>619</v>
      </c>
    </row>
    <row r="30" spans="1:8">
      <c r="A30" s="248">
        <f t="shared" si="0"/>
        <v>20</v>
      </c>
      <c r="C30" s="233"/>
      <c r="F30" s="218"/>
    </row>
    <row r="31" spans="1:8">
      <c r="A31" s="248">
        <f t="shared" si="0"/>
        <v>21</v>
      </c>
      <c r="C31" s="234" t="s">
        <v>749</v>
      </c>
      <c r="D31" s="228"/>
      <c r="F31" s="235">
        <f>-F17</f>
        <v>-80455035</v>
      </c>
      <c r="H31" s="116" t="s">
        <v>750</v>
      </c>
    </row>
    <row r="32" spans="1:8">
      <c r="A32" s="248">
        <f t="shared" si="0"/>
        <v>22</v>
      </c>
      <c r="C32" s="102"/>
      <c r="D32" s="228"/>
      <c r="F32" s="102"/>
    </row>
    <row r="33" spans="1:8">
      <c r="A33" s="248">
        <f t="shared" si="0"/>
        <v>23</v>
      </c>
      <c r="C33" s="234" t="s">
        <v>751</v>
      </c>
      <c r="D33" s="228"/>
      <c r="F33" s="235">
        <f>-F21</f>
        <v>-80436965</v>
      </c>
      <c r="H33" s="116" t="s">
        <v>750</v>
      </c>
    </row>
    <row r="34" spans="1:8">
      <c r="A34" s="248">
        <f t="shared" si="0"/>
        <v>24</v>
      </c>
      <c r="C34" s="222"/>
      <c r="D34" s="228"/>
      <c r="F34" s="236"/>
    </row>
    <row r="35" spans="1:8">
      <c r="A35" s="248">
        <f t="shared" si="0"/>
        <v>25</v>
      </c>
      <c r="C35" s="234" t="s">
        <v>248</v>
      </c>
      <c r="D35" s="228"/>
      <c r="F35" s="235">
        <f>-F23</f>
        <v>-22916</v>
      </c>
      <c r="H35" s="116" t="s">
        <v>750</v>
      </c>
    </row>
    <row r="36" spans="1:8">
      <c r="A36" s="248">
        <f t="shared" si="0"/>
        <v>26</v>
      </c>
      <c r="C36" s="222"/>
      <c r="D36" s="228"/>
      <c r="F36" s="236"/>
    </row>
    <row r="37" spans="1:8">
      <c r="A37" s="248">
        <f t="shared" si="0"/>
        <v>27</v>
      </c>
      <c r="C37" s="222" t="s">
        <v>237</v>
      </c>
      <c r="F37" s="235">
        <f>-F25</f>
        <v>-40986</v>
      </c>
      <c r="H37" s="116" t="s">
        <v>750</v>
      </c>
    </row>
    <row r="38" spans="1:8">
      <c r="A38" s="226"/>
    </row>
    <row r="39" spans="1:8">
      <c r="A39" s="226"/>
      <c r="C39" s="222"/>
    </row>
    <row r="40" spans="1:8">
      <c r="A40" s="226"/>
    </row>
  </sheetData>
  <pageMargins left="0.7" right="0.7" top="0.75" bottom="0.75" header="0.3" footer="0.3"/>
  <pageSetup scale="80" orientation="portrait" horizontalDpi="300" verticalDpi="300" r:id="rId1"/>
  <headerFooter>
    <oddFooter>&amp;CExhibit BGM 1.1, WP 15
Page 1 of 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5">
    <pageSetUpPr fitToPage="1"/>
  </sheetPr>
  <dimension ref="A1:H30"/>
  <sheetViews>
    <sheetView zoomScaleNormal="100" workbookViewId="0">
      <selection activeCell="A6" sqref="A6"/>
    </sheetView>
  </sheetViews>
  <sheetFormatPr defaultColWidth="8" defaultRowHeight="15.75"/>
  <cols>
    <col min="1" max="1" width="4.42578125" style="116" customWidth="1"/>
    <col min="2" max="2" width="0.85546875" style="116" customWidth="1"/>
    <col min="3" max="3" width="15.140625" style="116" customWidth="1"/>
    <col min="4" max="4" width="27.7109375" style="116" customWidth="1"/>
    <col min="5" max="5" width="0.85546875" style="116" customWidth="1"/>
    <col min="6" max="6" width="13.5703125" style="111" customWidth="1"/>
    <col min="7" max="7" width="0.85546875" style="116" customWidth="1"/>
    <col min="8" max="8" width="33.42578125" style="116" bestFit="1" customWidth="1"/>
    <col min="9" max="16384" width="8" style="116"/>
  </cols>
  <sheetData>
    <row r="1" spans="1:8">
      <c r="A1" s="102" t="s">
        <v>0</v>
      </c>
      <c r="B1" s="119"/>
      <c r="C1" s="119"/>
    </row>
    <row r="2" spans="1:8">
      <c r="A2" s="116" t="str">
        <f>RevReq!A2</f>
        <v>Docket No. NG22-___</v>
      </c>
      <c r="B2" s="119"/>
      <c r="C2" s="119"/>
    </row>
    <row r="3" spans="1:8">
      <c r="A3" s="102" t="s">
        <v>124</v>
      </c>
      <c r="B3" s="119"/>
      <c r="C3" s="119"/>
    </row>
    <row r="4" spans="1:8">
      <c r="A4" s="116" t="s">
        <v>752</v>
      </c>
      <c r="B4" s="119"/>
      <c r="C4" s="119"/>
      <c r="D4" s="119"/>
    </row>
    <row r="5" spans="1:8">
      <c r="A5" s="116" t="str">
        <f>RevReq!A4</f>
        <v>Test Year Ended December 31, 2021</v>
      </c>
    </row>
    <row r="7" spans="1:8">
      <c r="A7" s="119"/>
    </row>
    <row r="8" spans="1:8">
      <c r="A8" s="212" t="s">
        <v>4</v>
      </c>
    </row>
    <row r="9" spans="1:8">
      <c r="A9" s="337" t="s">
        <v>5</v>
      </c>
      <c r="C9" s="419" t="s">
        <v>6</v>
      </c>
      <c r="D9" s="420"/>
      <c r="F9" s="336" t="s">
        <v>457</v>
      </c>
      <c r="H9" s="299" t="s">
        <v>408</v>
      </c>
    </row>
    <row r="10" spans="1:8">
      <c r="A10" s="119"/>
      <c r="C10" s="412" t="s">
        <v>53</v>
      </c>
      <c r="D10" s="413"/>
      <c r="F10" s="158" t="s">
        <v>54</v>
      </c>
      <c r="H10" s="120" t="s">
        <v>97</v>
      </c>
    </row>
    <row r="11" spans="1:8">
      <c r="A11" s="119"/>
      <c r="C11" s="121"/>
      <c r="F11" s="211"/>
      <c r="H11" s="121"/>
    </row>
    <row r="12" spans="1:8">
      <c r="A12" s="122">
        <v>1</v>
      </c>
      <c r="C12" s="212" t="s">
        <v>753</v>
      </c>
      <c r="F12" s="213">
        <v>100000</v>
      </c>
      <c r="H12" s="121"/>
    </row>
    <row r="13" spans="1:8">
      <c r="A13" s="122"/>
      <c r="C13" s="212"/>
      <c r="F13" s="213"/>
      <c r="H13" s="121"/>
    </row>
    <row r="14" spans="1:8">
      <c r="A14" s="122">
        <v>2</v>
      </c>
      <c r="C14" s="116" t="s">
        <v>754</v>
      </c>
      <c r="F14" s="214">
        <v>129498</v>
      </c>
      <c r="H14" s="116" t="s">
        <v>755</v>
      </c>
    </row>
    <row r="15" spans="1:8">
      <c r="A15" s="122"/>
      <c r="F15" s="214"/>
    </row>
    <row r="16" spans="1:8">
      <c r="A16" s="122">
        <v>3</v>
      </c>
      <c r="C16" s="116" t="s">
        <v>420</v>
      </c>
      <c r="F16" s="213">
        <f>F12-F14</f>
        <v>-29498</v>
      </c>
      <c r="H16" s="116" t="s">
        <v>756</v>
      </c>
    </row>
    <row r="17" spans="1:8">
      <c r="A17" s="122"/>
      <c r="F17" s="213"/>
    </row>
    <row r="18" spans="1:8">
      <c r="A18" s="122">
        <v>4</v>
      </c>
      <c r="C18" s="116" t="s">
        <v>757</v>
      </c>
      <c r="F18" s="213">
        <f>0.5*F12</f>
        <v>50000</v>
      </c>
      <c r="H18" s="116" t="s">
        <v>758</v>
      </c>
    </row>
    <row r="19" spans="1:8">
      <c r="A19" s="122">
        <v>5</v>
      </c>
      <c r="C19" s="116" t="s">
        <v>759</v>
      </c>
      <c r="F19" s="215">
        <f>F14</f>
        <v>129498</v>
      </c>
      <c r="H19" s="116" t="s">
        <v>399</v>
      </c>
    </row>
    <row r="20" spans="1:8" ht="16.5" thickBot="1">
      <c r="A20" s="122">
        <v>6</v>
      </c>
      <c r="C20" s="116" t="s">
        <v>88</v>
      </c>
      <c r="F20" s="216">
        <f>F18-F19</f>
        <v>-79498</v>
      </c>
      <c r="H20" s="116" t="s">
        <v>760</v>
      </c>
    </row>
    <row r="21" spans="1:8" ht="16.5" thickTop="1">
      <c r="A21" s="122"/>
    </row>
    <row r="22" spans="1:8" ht="16.5" thickBot="1">
      <c r="A22" s="122"/>
      <c r="C22" s="119" t="s">
        <v>424</v>
      </c>
    </row>
    <row r="23" spans="1:8" s="119" customFormat="1" ht="16.5" thickBot="1">
      <c r="A23" s="122">
        <v>7</v>
      </c>
      <c r="C23" s="119" t="s">
        <v>761</v>
      </c>
      <c r="F23" s="207">
        <f>F20</f>
        <v>-79498</v>
      </c>
      <c r="H23" s="116" t="s">
        <v>762</v>
      </c>
    </row>
    <row r="24" spans="1:8">
      <c r="A24" s="159"/>
    </row>
    <row r="25" spans="1:8">
      <c r="A25" s="159"/>
    </row>
    <row r="26" spans="1:8">
      <c r="A26" s="159"/>
    </row>
    <row r="27" spans="1:8">
      <c r="A27" s="159"/>
    </row>
    <row r="28" spans="1:8">
      <c r="A28" s="159"/>
    </row>
    <row r="29" spans="1:8">
      <c r="A29" s="159"/>
    </row>
    <row r="30" spans="1:8">
      <c r="A30" s="159"/>
    </row>
  </sheetData>
  <mergeCells count="2">
    <mergeCell ref="C9:D9"/>
    <mergeCell ref="C10:D10"/>
  </mergeCells>
  <phoneticPr fontId="7" type="noConversion"/>
  <printOptions horizontalCentered="1"/>
  <pageMargins left="0.75" right="0.75" top="1" bottom="1" header="0.5" footer="0.5"/>
  <pageSetup scale="96" orientation="portrait" r:id="rId1"/>
  <headerFooter alignWithMargins="0">
    <oddFooter>&amp;CExhibit BGM 1.1, WP 16
Page 1 of 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09B15-3F8B-4EB6-8AE9-33944670DEE0}">
  <sheetPr>
    <pageSetUpPr fitToPage="1"/>
  </sheetPr>
  <dimension ref="A1:F23"/>
  <sheetViews>
    <sheetView view="pageLayout" zoomScaleNormal="100" workbookViewId="0">
      <selection activeCell="F13" sqref="F13"/>
    </sheetView>
  </sheetViews>
  <sheetFormatPr defaultColWidth="8.85546875" defaultRowHeight="15.75"/>
  <cols>
    <col min="1" max="1" width="5.140625" style="17" customWidth="1"/>
    <col min="2" max="2" width="1" style="17" customWidth="1"/>
    <col min="3" max="3" width="42.5703125" style="17" customWidth="1"/>
    <col min="4" max="4" width="0.85546875" style="17" customWidth="1"/>
    <col min="5" max="5" width="14" style="17" bestFit="1" customWidth="1"/>
    <col min="6" max="6" width="30.42578125" style="17" customWidth="1"/>
    <col min="7" max="7" width="8.85546875" style="17"/>
    <col min="8" max="8" width="7.5703125" style="17" customWidth="1"/>
    <col min="9" max="16384" width="8.85546875" style="17"/>
  </cols>
  <sheetData>
    <row r="1" spans="1:6">
      <c r="A1" s="17" t="s">
        <v>0</v>
      </c>
    </row>
    <row r="2" spans="1:6">
      <c r="A2" s="2" t="str">
        <f>RevReq!A2</f>
        <v>Docket No. NG22-___</v>
      </c>
    </row>
    <row r="3" spans="1:6">
      <c r="A3" s="17" t="s">
        <v>124</v>
      </c>
    </row>
    <row r="4" spans="1:6">
      <c r="A4" s="17" t="s">
        <v>763</v>
      </c>
    </row>
    <row r="5" spans="1:6">
      <c r="A5" s="2" t="str">
        <f>RevReq!A4</f>
        <v>Test Year Ended December 31, 2021</v>
      </c>
    </row>
    <row r="8" spans="1:6">
      <c r="A8" s="21" t="s">
        <v>4</v>
      </c>
      <c r="C8" s="22" t="s">
        <v>6</v>
      </c>
      <c r="E8" s="21" t="s">
        <v>88</v>
      </c>
      <c r="F8" s="22" t="s">
        <v>408</v>
      </c>
    </row>
    <row r="9" spans="1:6">
      <c r="C9" s="19" t="s">
        <v>53</v>
      </c>
      <c r="E9" s="19" t="s">
        <v>54</v>
      </c>
      <c r="F9" s="19" t="s">
        <v>97</v>
      </c>
    </row>
    <row r="12" spans="1:6">
      <c r="A12" s="24">
        <v>1</v>
      </c>
      <c r="C12" s="17" t="s">
        <v>686</v>
      </c>
    </row>
    <row r="13" spans="1:6">
      <c r="A13" s="24"/>
    </row>
    <row r="14" spans="1:6">
      <c r="A14" s="24">
        <f>+A12+1</f>
        <v>2</v>
      </c>
    </row>
    <row r="15" spans="1:6">
      <c r="A15" s="24">
        <f>+A14+1</f>
        <v>3</v>
      </c>
    </row>
    <row r="16" spans="1:6">
      <c r="A16" s="24">
        <f>+A15+1</f>
        <v>4</v>
      </c>
      <c r="E16" s="35"/>
    </row>
    <row r="17" spans="1:6">
      <c r="A17" s="24"/>
      <c r="E17" s="35"/>
    </row>
    <row r="18" spans="1:6">
      <c r="A18" s="24">
        <f>+A16+1</f>
        <v>5</v>
      </c>
    </row>
    <row r="19" spans="1:6">
      <c r="A19" s="24">
        <f>+A18+1</f>
        <v>6</v>
      </c>
      <c r="E19" s="35"/>
    </row>
    <row r="20" spans="1:6">
      <c r="A20" s="24"/>
      <c r="E20" s="35"/>
    </row>
    <row r="21" spans="1:6">
      <c r="A21" s="24">
        <f>+A19+1</f>
        <v>7</v>
      </c>
      <c r="C21" s="39"/>
      <c r="E21" s="69"/>
      <c r="F21" s="2"/>
    </row>
    <row r="22" spans="1:6">
      <c r="E22" s="35"/>
    </row>
    <row r="23" spans="1:6">
      <c r="A23" s="24">
        <f>+A21+1</f>
        <v>8</v>
      </c>
      <c r="C23" s="39"/>
      <c r="E23" s="69"/>
      <c r="F23" s="2"/>
    </row>
  </sheetData>
  <printOptions horizontalCentered="1"/>
  <pageMargins left="0.75" right="0.64" top="1" bottom="1" header="0.5" footer="0.5"/>
  <pageSetup scale="98" orientation="portrait" r:id="rId1"/>
  <headerFooter alignWithMargins="0">
    <oddHeader>&amp;RMidAmerican Exhibit BJW 1.1
Workpaper BJW 17
Page 1 of 3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33481-A777-46BD-97FB-9410D395E661}">
  <sheetPr>
    <pageSetUpPr fitToPage="1"/>
  </sheetPr>
  <dimension ref="A1:F25"/>
  <sheetViews>
    <sheetView topLeftCell="A5" zoomScaleNormal="100" workbookViewId="0">
      <selection activeCell="A6" sqref="A6"/>
    </sheetView>
  </sheetViews>
  <sheetFormatPr defaultColWidth="8.85546875" defaultRowHeight="15.75"/>
  <cols>
    <col min="1" max="1" width="5.140625" style="117" customWidth="1"/>
    <col min="2" max="2" width="1" style="117" customWidth="1"/>
    <col min="3" max="3" width="42.5703125" style="117" customWidth="1"/>
    <col min="4" max="4" width="0.85546875" style="117" customWidth="1"/>
    <col min="5" max="5" width="14" style="117" bestFit="1" customWidth="1"/>
    <col min="6" max="6" width="30.42578125" style="117" customWidth="1"/>
    <col min="7" max="7" width="8.85546875" style="117"/>
    <col min="8" max="8" width="7.5703125" style="117" customWidth="1"/>
    <col min="9" max="16384" width="8.85546875" style="117"/>
  </cols>
  <sheetData>
    <row r="1" spans="1:6">
      <c r="A1" s="117" t="s">
        <v>0</v>
      </c>
    </row>
    <row r="2" spans="1:6">
      <c r="A2" s="116" t="str">
        <f>RevReq!A2</f>
        <v>Docket No. NG22-___</v>
      </c>
    </row>
    <row r="3" spans="1:6">
      <c r="A3" s="117" t="s">
        <v>124</v>
      </c>
    </row>
    <row r="4" spans="1:6">
      <c r="A4" s="117" t="s">
        <v>257</v>
      </c>
    </row>
    <row r="5" spans="1:6">
      <c r="A5" s="116" t="str">
        <f>RevReq!A4</f>
        <v>Test Year Ended December 31, 2021</v>
      </c>
    </row>
    <row r="6" spans="1:6">
      <c r="A6" s="116"/>
    </row>
    <row r="8" spans="1:6">
      <c r="A8" s="197" t="s">
        <v>4</v>
      </c>
    </row>
    <row r="9" spans="1:6">
      <c r="A9" s="118" t="s">
        <v>5</v>
      </c>
      <c r="C9" s="134" t="s">
        <v>6</v>
      </c>
      <c r="E9" s="135" t="s">
        <v>88</v>
      </c>
      <c r="F9" s="134" t="s">
        <v>408</v>
      </c>
    </row>
    <row r="10" spans="1:6">
      <c r="C10" s="133" t="s">
        <v>53</v>
      </c>
      <c r="E10" s="133" t="s">
        <v>54</v>
      </c>
      <c r="F10" s="133" t="s">
        <v>97</v>
      </c>
    </row>
    <row r="13" spans="1:6">
      <c r="A13" s="198">
        <v>1</v>
      </c>
      <c r="C13" s="117" t="s">
        <v>686</v>
      </c>
    </row>
    <row r="14" spans="1:6">
      <c r="A14" s="198"/>
    </row>
    <row r="15" spans="1:6">
      <c r="A15" s="198">
        <f>+A13+1</f>
        <v>2</v>
      </c>
      <c r="C15" s="117" t="s">
        <v>764</v>
      </c>
      <c r="E15" s="199">
        <v>-2375</v>
      </c>
      <c r="F15" s="204" t="s">
        <v>765</v>
      </c>
    </row>
    <row r="16" spans="1:6">
      <c r="A16" s="198">
        <f>+A15+1</f>
        <v>3</v>
      </c>
      <c r="C16" s="117" t="s">
        <v>766</v>
      </c>
      <c r="E16" s="199">
        <v>-6480</v>
      </c>
      <c r="F16" s="204" t="s">
        <v>765</v>
      </c>
    </row>
    <row r="17" spans="1:6">
      <c r="A17" s="198">
        <f>+A16+1</f>
        <v>4</v>
      </c>
      <c r="C17" s="117" t="s">
        <v>767</v>
      </c>
      <c r="E17" s="199">
        <v>-8716.7099999999991</v>
      </c>
      <c r="F17" s="204" t="s">
        <v>765</v>
      </c>
    </row>
    <row r="18" spans="1:6" ht="16.5" thickBot="1">
      <c r="A18" s="198">
        <f>+A17+1</f>
        <v>5</v>
      </c>
      <c r="C18" s="117" t="s">
        <v>88</v>
      </c>
      <c r="E18" s="205">
        <f>SUM(E15:E17)</f>
        <v>-17571.71</v>
      </c>
      <c r="F18" s="204" t="s">
        <v>768</v>
      </c>
    </row>
    <row r="19" spans="1:6" ht="16.5" thickTop="1">
      <c r="A19" s="198"/>
      <c r="E19" s="199"/>
    </row>
    <row r="20" spans="1:6" ht="16.5" thickBot="1">
      <c r="A20" s="122"/>
      <c r="B20" s="116"/>
      <c r="C20" s="119" t="s">
        <v>424</v>
      </c>
    </row>
    <row r="21" spans="1:6" ht="16.5" thickBot="1">
      <c r="A21" s="122">
        <v>6</v>
      </c>
      <c r="B21" s="119"/>
      <c r="C21" s="206" t="s">
        <v>769</v>
      </c>
      <c r="E21" s="207">
        <f>E18</f>
        <v>-17571.71</v>
      </c>
      <c r="F21" s="208" t="s">
        <v>770</v>
      </c>
    </row>
    <row r="22" spans="1:6" ht="16.5" thickBot="1">
      <c r="A22" s="198"/>
      <c r="E22" s="199"/>
    </row>
    <row r="23" spans="1:6" ht="16.5" thickBot="1">
      <c r="A23" s="198">
        <f>+A21+1</f>
        <v>7</v>
      </c>
      <c r="C23" s="209" t="s">
        <v>771</v>
      </c>
      <c r="E23" s="207">
        <f>-E21</f>
        <v>17571.71</v>
      </c>
      <c r="F23" s="208" t="s">
        <v>770</v>
      </c>
    </row>
    <row r="24" spans="1:6">
      <c r="A24" s="198"/>
      <c r="E24" s="199"/>
    </row>
    <row r="25" spans="1:6">
      <c r="A25" s="198"/>
      <c r="C25" s="200"/>
      <c r="E25" s="210"/>
      <c r="F25" s="116"/>
    </row>
  </sheetData>
  <phoneticPr fontId="6" type="noConversion"/>
  <printOptions horizontalCentered="1"/>
  <pageMargins left="0.75" right="0.64" top="1" bottom="1" header="0.5" footer="0.5"/>
  <pageSetup scale="96" orientation="portrait" r:id="rId1"/>
  <headerFooter alignWithMargins="0">
    <oddFooter>&amp;CExhibit BGM 1.1, WP 17
Page &amp;P of 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G39"/>
  <sheetViews>
    <sheetView zoomScale="90" zoomScaleNormal="90" workbookViewId="0">
      <selection activeCell="D14" sqref="D14"/>
    </sheetView>
  </sheetViews>
  <sheetFormatPr defaultRowHeight="15.75"/>
  <cols>
    <col min="1" max="1" width="4.7109375" style="339" customWidth="1"/>
    <col min="2" max="2" width="17.42578125" style="339" customWidth="1"/>
    <col min="3" max="3" width="4.28515625" style="339" customWidth="1"/>
    <col min="4" max="4" width="17" style="339" customWidth="1"/>
    <col min="5" max="6" width="13.140625" style="339" customWidth="1"/>
    <col min="7" max="7" width="15" style="339" customWidth="1"/>
    <col min="8" max="16384" width="9.140625" style="339"/>
  </cols>
  <sheetData>
    <row r="1" spans="1:7">
      <c r="A1" s="339" t="s">
        <v>0</v>
      </c>
      <c r="B1" s="341"/>
      <c r="C1" s="341"/>
      <c r="D1" s="341"/>
      <c r="E1" s="341"/>
      <c r="F1" s="341"/>
      <c r="G1" s="341"/>
    </row>
    <row r="2" spans="1:7">
      <c r="A2" s="339" t="s">
        <v>1</v>
      </c>
    </row>
    <row r="3" spans="1:7">
      <c r="A3" s="348" t="s">
        <v>772</v>
      </c>
      <c r="B3" s="341"/>
      <c r="C3" s="341"/>
      <c r="D3" s="341"/>
      <c r="E3" s="341"/>
      <c r="F3" s="341"/>
      <c r="G3" s="341"/>
    </row>
    <row r="4" spans="1:7">
      <c r="A4" s="349" t="s">
        <v>773</v>
      </c>
    </row>
    <row r="5" spans="1:7">
      <c r="A5" s="339" t="s">
        <v>774</v>
      </c>
    </row>
    <row r="6" spans="1:7">
      <c r="A6" s="341"/>
      <c r="B6" s="341"/>
      <c r="C6" s="341"/>
      <c r="D6" s="341"/>
      <c r="E6" s="341"/>
      <c r="F6" s="341"/>
      <c r="G6" s="341"/>
    </row>
    <row r="7" spans="1:7">
      <c r="A7" s="338"/>
      <c r="B7" s="338"/>
      <c r="C7" s="338"/>
      <c r="D7" s="338"/>
      <c r="E7" s="338"/>
      <c r="F7" s="338"/>
      <c r="G7" s="338"/>
    </row>
    <row r="8" spans="1:7">
      <c r="B8" s="342"/>
      <c r="C8" s="342"/>
      <c r="D8" s="342"/>
      <c r="E8" s="342"/>
      <c r="F8" s="342"/>
      <c r="G8" s="342" t="s">
        <v>775</v>
      </c>
    </row>
    <row r="9" spans="1:7">
      <c r="A9" s="339" t="s">
        <v>4</v>
      </c>
      <c r="B9" s="342"/>
      <c r="C9" s="342"/>
      <c r="D9" s="342"/>
      <c r="E9" s="342"/>
      <c r="F9" s="342"/>
      <c r="G9" s="342" t="s">
        <v>676</v>
      </c>
    </row>
    <row r="10" spans="1:7">
      <c r="A10" s="343" t="s">
        <v>5</v>
      </c>
      <c r="B10" s="344" t="s">
        <v>776</v>
      </c>
      <c r="C10" s="342"/>
      <c r="D10" s="344" t="s">
        <v>777</v>
      </c>
      <c r="E10" s="344" t="s">
        <v>778</v>
      </c>
      <c r="F10" s="344" t="s">
        <v>779</v>
      </c>
      <c r="G10" s="344" t="s">
        <v>780</v>
      </c>
    </row>
    <row r="11" spans="1:7">
      <c r="B11" s="342" t="s">
        <v>53</v>
      </c>
      <c r="C11" s="342"/>
      <c r="D11" s="342" t="s">
        <v>54</v>
      </c>
      <c r="E11" s="342" t="s">
        <v>97</v>
      </c>
      <c r="F11" s="342" t="s">
        <v>98</v>
      </c>
      <c r="G11" s="342" t="s">
        <v>99</v>
      </c>
    </row>
    <row r="12" spans="1:7">
      <c r="A12" s="342">
        <v>1</v>
      </c>
      <c r="B12" s="339" t="s">
        <v>781</v>
      </c>
      <c r="D12" s="345">
        <f>'Cost LT Debt'!D22</f>
        <v>7460523480.9357071</v>
      </c>
      <c r="E12" s="346">
        <f>+ROUND(D12/(D16),5)</f>
        <v>0.46673999999999999</v>
      </c>
      <c r="F12" s="346">
        <f>'Cost LT Debt'!D37</f>
        <v>4.0097675831756802E-2</v>
      </c>
      <c r="G12" s="346">
        <f>E12*F12</f>
        <v>1.871518921771417E-2</v>
      </c>
    </row>
    <row r="13" spans="1:7">
      <c r="A13" s="342"/>
      <c r="D13" s="345"/>
      <c r="E13" s="346"/>
      <c r="F13" s="346"/>
      <c r="G13" s="346"/>
    </row>
    <row r="14" spans="1:7">
      <c r="A14" s="342">
        <v>2</v>
      </c>
      <c r="B14" s="339" t="s">
        <v>782</v>
      </c>
      <c r="D14" s="359">
        <f>'Com Eq'!P20</f>
        <v>8523857741.4677763</v>
      </c>
      <c r="E14" s="358">
        <f>+ROUND(D14/(D16),5)</f>
        <v>0.53325999999999996</v>
      </c>
      <c r="F14" s="346">
        <v>0.1075</v>
      </c>
      <c r="G14" s="358">
        <f>E14*F14</f>
        <v>5.7325449999999993E-2</v>
      </c>
    </row>
    <row r="15" spans="1:7">
      <c r="A15" s="342"/>
      <c r="D15" s="345"/>
      <c r="E15" s="346"/>
      <c r="F15" s="346"/>
      <c r="G15" s="346"/>
    </row>
    <row r="16" spans="1:7">
      <c r="A16" s="342">
        <v>3</v>
      </c>
      <c r="B16" s="339" t="s">
        <v>88</v>
      </c>
      <c r="D16" s="345">
        <f>SUM(D12:D14)</f>
        <v>15984381222.403484</v>
      </c>
      <c r="E16" s="346">
        <f>SUM(E12:E14)</f>
        <v>1</v>
      </c>
      <c r="F16" s="346"/>
      <c r="G16" s="346">
        <f>SUM(G12:G14)</f>
        <v>7.6040639217714159E-2</v>
      </c>
    </row>
    <row r="17" spans="1:7">
      <c r="A17" s="342"/>
      <c r="D17" s="345"/>
      <c r="E17" s="346"/>
      <c r="F17" s="346"/>
      <c r="G17" s="346"/>
    </row>
    <row r="18" spans="1:7">
      <c r="A18" s="342"/>
      <c r="D18" s="345"/>
      <c r="E18" s="346"/>
      <c r="F18" s="346"/>
      <c r="G18" s="346"/>
    </row>
    <row r="19" spans="1:7">
      <c r="A19" s="342"/>
      <c r="D19" s="345"/>
      <c r="E19" s="346"/>
      <c r="F19" s="346"/>
      <c r="G19" s="346"/>
    </row>
    <row r="20" spans="1:7">
      <c r="A20" s="342"/>
      <c r="D20" s="345"/>
      <c r="E20" s="346"/>
      <c r="F20" s="346"/>
      <c r="G20" s="346"/>
    </row>
    <row r="21" spans="1:7">
      <c r="A21" s="342"/>
    </row>
    <row r="25" spans="1:7" ht="11.25" customHeight="1">
      <c r="F25" s="339" t="s">
        <v>271</v>
      </c>
    </row>
    <row r="28" spans="1:7">
      <c r="B28" s="339" t="s">
        <v>70</v>
      </c>
      <c r="C28" s="339" t="s">
        <v>783</v>
      </c>
    </row>
    <row r="29" spans="1:7">
      <c r="C29" s="339" t="s">
        <v>784</v>
      </c>
    </row>
    <row r="30" spans="1:7">
      <c r="C30" s="339" t="s">
        <v>785</v>
      </c>
    </row>
    <row r="35" spans="2:2">
      <c r="B35" s="347"/>
    </row>
    <row r="39" spans="2:2">
      <c r="B39" s="347"/>
    </row>
  </sheetData>
  <pageMargins left="0.75" right="0.75" top="1" bottom="1" header="0.5" footer="0.5"/>
  <pageSetup scale="88" orientation="portrait" horizontalDpi="4294967293" r:id="rId1"/>
  <headerFooter alignWithMargins="0">
    <oddFooter>&amp;CExhibit BGM 1.1, Schedule 25
Page 1 of 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5E359-DFED-4CE3-B3E0-7AB7F81C32A3}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J50"/>
  <sheetViews>
    <sheetView zoomScale="80" zoomScaleNormal="80" workbookViewId="0">
      <selection sqref="A1:F50"/>
    </sheetView>
  </sheetViews>
  <sheetFormatPr defaultRowHeight="15.75"/>
  <cols>
    <col min="1" max="1" width="5.140625" style="339" customWidth="1"/>
    <col min="2" max="2" width="43.85546875" style="339" customWidth="1"/>
    <col min="3" max="3" width="0.7109375" style="339" customWidth="1"/>
    <col min="4" max="4" width="19.5703125" style="339" customWidth="1"/>
    <col min="5" max="5" width="12" style="339" customWidth="1"/>
    <col min="6" max="6" width="18.5703125" style="339" customWidth="1"/>
    <col min="7" max="7" width="18.85546875" style="339" customWidth="1"/>
    <col min="8" max="8" width="16.140625" style="339" customWidth="1"/>
    <col min="9" max="9" width="12" style="339" bestFit="1" customWidth="1"/>
    <col min="10" max="10" width="11.28515625" style="339" bestFit="1" customWidth="1"/>
    <col min="11" max="16384" width="9.140625" style="339"/>
  </cols>
  <sheetData>
    <row r="1" spans="1:6">
      <c r="A1" s="339" t="s">
        <v>0</v>
      </c>
    </row>
    <row r="2" spans="1:6">
      <c r="A2" s="339" t="str">
        <f>WACC!A2</f>
        <v>Docket No. NG22-___</v>
      </c>
      <c r="B2" s="341"/>
      <c r="C2" s="341"/>
      <c r="D2" s="341"/>
      <c r="E2" s="341"/>
      <c r="F2" s="341"/>
    </row>
    <row r="3" spans="1:6">
      <c r="A3" s="339" t="s">
        <v>786</v>
      </c>
    </row>
    <row r="4" spans="1:6">
      <c r="A4" s="350" t="str">
        <f>WACC!A4</f>
        <v>Twelve Months Ending December 31, 2021</v>
      </c>
    </row>
    <row r="6" spans="1:6">
      <c r="E6" s="342"/>
      <c r="F6" s="342"/>
    </row>
    <row r="7" spans="1:6">
      <c r="A7" s="339" t="s">
        <v>4</v>
      </c>
      <c r="E7" s="342"/>
      <c r="F7" s="342"/>
    </row>
    <row r="8" spans="1:6">
      <c r="A8" s="344" t="s">
        <v>5</v>
      </c>
      <c r="B8" s="344" t="s">
        <v>6</v>
      </c>
      <c r="D8" s="344" t="s">
        <v>457</v>
      </c>
      <c r="F8" s="342"/>
    </row>
    <row r="9" spans="1:6">
      <c r="B9" s="342" t="s">
        <v>53</v>
      </c>
      <c r="C9" s="342"/>
      <c r="D9" s="342" t="s">
        <v>54</v>
      </c>
      <c r="E9" s="342"/>
      <c r="F9" s="342"/>
    </row>
    <row r="11" spans="1:6">
      <c r="A11" s="342">
        <v>1</v>
      </c>
      <c r="B11" s="339" t="s">
        <v>787</v>
      </c>
      <c r="D11" s="351">
        <f>'LT Debt'!S59</f>
        <v>7548051742.25</v>
      </c>
      <c r="E11" s="351"/>
      <c r="F11" s="351"/>
    </row>
    <row r="12" spans="1:6">
      <c r="A12" s="342"/>
      <c r="D12" s="351"/>
      <c r="E12" s="351"/>
      <c r="F12" s="351"/>
    </row>
    <row r="13" spans="1:6">
      <c r="A13" s="342"/>
      <c r="B13" s="339" t="s">
        <v>788</v>
      </c>
      <c r="D13" s="351"/>
      <c r="E13" s="351"/>
      <c r="F13" s="351"/>
    </row>
    <row r="14" spans="1:6">
      <c r="A14" s="342">
        <v>2</v>
      </c>
      <c r="B14" s="339" t="s">
        <v>789</v>
      </c>
      <c r="D14" s="351">
        <f>'Unam Debt Prem'!S19</f>
        <v>23426752.795000002</v>
      </c>
      <c r="E14" s="351"/>
      <c r="F14" s="351"/>
    </row>
    <row r="15" spans="1:6">
      <c r="A15" s="342">
        <v>3</v>
      </c>
      <c r="B15" s="339" t="s">
        <v>790</v>
      </c>
      <c r="D15" s="351">
        <f>-'Unam Gain Reacq'!P15</f>
        <v>260480.56207671066</v>
      </c>
      <c r="E15" s="351"/>
      <c r="F15" s="351"/>
    </row>
    <row r="16" spans="1:6">
      <c r="A16" s="342"/>
      <c r="D16" s="351"/>
      <c r="E16" s="351"/>
      <c r="F16" s="351"/>
    </row>
    <row r="17" spans="1:10">
      <c r="A17" s="342"/>
      <c r="B17" s="339" t="s">
        <v>791</v>
      </c>
      <c r="D17" s="351"/>
      <c r="E17" s="351"/>
      <c r="F17" s="351"/>
    </row>
    <row r="18" spans="1:10">
      <c r="A18" s="342">
        <v>4</v>
      </c>
      <c r="B18" s="339" t="s">
        <v>792</v>
      </c>
      <c r="D18" s="351">
        <f>'Unam Debt Disc'!S58</f>
        <v>54681780.139166668</v>
      </c>
      <c r="E18" s="351"/>
      <c r="F18" s="351"/>
    </row>
    <row r="19" spans="1:10">
      <c r="A19" s="342">
        <v>5</v>
      </c>
      <c r="B19" s="339" t="s">
        <v>793</v>
      </c>
      <c r="D19" s="351">
        <f>'Unam Debt Exp'!S53</f>
        <v>48021045.525833338</v>
      </c>
      <c r="E19" s="351"/>
      <c r="F19" s="351"/>
      <c r="G19" s="351"/>
    </row>
    <row r="20" spans="1:10">
      <c r="A20" s="342">
        <v>6</v>
      </c>
      <c r="B20" s="339" t="s">
        <v>794</v>
      </c>
      <c r="D20" s="357">
        <f>'Unam Loss Reacq'!S46</f>
        <v>8512669.0063694287</v>
      </c>
      <c r="E20" s="351"/>
      <c r="F20" s="351"/>
      <c r="G20" s="351"/>
    </row>
    <row r="21" spans="1:10">
      <c r="A21" s="342"/>
      <c r="D21" s="351"/>
      <c r="E21" s="351"/>
      <c r="F21" s="351"/>
    </row>
    <row r="22" spans="1:10">
      <c r="A22" s="342">
        <v>7</v>
      </c>
      <c r="B22" s="339" t="s">
        <v>795</v>
      </c>
      <c r="D22" s="351">
        <f>D11+D14+D15-D18-D19-D20</f>
        <v>7460523480.9357071</v>
      </c>
      <c r="E22" s="351"/>
      <c r="F22" s="351"/>
    </row>
    <row r="23" spans="1:10">
      <c r="A23" s="342"/>
      <c r="D23" s="351"/>
      <c r="E23" s="351"/>
      <c r="F23" s="351"/>
    </row>
    <row r="24" spans="1:10">
      <c r="A24" s="342"/>
      <c r="D24" s="351"/>
      <c r="E24" s="351"/>
      <c r="F24" s="351"/>
    </row>
    <row r="25" spans="1:10">
      <c r="A25" s="342">
        <v>8</v>
      </c>
      <c r="B25" s="339" t="s">
        <v>432</v>
      </c>
      <c r="D25" s="351">
        <f>Interest!G61</f>
        <v>295214805.40999997</v>
      </c>
      <c r="E25" s="351"/>
      <c r="F25" s="351"/>
    </row>
    <row r="26" spans="1:10">
      <c r="A26" s="342"/>
      <c r="D26" s="351"/>
      <c r="E26" s="351"/>
      <c r="F26" s="351"/>
    </row>
    <row r="27" spans="1:10">
      <c r="A27" s="342"/>
      <c r="B27" s="339" t="s">
        <v>788</v>
      </c>
      <c r="D27" s="351"/>
      <c r="E27" s="351"/>
      <c r="F27" s="351"/>
    </row>
    <row r="28" spans="1:10">
      <c r="A28" s="342">
        <v>9</v>
      </c>
      <c r="B28" s="339" t="s">
        <v>796</v>
      </c>
      <c r="D28" s="351">
        <f>'Amort Disc'!D58</f>
        <v>3326427.41</v>
      </c>
      <c r="E28" s="351"/>
      <c r="F28" s="351"/>
      <c r="G28" s="353" t="s">
        <v>271</v>
      </c>
      <c r="H28" s="353"/>
      <c r="I28" s="351"/>
      <c r="J28" s="351"/>
    </row>
    <row r="29" spans="1:10">
      <c r="A29" s="342">
        <v>10</v>
      </c>
      <c r="B29" s="339" t="s">
        <v>797</v>
      </c>
      <c r="D29" s="351">
        <f>'Amort Exp'!D56</f>
        <v>3156562.92</v>
      </c>
      <c r="E29" s="351"/>
      <c r="F29" s="351"/>
      <c r="G29" s="351"/>
      <c r="H29" s="353"/>
    </row>
    <row r="30" spans="1:10">
      <c r="A30" s="342">
        <v>11</v>
      </c>
      <c r="B30" s="339" t="s">
        <v>798</v>
      </c>
      <c r="D30" s="351">
        <f>'Amort Loss'!D47</f>
        <v>971410.8685350318</v>
      </c>
      <c r="E30" s="351"/>
      <c r="F30" s="351"/>
      <c r="H30" s="353"/>
    </row>
    <row r="31" spans="1:10">
      <c r="A31" s="342"/>
      <c r="D31" s="351"/>
      <c r="E31" s="351"/>
      <c r="F31" s="351"/>
    </row>
    <row r="32" spans="1:10">
      <c r="B32" s="339" t="s">
        <v>791</v>
      </c>
      <c r="D32" s="351"/>
      <c r="E32" s="351"/>
      <c r="F32" s="351"/>
    </row>
    <row r="33" spans="1:6">
      <c r="A33" s="342">
        <v>12</v>
      </c>
      <c r="B33" s="339" t="s">
        <v>799</v>
      </c>
      <c r="D33" s="351">
        <f>-('Amort Premium'!D17)</f>
        <v>3456485.34</v>
      </c>
      <c r="E33" s="351"/>
      <c r="F33" s="351"/>
    </row>
    <row r="34" spans="1:6">
      <c r="A34" s="342">
        <v>13</v>
      </c>
      <c r="B34" s="339" t="s">
        <v>800</v>
      </c>
      <c r="D34" s="356">
        <f>-('Amort Gain'!D18)</f>
        <v>63069.19476528481</v>
      </c>
      <c r="E34" s="351"/>
      <c r="F34" s="351"/>
    </row>
    <row r="35" spans="1:6">
      <c r="D35" s="351">
        <f>D25+D28+D29+D30-D33-D34</f>
        <v>299149652.07376981</v>
      </c>
      <c r="E35" s="351"/>
      <c r="F35" s="351"/>
    </row>
    <row r="37" spans="1:6">
      <c r="A37" s="342">
        <v>14</v>
      </c>
      <c r="B37" s="339" t="s">
        <v>801</v>
      </c>
      <c r="D37" s="354">
        <f>D35/D22</f>
        <v>4.0097675831756802E-2</v>
      </c>
    </row>
    <row r="39" spans="1:6">
      <c r="A39" s="339" t="s">
        <v>802</v>
      </c>
    </row>
    <row r="40" spans="1:6">
      <c r="A40" s="355" t="s">
        <v>803</v>
      </c>
    </row>
    <row r="41" spans="1:6">
      <c r="A41" s="355" t="s">
        <v>804</v>
      </c>
    </row>
    <row r="42" spans="1:6">
      <c r="A42" s="355" t="s">
        <v>805</v>
      </c>
    </row>
    <row r="43" spans="1:6">
      <c r="A43" s="355" t="s">
        <v>806</v>
      </c>
    </row>
    <row r="44" spans="1:6">
      <c r="A44" s="355" t="s">
        <v>807</v>
      </c>
    </row>
    <row r="45" spans="1:6">
      <c r="A45" s="355" t="s">
        <v>808</v>
      </c>
    </row>
    <row r="46" spans="1:6">
      <c r="A46" s="355" t="s">
        <v>809</v>
      </c>
    </row>
    <row r="47" spans="1:6">
      <c r="A47" s="355" t="s">
        <v>810</v>
      </c>
    </row>
    <row r="48" spans="1:6">
      <c r="A48" s="355" t="s">
        <v>811</v>
      </c>
    </row>
    <row r="49" spans="1:1">
      <c r="A49" s="355" t="s">
        <v>812</v>
      </c>
    </row>
    <row r="50" spans="1:1">
      <c r="A50" s="355" t="s">
        <v>813</v>
      </c>
    </row>
  </sheetData>
  <pageMargins left="0.75" right="0.75" top="1" bottom="1" header="0.5" footer="0.5"/>
  <pageSetup scale="84" orientation="portrait" r:id="rId1"/>
  <headerFooter alignWithMargins="0">
    <oddFooter>&amp;CExhibit BGM 1.1, Schedule 26
Page 1 of 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7"/>
  <sheetViews>
    <sheetView zoomScaleNormal="100" workbookViewId="0">
      <selection activeCell="I21" sqref="I21"/>
    </sheetView>
  </sheetViews>
  <sheetFormatPr defaultColWidth="8.85546875" defaultRowHeight="15.75"/>
  <cols>
    <col min="1" max="1" width="4.85546875" style="17" customWidth="1"/>
    <col min="2" max="2" width="0.85546875" style="17" customWidth="1"/>
    <col min="3" max="3" width="30.140625" style="17" customWidth="1"/>
    <col min="4" max="4" width="0.85546875" style="17" customWidth="1"/>
    <col min="5" max="5" width="12.140625" style="17" customWidth="1"/>
    <col min="6" max="6" width="0.85546875" style="17" customWidth="1"/>
    <col min="7" max="7" width="15.140625" style="17" bestFit="1" customWidth="1"/>
    <col min="8" max="8" width="0.85546875" style="17" customWidth="1"/>
    <col min="9" max="9" width="12.140625" style="17" customWidth="1"/>
    <col min="10" max="10" width="0.85546875" style="17" customWidth="1"/>
    <col min="11" max="11" width="11.140625" style="17" customWidth="1"/>
    <col min="12" max="12" width="0.85546875" style="17" customWidth="1"/>
    <col min="13" max="13" width="16.85546875" style="17" bestFit="1" customWidth="1"/>
    <col min="14" max="15" width="8.85546875" style="17"/>
    <col min="16" max="16" width="10.140625" style="17" bestFit="1" customWidth="1"/>
    <col min="17" max="16384" width="8.85546875" style="17"/>
  </cols>
  <sheetData>
    <row r="1" spans="1:16">
      <c r="A1" s="17" t="s">
        <v>0</v>
      </c>
    </row>
    <row r="2" spans="1:16">
      <c r="A2" s="17" t="str">
        <f>RevReq!A2</f>
        <v>Docket No. NG22-___</v>
      </c>
    </row>
    <row r="3" spans="1:16">
      <c r="A3" s="17" t="s">
        <v>85</v>
      </c>
    </row>
    <row r="4" spans="1:16">
      <c r="A4" s="17" t="str">
        <f>RevReq!A4</f>
        <v>Test Year Ended December 31, 2021</v>
      </c>
    </row>
    <row r="5" spans="1:16">
      <c r="A5" s="18" t="s">
        <v>49</v>
      </c>
    </row>
    <row r="6" spans="1:16">
      <c r="M6" s="19" t="s">
        <v>86</v>
      </c>
    </row>
    <row r="7" spans="1:16">
      <c r="E7" s="19" t="s">
        <v>87</v>
      </c>
      <c r="G7" s="19" t="s">
        <v>88</v>
      </c>
      <c r="H7" s="19"/>
      <c r="I7" s="19" t="s">
        <v>89</v>
      </c>
      <c r="J7" s="19"/>
      <c r="K7" s="19"/>
      <c r="L7" s="19"/>
      <c r="M7" s="19" t="s">
        <v>90</v>
      </c>
    </row>
    <row r="8" spans="1:16">
      <c r="A8" s="17" t="s">
        <v>4</v>
      </c>
      <c r="E8" s="19" t="s">
        <v>91</v>
      </c>
      <c r="G8" s="19" t="s">
        <v>92</v>
      </c>
      <c r="H8" s="19"/>
      <c r="I8" s="19" t="s">
        <v>93</v>
      </c>
      <c r="J8" s="19"/>
      <c r="K8" s="19" t="s">
        <v>93</v>
      </c>
      <c r="L8" s="19"/>
      <c r="M8" s="19" t="s">
        <v>93</v>
      </c>
    </row>
    <row r="9" spans="1:16">
      <c r="A9" s="107" t="s">
        <v>5</v>
      </c>
      <c r="C9" s="22" t="s">
        <v>6</v>
      </c>
      <c r="E9" s="21" t="s">
        <v>94</v>
      </c>
      <c r="G9" s="21" t="s">
        <v>95</v>
      </c>
      <c r="H9" s="19"/>
      <c r="I9" s="21" t="s">
        <v>96</v>
      </c>
      <c r="J9" s="19"/>
      <c r="K9" s="21" t="s">
        <v>96</v>
      </c>
      <c r="L9" s="19"/>
      <c r="M9" s="21" t="s">
        <v>96</v>
      </c>
    </row>
    <row r="10" spans="1:16">
      <c r="C10" s="19" t="s">
        <v>53</v>
      </c>
      <c r="D10" s="19"/>
      <c r="E10" s="19" t="s">
        <v>54</v>
      </c>
      <c r="F10" s="19"/>
      <c r="G10" s="19" t="s">
        <v>97</v>
      </c>
      <c r="H10" s="19"/>
      <c r="I10" s="19" t="s">
        <v>98</v>
      </c>
      <c r="J10" s="19"/>
      <c r="K10" s="19" t="s">
        <v>99</v>
      </c>
      <c r="L10" s="19"/>
      <c r="M10" s="19" t="s">
        <v>100</v>
      </c>
    </row>
    <row r="12" spans="1:16">
      <c r="A12" s="108">
        <v>1</v>
      </c>
      <c r="C12" s="17" t="s">
        <v>101</v>
      </c>
    </row>
    <row r="13" spans="1:16">
      <c r="A13" s="108">
        <f>+A12+1</f>
        <v>2</v>
      </c>
      <c r="C13" s="17" t="s">
        <v>102</v>
      </c>
      <c r="E13" s="35">
        <f>'WP2-Op Income'!I51/1000</f>
        <v>109230.39838</v>
      </c>
      <c r="F13" s="35"/>
      <c r="G13" s="35">
        <f>+'Pro Forma Summary'!E14</f>
        <v>-79186.945995144197</v>
      </c>
      <c r="H13" s="35"/>
      <c r="I13" s="35">
        <f>+E13+G13</f>
        <v>30043.452384855802</v>
      </c>
      <c r="J13" s="35"/>
      <c r="K13" s="35">
        <f>+RevReq!E31</f>
        <v>7037.0836975232214</v>
      </c>
      <c r="L13" s="35"/>
      <c r="M13" s="35">
        <f>+I13+K13</f>
        <v>37080.536082379025</v>
      </c>
    </row>
    <row r="14" spans="1:16">
      <c r="A14" s="108">
        <f t="shared" ref="A14:A26" si="0">+A13+1</f>
        <v>3</v>
      </c>
      <c r="C14" s="17" t="s">
        <v>103</v>
      </c>
      <c r="E14" s="35">
        <f>'WP2-Op Income'!K51/1000</f>
        <v>19434.846360000003</v>
      </c>
      <c r="F14" s="35"/>
      <c r="G14" s="35">
        <f>+'Pro Forma Summary'!E15</f>
        <v>-104.62429</v>
      </c>
      <c r="H14" s="35"/>
      <c r="I14" s="35">
        <f>+E14+G14</f>
        <v>19330.222070000003</v>
      </c>
      <c r="J14" s="35"/>
      <c r="K14" s="35"/>
      <c r="L14" s="35"/>
      <c r="M14" s="35">
        <f>+I14+K14</f>
        <v>19330.222070000003</v>
      </c>
      <c r="P14" s="27"/>
    </row>
    <row r="15" spans="1:16">
      <c r="A15" s="108">
        <f t="shared" si="0"/>
        <v>4</v>
      </c>
      <c r="C15" s="17" t="s">
        <v>104</v>
      </c>
      <c r="E15" s="37">
        <f>E14+E13</f>
        <v>128665.24473999999</v>
      </c>
      <c r="F15" s="35"/>
      <c r="G15" s="37">
        <f>+G13+G14</f>
        <v>-79291.570285144204</v>
      </c>
      <c r="H15" s="35"/>
      <c r="I15" s="37">
        <f>+I13+I14</f>
        <v>49373.674454855805</v>
      </c>
      <c r="J15" s="35"/>
      <c r="K15" s="37">
        <f>+K13+K14</f>
        <v>7037.0836975232214</v>
      </c>
      <c r="L15" s="35"/>
      <c r="M15" s="37">
        <f>+M13+M14</f>
        <v>56410.758152379029</v>
      </c>
    </row>
    <row r="16" spans="1:16">
      <c r="A16" s="108"/>
      <c r="E16" s="35"/>
      <c r="F16" s="35"/>
      <c r="G16" s="35"/>
      <c r="H16" s="35"/>
      <c r="I16" s="35"/>
      <c r="J16" s="35"/>
      <c r="K16" s="35"/>
      <c r="L16" s="35"/>
      <c r="M16" s="35"/>
    </row>
    <row r="17" spans="1:13">
      <c r="A17" s="108">
        <f>+A15+1</f>
        <v>5</v>
      </c>
      <c r="C17" s="17" t="s">
        <v>105</v>
      </c>
      <c r="E17" s="35"/>
      <c r="F17" s="35"/>
      <c r="G17" s="35"/>
      <c r="H17" s="35"/>
      <c r="I17" s="35"/>
      <c r="J17" s="35"/>
      <c r="K17" s="35"/>
      <c r="L17" s="35"/>
      <c r="M17" s="35"/>
    </row>
    <row r="18" spans="1:13">
      <c r="A18" s="108">
        <f t="shared" si="0"/>
        <v>6</v>
      </c>
      <c r="C18" s="17" t="s">
        <v>106</v>
      </c>
      <c r="E18" s="35">
        <f>'WP2-Op Income'!M51/1000</f>
        <v>112054.40049</v>
      </c>
      <c r="F18" s="35"/>
      <c r="G18" s="35">
        <f>+'Pro Forma Summary'!E19+'Pro Forma Summary'!E20</f>
        <v>-79226.546779440352</v>
      </c>
      <c r="H18" s="35"/>
      <c r="I18" s="35">
        <f>+E18+G18</f>
        <v>32827.853710559648</v>
      </c>
      <c r="J18" s="35"/>
      <c r="K18" s="35">
        <f>RevReq!E25</f>
        <v>23.754743507042139</v>
      </c>
      <c r="L18" s="35"/>
      <c r="M18" s="35">
        <f>+I18+K18</f>
        <v>32851.608454066693</v>
      </c>
    </row>
    <row r="19" spans="1:13">
      <c r="A19" s="108">
        <f t="shared" si="0"/>
        <v>7</v>
      </c>
      <c r="C19" s="17" t="s">
        <v>107</v>
      </c>
      <c r="E19" s="35">
        <f>'WP2-Op Income'!O51/1000</f>
        <v>6992.9469399999998</v>
      </c>
      <c r="F19" s="35"/>
      <c r="G19" s="35">
        <f>+'Pro Forma Summary'!E21</f>
        <v>1043.0308436159776</v>
      </c>
      <c r="H19" s="35"/>
      <c r="I19" s="35">
        <f t="shared" ref="I19:I24" si="1">+E19+G19</f>
        <v>8035.9777836159774</v>
      </c>
      <c r="J19" s="35"/>
      <c r="K19" s="35"/>
      <c r="L19" s="35"/>
      <c r="M19" s="35">
        <f>+I19+K19</f>
        <v>8035.9777836159774</v>
      </c>
    </row>
    <row r="20" spans="1:13">
      <c r="A20" s="108">
        <f t="shared" si="0"/>
        <v>8</v>
      </c>
      <c r="C20" s="17" t="s">
        <v>108</v>
      </c>
      <c r="E20" s="35">
        <f>'WP2-Op Income'!Q51/1000</f>
        <v>1899.6850400000001</v>
      </c>
      <c r="F20" s="35"/>
      <c r="G20" s="35">
        <f>+'Pro Forma Summary'!E22</f>
        <v>-69.055236382156139</v>
      </c>
      <c r="H20" s="35"/>
      <c r="I20" s="35">
        <f t="shared" si="1"/>
        <v>1830.6298036178439</v>
      </c>
      <c r="J20" s="35"/>
      <c r="K20" s="35">
        <f>RevReq!E29</f>
        <v>26.639687239079738</v>
      </c>
      <c r="L20" s="35"/>
      <c r="M20" s="35">
        <f>+I20+K20</f>
        <v>1857.2694908569235</v>
      </c>
    </row>
    <row r="21" spans="1:13">
      <c r="A21" s="108">
        <f t="shared" si="0"/>
        <v>9</v>
      </c>
      <c r="C21" s="17" t="s">
        <v>109</v>
      </c>
      <c r="E21" s="35"/>
      <c r="F21" s="35"/>
      <c r="G21" s="35"/>
      <c r="H21" s="35"/>
      <c r="I21" s="35"/>
      <c r="J21" s="35"/>
      <c r="K21" s="35"/>
      <c r="L21" s="35"/>
      <c r="M21" s="35"/>
    </row>
    <row r="22" spans="1:13">
      <c r="A22" s="108">
        <f>+A21+1</f>
        <v>10</v>
      </c>
      <c r="C22" s="17" t="s">
        <v>110</v>
      </c>
      <c r="E22" s="35">
        <f>'WP2-Op Income'!S51/1000</f>
        <v>-1049.6654099999998</v>
      </c>
      <c r="F22" s="35"/>
      <c r="G22" s="35">
        <f>+'Pro Forma Summary'!E24</f>
        <v>-292.98539281001638</v>
      </c>
      <c r="H22" s="35"/>
      <c r="I22" s="35">
        <f>+E22+G22</f>
        <v>-1342.6508028100161</v>
      </c>
      <c r="J22" s="35"/>
      <c r="K22" s="35">
        <f>+RevReq!E23</f>
        <v>1467.2047460231909</v>
      </c>
      <c r="L22" s="35"/>
      <c r="M22" s="35">
        <f>+I22+K22</f>
        <v>124.55394321317476</v>
      </c>
    </row>
    <row r="23" spans="1:13">
      <c r="A23" s="108">
        <f t="shared" si="0"/>
        <v>11</v>
      </c>
      <c r="C23" s="17" t="s">
        <v>111</v>
      </c>
      <c r="E23" s="35">
        <f>'WP2-Op Income'!U51/1000</f>
        <v>1970.6479900000002</v>
      </c>
      <c r="F23" s="35"/>
      <c r="G23" s="35">
        <f>+'Pro Forma Summary'!E25</f>
        <v>0</v>
      </c>
      <c r="H23" s="35"/>
      <c r="I23" s="35">
        <f t="shared" si="1"/>
        <v>1970.6479900000002</v>
      </c>
      <c r="J23" s="35"/>
      <c r="K23" s="35"/>
      <c r="L23" s="35"/>
      <c r="M23" s="35">
        <f>+I23+K23</f>
        <v>1970.6479900000002</v>
      </c>
    </row>
    <row r="24" spans="1:13">
      <c r="A24" s="108">
        <f t="shared" si="0"/>
        <v>12</v>
      </c>
      <c r="C24" s="17" t="s">
        <v>112</v>
      </c>
      <c r="E24" s="36">
        <f>'WP2-Op Income'!W51/1000</f>
        <v>-1.6962699999999999</v>
      </c>
      <c r="F24" s="35"/>
      <c r="G24" s="36">
        <f>+'Pro Forma Summary'!E26</f>
        <v>0</v>
      </c>
      <c r="H24" s="35"/>
      <c r="I24" s="36">
        <f t="shared" si="1"/>
        <v>-1.6962699999999999</v>
      </c>
      <c r="J24" s="35"/>
      <c r="K24" s="36"/>
      <c r="L24" s="35"/>
      <c r="M24" s="36">
        <f>+I24+K24</f>
        <v>-1.6962699999999999</v>
      </c>
    </row>
    <row r="25" spans="1:13">
      <c r="A25" s="108">
        <f t="shared" si="0"/>
        <v>13</v>
      </c>
      <c r="C25" s="17" t="s">
        <v>113</v>
      </c>
      <c r="E25" s="35">
        <f>SUM(E18:E24)</f>
        <v>121866.31877999999</v>
      </c>
      <c r="F25" s="35"/>
      <c r="G25" s="35">
        <f>SUM(G18:G24)</f>
        <v>-78545.556565016552</v>
      </c>
      <c r="H25" s="35"/>
      <c r="I25" s="35">
        <f>SUM(I18:I24)</f>
        <v>43320.76221498345</v>
      </c>
      <c r="J25" s="35"/>
      <c r="K25" s="35">
        <f>SUM(K18:K24)</f>
        <v>1517.5991767693126</v>
      </c>
      <c r="L25" s="35"/>
      <c r="M25" s="35">
        <f>SUM(M18:M24)</f>
        <v>44838.361391752769</v>
      </c>
    </row>
    <row r="26" spans="1:13" ht="16.5" thickBot="1">
      <c r="A26" s="108">
        <f t="shared" si="0"/>
        <v>14</v>
      </c>
      <c r="C26" s="17" t="s">
        <v>114</v>
      </c>
      <c r="E26" s="38">
        <f>+E15-E25</f>
        <v>6798.9259600000078</v>
      </c>
      <c r="F26" s="35"/>
      <c r="G26" s="38">
        <f>+G15-G25</f>
        <v>-746.01372012765205</v>
      </c>
      <c r="H26" s="35"/>
      <c r="I26" s="38">
        <f>+I15-I25</f>
        <v>6052.9122398723557</v>
      </c>
      <c r="J26" s="35"/>
      <c r="K26" s="38">
        <f>+K15-K25</f>
        <v>5519.4845207539092</v>
      </c>
      <c r="L26" s="35"/>
      <c r="M26" s="38">
        <f>+M15-M25</f>
        <v>11572.396760626259</v>
      </c>
    </row>
    <row r="27" spans="1:13" ht="16.5" thickTop="1">
      <c r="E27" s="30"/>
    </row>
    <row r="28" spans="1:13">
      <c r="E28" s="30"/>
    </row>
    <row r="29" spans="1:13">
      <c r="C29" s="17" t="s">
        <v>115</v>
      </c>
    </row>
    <row r="30" spans="1:13">
      <c r="C30" s="17" t="s">
        <v>116</v>
      </c>
    </row>
    <row r="31" spans="1:13">
      <c r="C31" s="17" t="s">
        <v>117</v>
      </c>
    </row>
    <row r="32" spans="1:13">
      <c r="C32" s="17" t="s">
        <v>118</v>
      </c>
    </row>
    <row r="33" spans="3:3">
      <c r="C33" s="17" t="s">
        <v>119</v>
      </c>
    </row>
    <row r="34" spans="3:3">
      <c r="C34" s="17" t="s">
        <v>120</v>
      </c>
    </row>
    <row r="35" spans="3:3">
      <c r="C35" s="17" t="s">
        <v>121</v>
      </c>
    </row>
    <row r="36" spans="3:3">
      <c r="C36" s="17" t="s">
        <v>122</v>
      </c>
    </row>
    <row r="37" spans="3:3">
      <c r="C37" s="17" t="s">
        <v>123</v>
      </c>
    </row>
  </sheetData>
  <phoneticPr fontId="9" type="noConversion"/>
  <pageMargins left="0.75" right="0.41" top="1" bottom="1" header="0.5" footer="0.5"/>
  <pageSetup scale="86" orientation="portrait" r:id="rId1"/>
  <headerFooter alignWithMargins="0">
    <oddFooter xml:space="preserve">&amp;CExhibit BMG 1.1, Schedule 2
Page &amp;P of &amp;N&amp;R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U65"/>
  <sheetViews>
    <sheetView zoomScale="75" zoomScaleNormal="75" workbookViewId="0">
      <selection activeCell="G17" sqref="G17"/>
    </sheetView>
  </sheetViews>
  <sheetFormatPr defaultRowHeight="15.75"/>
  <cols>
    <col min="1" max="1" width="5.140625" style="339" customWidth="1"/>
    <col min="2" max="2" width="8.28515625" style="339" customWidth="1"/>
    <col min="3" max="3" width="39.28515625" style="339" customWidth="1"/>
    <col min="4" max="4" width="12.140625" style="339" customWidth="1"/>
    <col min="5" max="5" width="12" style="339" customWidth="1"/>
    <col min="6" max="6" width="9.7109375" style="339" customWidth="1"/>
    <col min="7" max="18" width="15.42578125" style="339" customWidth="1"/>
    <col min="19" max="19" width="18.5703125" style="339" bestFit="1" customWidth="1"/>
    <col min="20" max="20" width="13.140625" style="339" customWidth="1"/>
    <col min="21" max="21" width="9.85546875" style="339" customWidth="1"/>
    <col min="22" max="16384" width="9.140625" style="339"/>
  </cols>
  <sheetData>
    <row r="1" spans="1:19">
      <c r="A1" s="339" t="s">
        <v>0</v>
      </c>
    </row>
    <row r="2" spans="1:19">
      <c r="A2" s="339" t="str">
        <f>WACC!A2</f>
        <v>Docket No. NG22-___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</row>
    <row r="3" spans="1:19">
      <c r="A3" s="339" t="s">
        <v>814</v>
      </c>
    </row>
    <row r="4" spans="1:19">
      <c r="A4" s="349" t="str">
        <f>WACC!A4</f>
        <v>Twelve Months Ending December 31, 2021</v>
      </c>
    </row>
    <row r="5" spans="1:19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</row>
    <row r="7" spans="1:19">
      <c r="A7" s="355" t="s">
        <v>4</v>
      </c>
      <c r="D7" s="342" t="s">
        <v>815</v>
      </c>
      <c r="E7" s="342" t="s">
        <v>816</v>
      </c>
      <c r="F7" s="342" t="s">
        <v>128</v>
      </c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38" t="s">
        <v>817</v>
      </c>
    </row>
    <row r="8" spans="1:19">
      <c r="A8" s="360" t="s">
        <v>5</v>
      </c>
      <c r="B8" s="343" t="s">
        <v>356</v>
      </c>
      <c r="C8" s="344" t="s">
        <v>818</v>
      </c>
      <c r="D8" s="344" t="s">
        <v>819</v>
      </c>
      <c r="E8" s="344" t="s">
        <v>819</v>
      </c>
      <c r="F8" s="344" t="s">
        <v>272</v>
      </c>
      <c r="G8" s="361">
        <v>44197</v>
      </c>
      <c r="H8" s="361">
        <v>44228</v>
      </c>
      <c r="I8" s="361">
        <v>44256</v>
      </c>
      <c r="J8" s="361">
        <v>44287</v>
      </c>
      <c r="K8" s="361">
        <v>44317</v>
      </c>
      <c r="L8" s="361">
        <v>44348</v>
      </c>
      <c r="M8" s="361">
        <v>44378</v>
      </c>
      <c r="N8" s="361">
        <v>44409</v>
      </c>
      <c r="O8" s="361">
        <v>44440</v>
      </c>
      <c r="P8" s="361">
        <v>44470</v>
      </c>
      <c r="Q8" s="361">
        <v>44501</v>
      </c>
      <c r="R8" s="361">
        <v>44531</v>
      </c>
      <c r="S8" s="344" t="s">
        <v>676</v>
      </c>
    </row>
    <row r="9" spans="1:19">
      <c r="B9" s="342" t="s">
        <v>53</v>
      </c>
      <c r="C9" s="342" t="s">
        <v>54</v>
      </c>
      <c r="D9" s="342" t="s">
        <v>97</v>
      </c>
      <c r="E9" s="342" t="s">
        <v>98</v>
      </c>
      <c r="F9" s="342" t="s">
        <v>99</v>
      </c>
      <c r="G9" s="342" t="s">
        <v>100</v>
      </c>
      <c r="H9" s="342" t="s">
        <v>152</v>
      </c>
      <c r="I9" s="342" t="s">
        <v>153</v>
      </c>
      <c r="J9" s="342" t="s">
        <v>154</v>
      </c>
      <c r="K9" s="342" t="s">
        <v>155</v>
      </c>
      <c r="L9" s="342" t="s">
        <v>156</v>
      </c>
      <c r="M9" s="342" t="s">
        <v>157</v>
      </c>
      <c r="N9" s="342" t="s">
        <v>158</v>
      </c>
      <c r="O9" s="342" t="s">
        <v>159</v>
      </c>
      <c r="P9" s="342" t="s">
        <v>160</v>
      </c>
      <c r="Q9" s="342" t="s">
        <v>161</v>
      </c>
      <c r="R9" s="342" t="s">
        <v>268</v>
      </c>
      <c r="S9" s="342" t="s">
        <v>162</v>
      </c>
    </row>
    <row r="10" spans="1:19">
      <c r="A10" s="342"/>
      <c r="S10" s="351"/>
    </row>
    <row r="11" spans="1:19">
      <c r="A11" s="342"/>
      <c r="C11" s="362" t="s">
        <v>820</v>
      </c>
      <c r="D11" s="342"/>
      <c r="E11" s="342"/>
      <c r="F11" s="342"/>
      <c r="S11" s="351"/>
    </row>
    <row r="12" spans="1:19">
      <c r="A12" s="342">
        <v>1</v>
      </c>
      <c r="B12" s="342">
        <v>221079</v>
      </c>
      <c r="C12" s="355" t="s">
        <v>821</v>
      </c>
      <c r="D12" s="363">
        <v>41536</v>
      </c>
      <c r="E12" s="363">
        <v>45184</v>
      </c>
      <c r="F12" s="364">
        <v>3.6999999999999998E-2</v>
      </c>
      <c r="G12" s="351">
        <v>250000000</v>
      </c>
      <c r="H12" s="351">
        <v>250000000</v>
      </c>
      <c r="I12" s="351">
        <v>250000000</v>
      </c>
      <c r="J12" s="351">
        <v>250000000</v>
      </c>
      <c r="K12" s="351">
        <v>250000000</v>
      </c>
      <c r="L12" s="351">
        <v>250000000</v>
      </c>
      <c r="M12" s="351">
        <v>250000000</v>
      </c>
      <c r="N12" s="351">
        <v>250000000</v>
      </c>
      <c r="O12" s="351">
        <v>250000000</v>
      </c>
      <c r="P12" s="351">
        <v>250000000</v>
      </c>
      <c r="Q12" s="351">
        <v>250000000</v>
      </c>
      <c r="R12" s="351">
        <v>250000000</v>
      </c>
      <c r="S12" s="351">
        <f>(SUM(G12:R12)/12)</f>
        <v>250000000</v>
      </c>
    </row>
    <row r="13" spans="1:19">
      <c r="A13" s="342">
        <v>2</v>
      </c>
      <c r="B13" s="342">
        <v>221080</v>
      </c>
      <c r="C13" s="355" t="s">
        <v>822</v>
      </c>
      <c r="D13" s="363">
        <v>41536</v>
      </c>
      <c r="E13" s="363">
        <v>52489</v>
      </c>
      <c r="F13" s="364">
        <v>4.8000000000000001E-2</v>
      </c>
      <c r="G13" s="351">
        <v>350000000</v>
      </c>
      <c r="H13" s="351">
        <v>350000000</v>
      </c>
      <c r="I13" s="351">
        <v>350000000</v>
      </c>
      <c r="J13" s="351">
        <v>350000000</v>
      </c>
      <c r="K13" s="351">
        <v>350000000</v>
      </c>
      <c r="L13" s="351">
        <v>350000000</v>
      </c>
      <c r="M13" s="351">
        <v>350000000</v>
      </c>
      <c r="N13" s="351">
        <v>350000000</v>
      </c>
      <c r="O13" s="351">
        <v>350000000</v>
      </c>
      <c r="P13" s="351">
        <v>350000000</v>
      </c>
      <c r="Q13" s="351">
        <v>350000000</v>
      </c>
      <c r="R13" s="351">
        <v>350000000</v>
      </c>
      <c r="S13" s="351">
        <f t="shared" ref="S13:S25" si="0">(SUM(G13:R13)/12)</f>
        <v>350000000</v>
      </c>
    </row>
    <row r="14" spans="1:19">
      <c r="A14" s="342">
        <v>3</v>
      </c>
      <c r="B14" s="342">
        <v>221082</v>
      </c>
      <c r="C14" s="355" t="s">
        <v>823</v>
      </c>
      <c r="D14" s="363">
        <v>41732</v>
      </c>
      <c r="E14" s="363">
        <v>45580</v>
      </c>
      <c r="F14" s="364">
        <v>3.5000000000000003E-2</v>
      </c>
      <c r="G14" s="351">
        <v>300000000</v>
      </c>
      <c r="H14" s="351">
        <v>300000000</v>
      </c>
      <c r="I14" s="351">
        <v>300000000</v>
      </c>
      <c r="J14" s="351">
        <v>300000000</v>
      </c>
      <c r="K14" s="351">
        <v>300000000</v>
      </c>
      <c r="L14" s="351">
        <v>300000000</v>
      </c>
      <c r="M14" s="351">
        <v>300000000</v>
      </c>
      <c r="N14" s="351">
        <v>300000000</v>
      </c>
      <c r="O14" s="351">
        <v>300000000</v>
      </c>
      <c r="P14" s="351">
        <v>300000000</v>
      </c>
      <c r="Q14" s="351">
        <v>300000000</v>
      </c>
      <c r="R14" s="351">
        <v>300000000</v>
      </c>
      <c r="S14" s="351">
        <f t="shared" si="0"/>
        <v>300000000</v>
      </c>
    </row>
    <row r="15" spans="1:19">
      <c r="A15" s="342">
        <v>4</v>
      </c>
      <c r="B15" s="342">
        <v>221083</v>
      </c>
      <c r="C15" s="355" t="s">
        <v>824</v>
      </c>
      <c r="D15" s="363">
        <v>41732</v>
      </c>
      <c r="E15" s="363">
        <v>52885</v>
      </c>
      <c r="F15" s="364">
        <v>4.3999999999999997E-2</v>
      </c>
      <c r="G15" s="351">
        <v>400000000</v>
      </c>
      <c r="H15" s="351">
        <v>400000000</v>
      </c>
      <c r="I15" s="351">
        <v>400000000</v>
      </c>
      <c r="J15" s="351">
        <v>400000000</v>
      </c>
      <c r="K15" s="351">
        <v>400000000</v>
      </c>
      <c r="L15" s="351">
        <v>400000000</v>
      </c>
      <c r="M15" s="351">
        <v>400000000</v>
      </c>
      <c r="N15" s="351">
        <v>400000000</v>
      </c>
      <c r="O15" s="351">
        <v>400000000</v>
      </c>
      <c r="P15" s="351">
        <v>400000000</v>
      </c>
      <c r="Q15" s="351">
        <v>400000000</v>
      </c>
      <c r="R15" s="351">
        <v>400000000</v>
      </c>
      <c r="S15" s="351">
        <f t="shared" si="0"/>
        <v>400000000</v>
      </c>
    </row>
    <row r="16" spans="1:19">
      <c r="A16" s="342">
        <v>5</v>
      </c>
      <c r="B16" s="342">
        <v>221084</v>
      </c>
      <c r="C16" s="355" t="s">
        <v>825</v>
      </c>
      <c r="D16" s="363">
        <v>42292</v>
      </c>
      <c r="E16" s="363">
        <v>45580</v>
      </c>
      <c r="F16" s="364">
        <v>3.5000000000000003E-2</v>
      </c>
      <c r="G16" s="351">
        <v>200000000</v>
      </c>
      <c r="H16" s="351">
        <v>200000000</v>
      </c>
      <c r="I16" s="351">
        <v>200000000</v>
      </c>
      <c r="J16" s="351">
        <v>200000000</v>
      </c>
      <c r="K16" s="351">
        <v>200000000</v>
      </c>
      <c r="L16" s="351">
        <v>200000000</v>
      </c>
      <c r="M16" s="351">
        <v>200000000</v>
      </c>
      <c r="N16" s="351">
        <v>200000000</v>
      </c>
      <c r="O16" s="351">
        <v>200000000</v>
      </c>
      <c r="P16" s="351">
        <v>200000000</v>
      </c>
      <c r="Q16" s="351">
        <v>200000000</v>
      </c>
      <c r="R16" s="351">
        <v>200000000</v>
      </c>
      <c r="S16" s="351">
        <f t="shared" si="0"/>
        <v>200000000</v>
      </c>
    </row>
    <row r="17" spans="1:20">
      <c r="A17" s="342">
        <v>6</v>
      </c>
      <c r="B17" s="342">
        <v>221085</v>
      </c>
      <c r="C17" s="355" t="s">
        <v>826</v>
      </c>
      <c r="D17" s="363">
        <v>42292</v>
      </c>
      <c r="E17" s="363">
        <v>53448</v>
      </c>
      <c r="F17" s="364">
        <v>4.2500000000000003E-2</v>
      </c>
      <c r="G17" s="351">
        <v>450000000</v>
      </c>
      <c r="H17" s="351">
        <v>450000000</v>
      </c>
      <c r="I17" s="351">
        <v>450000000</v>
      </c>
      <c r="J17" s="351">
        <v>450000000</v>
      </c>
      <c r="K17" s="351">
        <v>450000000</v>
      </c>
      <c r="L17" s="351">
        <v>450000000</v>
      </c>
      <c r="M17" s="351">
        <v>450000000</v>
      </c>
      <c r="N17" s="351">
        <v>450000000</v>
      </c>
      <c r="O17" s="351">
        <v>450000000</v>
      </c>
      <c r="P17" s="351">
        <v>450000000</v>
      </c>
      <c r="Q17" s="351">
        <v>450000000</v>
      </c>
      <c r="R17" s="351">
        <v>450000000</v>
      </c>
      <c r="S17" s="351">
        <f t="shared" si="0"/>
        <v>450000000</v>
      </c>
    </row>
    <row r="18" spans="1:20">
      <c r="A18" s="342">
        <v>7</v>
      </c>
      <c r="B18" s="342">
        <v>221087</v>
      </c>
      <c r="C18" s="355" t="s">
        <v>827</v>
      </c>
      <c r="D18" s="363">
        <v>42767</v>
      </c>
      <c r="E18" s="363">
        <v>46508</v>
      </c>
      <c r="F18" s="364">
        <v>3.1E-2</v>
      </c>
      <c r="G18" s="351">
        <v>375000000</v>
      </c>
      <c r="H18" s="351">
        <v>375000000</v>
      </c>
      <c r="I18" s="351">
        <v>375000000</v>
      </c>
      <c r="J18" s="351">
        <v>375000000</v>
      </c>
      <c r="K18" s="351">
        <v>375000000</v>
      </c>
      <c r="L18" s="351">
        <v>375000000</v>
      </c>
      <c r="M18" s="351">
        <v>375000000</v>
      </c>
      <c r="N18" s="351">
        <v>375000000</v>
      </c>
      <c r="O18" s="351">
        <v>375000000</v>
      </c>
      <c r="P18" s="351">
        <v>375000000</v>
      </c>
      <c r="Q18" s="351">
        <v>375000000</v>
      </c>
      <c r="R18" s="351">
        <v>375000000</v>
      </c>
      <c r="S18" s="351">
        <f t="shared" si="0"/>
        <v>375000000</v>
      </c>
    </row>
    <row r="19" spans="1:20">
      <c r="A19" s="342">
        <v>8</v>
      </c>
      <c r="B19" s="342">
        <v>221088</v>
      </c>
      <c r="C19" s="355" t="s">
        <v>828</v>
      </c>
      <c r="D19" s="363">
        <v>42767</v>
      </c>
      <c r="E19" s="363">
        <v>53905</v>
      </c>
      <c r="F19" s="364">
        <v>3.95E-2</v>
      </c>
      <c r="G19" s="351">
        <v>475000000</v>
      </c>
      <c r="H19" s="351">
        <v>475000000</v>
      </c>
      <c r="I19" s="351">
        <v>475000000</v>
      </c>
      <c r="J19" s="351">
        <v>475000000</v>
      </c>
      <c r="K19" s="351">
        <v>475000000</v>
      </c>
      <c r="L19" s="351">
        <v>475000000</v>
      </c>
      <c r="M19" s="351">
        <v>475000000</v>
      </c>
      <c r="N19" s="351">
        <v>475000000</v>
      </c>
      <c r="O19" s="351">
        <v>475000000</v>
      </c>
      <c r="P19" s="351">
        <v>475000000</v>
      </c>
      <c r="Q19" s="351">
        <v>475000000</v>
      </c>
      <c r="R19" s="351">
        <v>475000000</v>
      </c>
      <c r="S19" s="351">
        <f t="shared" si="0"/>
        <v>475000000</v>
      </c>
    </row>
    <row r="20" spans="1:20">
      <c r="A20" s="342">
        <v>9</v>
      </c>
      <c r="B20" s="342">
        <v>221089</v>
      </c>
      <c r="C20" s="355" t="s">
        <v>829</v>
      </c>
      <c r="D20" s="363">
        <v>43132</v>
      </c>
      <c r="E20" s="363">
        <v>54271</v>
      </c>
      <c r="F20" s="364">
        <v>3.6499999999999998E-2</v>
      </c>
      <c r="G20" s="351">
        <v>700000000</v>
      </c>
      <c r="H20" s="351">
        <v>700000000</v>
      </c>
      <c r="I20" s="351">
        <v>700000000</v>
      </c>
      <c r="J20" s="351">
        <v>700000000</v>
      </c>
      <c r="K20" s="351">
        <v>700000000</v>
      </c>
      <c r="L20" s="351">
        <v>700000000</v>
      </c>
      <c r="M20" s="351">
        <v>700000000</v>
      </c>
      <c r="N20" s="351">
        <v>700000000</v>
      </c>
      <c r="O20" s="351">
        <v>700000000</v>
      </c>
      <c r="P20" s="351">
        <v>700000000</v>
      </c>
      <c r="Q20" s="351">
        <v>700000000</v>
      </c>
      <c r="R20" s="351">
        <v>700000000</v>
      </c>
      <c r="S20" s="351">
        <f t="shared" si="0"/>
        <v>700000000</v>
      </c>
    </row>
    <row r="21" spans="1:20">
      <c r="A21" s="342">
        <v>10</v>
      </c>
      <c r="B21" s="342">
        <v>221090</v>
      </c>
      <c r="C21" s="355" t="s">
        <v>830</v>
      </c>
      <c r="D21" s="363">
        <v>43472</v>
      </c>
      <c r="E21" s="363">
        <v>47223</v>
      </c>
      <c r="F21" s="364">
        <v>3.6499999999999998E-2</v>
      </c>
      <c r="G21" s="351">
        <v>600000000</v>
      </c>
      <c r="H21" s="351">
        <v>600000000</v>
      </c>
      <c r="I21" s="351">
        <v>600000000</v>
      </c>
      <c r="J21" s="351">
        <v>600000000</v>
      </c>
      <c r="K21" s="351">
        <v>600000000</v>
      </c>
      <c r="L21" s="351">
        <v>600000000</v>
      </c>
      <c r="M21" s="351">
        <v>600000000</v>
      </c>
      <c r="N21" s="351">
        <v>600000000</v>
      </c>
      <c r="O21" s="351">
        <v>600000000</v>
      </c>
      <c r="P21" s="351">
        <v>600000000</v>
      </c>
      <c r="Q21" s="351">
        <v>600000000</v>
      </c>
      <c r="R21" s="351">
        <v>600000000</v>
      </c>
      <c r="S21" s="351">
        <f t="shared" si="0"/>
        <v>600000000</v>
      </c>
    </row>
    <row r="22" spans="1:20">
      <c r="A22" s="342">
        <v>11</v>
      </c>
      <c r="B22" s="342">
        <v>221091</v>
      </c>
      <c r="C22" s="355" t="s">
        <v>831</v>
      </c>
      <c r="D22" s="363">
        <v>43472</v>
      </c>
      <c r="E22" s="363">
        <v>54619</v>
      </c>
      <c r="F22" s="364">
        <v>4.2500000000000003E-2</v>
      </c>
      <c r="G22" s="351">
        <v>900000000</v>
      </c>
      <c r="H22" s="351">
        <v>900000000</v>
      </c>
      <c r="I22" s="351">
        <v>900000000</v>
      </c>
      <c r="J22" s="351">
        <v>900000000</v>
      </c>
      <c r="K22" s="351">
        <v>900000000</v>
      </c>
      <c r="L22" s="351">
        <v>900000000</v>
      </c>
      <c r="M22" s="351">
        <v>900000000</v>
      </c>
      <c r="N22" s="351">
        <v>900000000</v>
      </c>
      <c r="O22" s="351">
        <v>900000000</v>
      </c>
      <c r="P22" s="351">
        <v>900000000</v>
      </c>
      <c r="Q22" s="351">
        <v>900000000</v>
      </c>
      <c r="R22" s="351">
        <v>900000000</v>
      </c>
      <c r="S22" s="351">
        <f t="shared" si="0"/>
        <v>900000000</v>
      </c>
    </row>
    <row r="23" spans="1:20">
      <c r="A23" s="342">
        <v>12</v>
      </c>
      <c r="B23" s="342">
        <v>221092</v>
      </c>
      <c r="C23" s="355" t="s">
        <v>832</v>
      </c>
      <c r="D23" s="363">
        <v>43739</v>
      </c>
      <c r="E23" s="363">
        <v>54893</v>
      </c>
      <c r="F23" s="364">
        <v>3.15E-2</v>
      </c>
      <c r="G23" s="351">
        <v>600000000</v>
      </c>
      <c r="H23" s="351">
        <v>600000000</v>
      </c>
      <c r="I23" s="351">
        <v>600000000</v>
      </c>
      <c r="J23" s="351">
        <v>600000000</v>
      </c>
      <c r="K23" s="351">
        <v>600000000</v>
      </c>
      <c r="L23" s="351">
        <v>600000000</v>
      </c>
      <c r="M23" s="351">
        <v>600000000</v>
      </c>
      <c r="N23" s="351">
        <v>600000000</v>
      </c>
      <c r="O23" s="351">
        <v>600000000</v>
      </c>
      <c r="P23" s="351">
        <v>600000000</v>
      </c>
      <c r="Q23" s="351">
        <v>600000000</v>
      </c>
      <c r="R23" s="351">
        <v>600000000</v>
      </c>
      <c r="S23" s="351">
        <f t="shared" si="0"/>
        <v>600000000</v>
      </c>
    </row>
    <row r="24" spans="1:20">
      <c r="A24" s="342">
        <v>13</v>
      </c>
      <c r="B24" s="342">
        <v>221093</v>
      </c>
      <c r="C24" s="355" t="s">
        <v>833</v>
      </c>
      <c r="D24" s="363">
        <v>43739</v>
      </c>
      <c r="E24" s="363">
        <v>47223</v>
      </c>
      <c r="F24" s="364">
        <v>3.6499999999999998E-2</v>
      </c>
      <c r="G24" s="351">
        <v>250000000</v>
      </c>
      <c r="H24" s="351">
        <v>250000000</v>
      </c>
      <c r="I24" s="351">
        <v>250000000</v>
      </c>
      <c r="J24" s="351">
        <v>250000000</v>
      </c>
      <c r="K24" s="351">
        <v>250000000</v>
      </c>
      <c r="L24" s="351">
        <v>250000000</v>
      </c>
      <c r="M24" s="351">
        <v>250000000</v>
      </c>
      <c r="N24" s="351">
        <v>250000000</v>
      </c>
      <c r="O24" s="351">
        <v>250000000</v>
      </c>
      <c r="P24" s="351">
        <v>250000000</v>
      </c>
      <c r="Q24" s="351">
        <v>250000000</v>
      </c>
      <c r="R24" s="351">
        <v>250000000</v>
      </c>
      <c r="S24" s="351">
        <f t="shared" si="0"/>
        <v>250000000</v>
      </c>
    </row>
    <row r="25" spans="1:20">
      <c r="A25" s="342">
        <v>14</v>
      </c>
      <c r="B25" s="342">
        <v>221094</v>
      </c>
      <c r="C25" s="355" t="s">
        <v>834</v>
      </c>
      <c r="D25" s="363">
        <v>44378</v>
      </c>
      <c r="E25" s="363">
        <v>55732</v>
      </c>
      <c r="F25" s="364">
        <v>2.7E-2</v>
      </c>
      <c r="G25" s="357">
        <v>0</v>
      </c>
      <c r="H25" s="357">
        <v>0</v>
      </c>
      <c r="I25" s="357">
        <v>0</v>
      </c>
      <c r="J25" s="357">
        <v>0</v>
      </c>
      <c r="K25" s="357">
        <v>0</v>
      </c>
      <c r="L25" s="357">
        <v>0</v>
      </c>
      <c r="M25" s="357">
        <v>500000000</v>
      </c>
      <c r="N25" s="357">
        <v>500000000</v>
      </c>
      <c r="O25" s="357">
        <v>500000000</v>
      </c>
      <c r="P25" s="357">
        <v>500000000</v>
      </c>
      <c r="Q25" s="357">
        <v>500000000</v>
      </c>
      <c r="R25" s="357">
        <v>500000000</v>
      </c>
      <c r="S25" s="357">
        <f t="shared" si="0"/>
        <v>250000000</v>
      </c>
    </row>
    <row r="26" spans="1:20">
      <c r="A26" s="342">
        <v>15</v>
      </c>
      <c r="C26" s="355" t="s">
        <v>835</v>
      </c>
      <c r="D26" s="342"/>
      <c r="E26" s="342"/>
      <c r="F26" s="342"/>
      <c r="G26" s="351">
        <f>SUM(G12:G25)</f>
        <v>5850000000</v>
      </c>
      <c r="H26" s="351">
        <f t="shared" ref="H26:S26" si="1">SUM(H12:H25)</f>
        <v>5850000000</v>
      </c>
      <c r="I26" s="351">
        <f t="shared" si="1"/>
        <v>5850000000</v>
      </c>
      <c r="J26" s="351">
        <f t="shared" si="1"/>
        <v>5850000000</v>
      </c>
      <c r="K26" s="351">
        <f t="shared" si="1"/>
        <v>5850000000</v>
      </c>
      <c r="L26" s="351">
        <f t="shared" si="1"/>
        <v>5850000000</v>
      </c>
      <c r="M26" s="351">
        <f t="shared" si="1"/>
        <v>6350000000</v>
      </c>
      <c r="N26" s="351">
        <f t="shared" si="1"/>
        <v>6350000000</v>
      </c>
      <c r="O26" s="351">
        <f t="shared" si="1"/>
        <v>6350000000</v>
      </c>
      <c r="P26" s="351">
        <f t="shared" si="1"/>
        <v>6350000000</v>
      </c>
      <c r="Q26" s="351">
        <f t="shared" si="1"/>
        <v>6350000000</v>
      </c>
      <c r="R26" s="351">
        <f t="shared" si="1"/>
        <v>6350000000</v>
      </c>
      <c r="S26" s="351">
        <f t="shared" si="1"/>
        <v>6100000000</v>
      </c>
    </row>
    <row r="27" spans="1:20">
      <c r="A27" s="342"/>
      <c r="C27" s="355"/>
      <c r="D27" s="342"/>
      <c r="E27" s="342"/>
      <c r="F27" s="342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</row>
    <row r="28" spans="1:20">
      <c r="A28" s="342"/>
      <c r="B28" s="342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</row>
    <row r="29" spans="1:20">
      <c r="A29" s="342"/>
      <c r="B29" s="342"/>
      <c r="C29" s="362" t="s">
        <v>836</v>
      </c>
      <c r="D29" s="342"/>
      <c r="E29" s="342"/>
      <c r="F29" s="342"/>
      <c r="S29" s="351"/>
    </row>
    <row r="30" spans="1:20">
      <c r="A30" s="342">
        <f>A26+1</f>
        <v>16</v>
      </c>
      <c r="B30" s="342">
        <v>221013</v>
      </c>
      <c r="C30" s="339" t="s">
        <v>837</v>
      </c>
      <c r="D30" s="366" t="s">
        <v>838</v>
      </c>
      <c r="E30" s="366" t="s">
        <v>839</v>
      </c>
      <c r="F30" s="342" t="s">
        <v>840</v>
      </c>
      <c r="G30" s="351">
        <v>34900000</v>
      </c>
      <c r="H30" s="351">
        <v>34900000</v>
      </c>
      <c r="I30" s="351">
        <v>34900000</v>
      </c>
      <c r="J30" s="351">
        <v>34900000</v>
      </c>
      <c r="K30" s="351">
        <v>34900000</v>
      </c>
      <c r="L30" s="351">
        <v>34900000</v>
      </c>
      <c r="M30" s="351">
        <v>34900000</v>
      </c>
      <c r="N30" s="351">
        <v>34900000</v>
      </c>
      <c r="O30" s="351">
        <v>34900000</v>
      </c>
      <c r="P30" s="351">
        <v>34900000</v>
      </c>
      <c r="Q30" s="351">
        <v>34900000</v>
      </c>
      <c r="R30" s="351">
        <v>34900000</v>
      </c>
      <c r="S30" s="351">
        <f>(SUM(G30:R30)/12)</f>
        <v>34900000</v>
      </c>
      <c r="T30" s="351"/>
    </row>
    <row r="31" spans="1:20">
      <c r="A31" s="342">
        <f>A30+1</f>
        <v>17</v>
      </c>
      <c r="B31" s="342">
        <v>221017</v>
      </c>
      <c r="C31" s="339" t="s">
        <v>841</v>
      </c>
      <c r="D31" s="366" t="s">
        <v>842</v>
      </c>
      <c r="E31" s="366" t="s">
        <v>843</v>
      </c>
      <c r="F31" s="342" t="s">
        <v>840</v>
      </c>
      <c r="G31" s="351">
        <v>33400000</v>
      </c>
      <c r="H31" s="351">
        <v>33400000</v>
      </c>
      <c r="I31" s="351">
        <v>33400000</v>
      </c>
      <c r="J31" s="351">
        <v>33400000</v>
      </c>
      <c r="K31" s="351">
        <v>33400000</v>
      </c>
      <c r="L31" s="351">
        <v>33400000</v>
      </c>
      <c r="M31" s="351">
        <v>33400000</v>
      </c>
      <c r="N31" s="351">
        <v>33400000</v>
      </c>
      <c r="O31" s="351">
        <v>33400000</v>
      </c>
      <c r="P31" s="351">
        <v>33400000</v>
      </c>
      <c r="Q31" s="351">
        <v>33400000</v>
      </c>
      <c r="R31" s="351">
        <v>33400000</v>
      </c>
      <c r="S31" s="351">
        <f t="shared" ref="S31:S37" si="2">(SUM(G31:R31)/12)</f>
        <v>33400000</v>
      </c>
      <c r="T31" s="367"/>
    </row>
    <row r="32" spans="1:20">
      <c r="A32" s="342">
        <f t="shared" ref="A32:A38" si="3">A31+1</f>
        <v>18</v>
      </c>
      <c r="B32" s="342">
        <v>221019</v>
      </c>
      <c r="C32" s="339" t="s">
        <v>844</v>
      </c>
      <c r="D32" s="366" t="s">
        <v>845</v>
      </c>
      <c r="E32" s="366" t="s">
        <v>846</v>
      </c>
      <c r="F32" s="342" t="s">
        <v>840</v>
      </c>
      <c r="G32" s="351">
        <v>30000000</v>
      </c>
      <c r="H32" s="351">
        <v>30000000</v>
      </c>
      <c r="I32" s="351">
        <v>30000000</v>
      </c>
      <c r="J32" s="351">
        <v>30000000</v>
      </c>
      <c r="K32" s="351">
        <v>30000000</v>
      </c>
      <c r="L32" s="351">
        <v>30000000</v>
      </c>
      <c r="M32" s="351">
        <v>30000000</v>
      </c>
      <c r="N32" s="351">
        <v>30000000</v>
      </c>
      <c r="O32" s="351">
        <v>30000000</v>
      </c>
      <c r="P32" s="351">
        <v>30000000</v>
      </c>
      <c r="Q32" s="351">
        <v>30000000</v>
      </c>
      <c r="R32" s="351">
        <v>30000000</v>
      </c>
      <c r="S32" s="351">
        <f t="shared" si="2"/>
        <v>30000000</v>
      </c>
    </row>
    <row r="33" spans="1:21">
      <c r="A33" s="342">
        <f t="shared" si="3"/>
        <v>19</v>
      </c>
      <c r="B33" s="342">
        <v>221020</v>
      </c>
      <c r="C33" s="339" t="s">
        <v>847</v>
      </c>
      <c r="D33" s="366" t="s">
        <v>848</v>
      </c>
      <c r="E33" s="366" t="s">
        <v>849</v>
      </c>
      <c r="F33" s="342" t="s">
        <v>840</v>
      </c>
      <c r="G33" s="351">
        <v>150000000</v>
      </c>
      <c r="H33" s="351">
        <v>150000000</v>
      </c>
      <c r="I33" s="351">
        <v>150000000</v>
      </c>
      <c r="J33" s="351">
        <v>150000000</v>
      </c>
      <c r="K33" s="351">
        <v>150000000</v>
      </c>
      <c r="L33" s="351">
        <v>150000000</v>
      </c>
      <c r="M33" s="351">
        <v>150000000</v>
      </c>
      <c r="N33" s="351">
        <v>150000000</v>
      </c>
      <c r="O33" s="351">
        <v>150000000</v>
      </c>
      <c r="P33" s="351">
        <v>150000000</v>
      </c>
      <c r="Q33" s="351">
        <v>150000000</v>
      </c>
      <c r="R33" s="351">
        <v>150000000</v>
      </c>
      <c r="S33" s="351">
        <f t="shared" si="2"/>
        <v>150000000</v>
      </c>
    </row>
    <row r="34" spans="1:21">
      <c r="A34" s="342">
        <f t="shared" si="3"/>
        <v>20</v>
      </c>
      <c r="B34" s="342">
        <v>221041</v>
      </c>
      <c r="C34" s="339" t="s">
        <v>850</v>
      </c>
      <c r="D34" s="366" t="s">
        <v>851</v>
      </c>
      <c r="E34" s="366" t="s">
        <v>852</v>
      </c>
      <c r="F34" s="342" t="s">
        <v>840</v>
      </c>
      <c r="G34" s="351">
        <v>6850000</v>
      </c>
      <c r="H34" s="351">
        <v>6850000</v>
      </c>
      <c r="I34" s="351">
        <v>6850000</v>
      </c>
      <c r="J34" s="351">
        <v>6850000</v>
      </c>
      <c r="K34" s="351">
        <v>6850000</v>
      </c>
      <c r="L34" s="351">
        <v>6850000</v>
      </c>
      <c r="M34" s="351">
        <v>6850000</v>
      </c>
      <c r="N34" s="351">
        <v>6850000</v>
      </c>
      <c r="O34" s="351">
        <v>6850000</v>
      </c>
      <c r="P34" s="351">
        <v>6850000</v>
      </c>
      <c r="Q34" s="351">
        <v>6850000</v>
      </c>
      <c r="R34" s="351">
        <v>6850000</v>
      </c>
      <c r="S34" s="351">
        <f t="shared" si="2"/>
        <v>6850000</v>
      </c>
    </row>
    <row r="35" spans="1:21">
      <c r="A35" s="342">
        <f t="shared" si="3"/>
        <v>21</v>
      </c>
      <c r="B35" s="342">
        <v>221042</v>
      </c>
      <c r="C35" s="339" t="s">
        <v>853</v>
      </c>
      <c r="D35" s="366" t="s">
        <v>854</v>
      </c>
      <c r="E35" s="366" t="s">
        <v>855</v>
      </c>
      <c r="F35" s="342" t="s">
        <v>840</v>
      </c>
      <c r="G35" s="351">
        <v>12750000</v>
      </c>
      <c r="H35" s="351">
        <v>12750000</v>
      </c>
      <c r="I35" s="351">
        <v>12750000</v>
      </c>
      <c r="J35" s="351">
        <v>12750000</v>
      </c>
      <c r="K35" s="351">
        <v>12750000</v>
      </c>
      <c r="L35" s="351">
        <v>12750000</v>
      </c>
      <c r="M35" s="351">
        <v>12750000</v>
      </c>
      <c r="N35" s="351">
        <v>12750000</v>
      </c>
      <c r="O35" s="351">
        <v>12750000</v>
      </c>
      <c r="P35" s="351">
        <v>12750000</v>
      </c>
      <c r="Q35" s="351">
        <v>12750000</v>
      </c>
      <c r="R35" s="351">
        <v>12750000</v>
      </c>
      <c r="S35" s="351">
        <f t="shared" si="2"/>
        <v>12750000</v>
      </c>
    </row>
    <row r="36" spans="1:21">
      <c r="A36" s="342">
        <f t="shared" si="3"/>
        <v>22</v>
      </c>
      <c r="B36" s="342">
        <v>221076</v>
      </c>
      <c r="C36" s="339" t="s">
        <v>856</v>
      </c>
      <c r="D36" s="368">
        <v>39630</v>
      </c>
      <c r="E36" s="366" t="s">
        <v>857</v>
      </c>
      <c r="F36" s="346" t="s">
        <v>840</v>
      </c>
      <c r="G36" s="351">
        <v>45100000</v>
      </c>
      <c r="H36" s="351">
        <v>45100000</v>
      </c>
      <c r="I36" s="351">
        <v>45100000</v>
      </c>
      <c r="J36" s="351">
        <v>45100000</v>
      </c>
      <c r="K36" s="351">
        <v>45100000</v>
      </c>
      <c r="L36" s="351">
        <v>45100000</v>
      </c>
      <c r="M36" s="351">
        <v>45100000</v>
      </c>
      <c r="N36" s="351">
        <v>45100000</v>
      </c>
      <c r="O36" s="351">
        <v>45100000</v>
      </c>
      <c r="P36" s="351">
        <v>45100000</v>
      </c>
      <c r="Q36" s="351">
        <v>45100000</v>
      </c>
      <c r="R36" s="351">
        <v>45100000</v>
      </c>
      <c r="S36" s="351">
        <f t="shared" si="2"/>
        <v>45100000</v>
      </c>
      <c r="T36" s="367"/>
    </row>
    <row r="37" spans="1:21">
      <c r="A37" s="342">
        <f t="shared" si="3"/>
        <v>23</v>
      </c>
      <c r="B37" s="342">
        <v>221077</v>
      </c>
      <c r="C37" s="339" t="s">
        <v>858</v>
      </c>
      <c r="D37" s="368">
        <v>39630</v>
      </c>
      <c r="E37" s="366" t="s">
        <v>859</v>
      </c>
      <c r="F37" s="346" t="s">
        <v>840</v>
      </c>
      <c r="G37" s="357">
        <v>57325000</v>
      </c>
      <c r="H37" s="357">
        <v>57325000</v>
      </c>
      <c r="I37" s="357">
        <v>57325000</v>
      </c>
      <c r="J37" s="357">
        <v>57325000</v>
      </c>
      <c r="K37" s="357">
        <v>57325000</v>
      </c>
      <c r="L37" s="357">
        <v>57325000</v>
      </c>
      <c r="M37" s="357">
        <v>57325000</v>
      </c>
      <c r="N37" s="357">
        <v>57325000</v>
      </c>
      <c r="O37" s="357">
        <v>57325000</v>
      </c>
      <c r="P37" s="357">
        <v>57325000</v>
      </c>
      <c r="Q37" s="357">
        <v>57325000</v>
      </c>
      <c r="R37" s="357">
        <v>57325000</v>
      </c>
      <c r="S37" s="357">
        <f t="shared" si="2"/>
        <v>57325000</v>
      </c>
      <c r="T37" s="367"/>
    </row>
    <row r="38" spans="1:21">
      <c r="A38" s="342">
        <f t="shared" si="3"/>
        <v>24</v>
      </c>
      <c r="C38" s="339" t="s">
        <v>860</v>
      </c>
      <c r="D38" s="366"/>
      <c r="E38" s="366"/>
      <c r="G38" s="351">
        <f t="shared" ref="G38:S38" si="4">SUM(G30:G37)</f>
        <v>370325000</v>
      </c>
      <c r="H38" s="351">
        <f t="shared" si="4"/>
        <v>370325000</v>
      </c>
      <c r="I38" s="351">
        <f t="shared" si="4"/>
        <v>370325000</v>
      </c>
      <c r="J38" s="351">
        <f t="shared" si="4"/>
        <v>370325000</v>
      </c>
      <c r="K38" s="351">
        <f t="shared" si="4"/>
        <v>370325000</v>
      </c>
      <c r="L38" s="351">
        <f t="shared" si="4"/>
        <v>370325000</v>
      </c>
      <c r="M38" s="351">
        <f t="shared" si="4"/>
        <v>370325000</v>
      </c>
      <c r="N38" s="351">
        <f t="shared" si="4"/>
        <v>370325000</v>
      </c>
      <c r="O38" s="351">
        <f t="shared" si="4"/>
        <v>370325000</v>
      </c>
      <c r="P38" s="351">
        <f t="shared" si="4"/>
        <v>370325000</v>
      </c>
      <c r="Q38" s="351">
        <f t="shared" si="4"/>
        <v>370325000</v>
      </c>
      <c r="R38" s="351">
        <f t="shared" si="4"/>
        <v>370325000</v>
      </c>
      <c r="S38" s="351">
        <f t="shared" si="4"/>
        <v>370325000</v>
      </c>
    </row>
    <row r="39" spans="1:21">
      <c r="S39" s="351"/>
    </row>
    <row r="40" spans="1:21">
      <c r="S40" s="351"/>
    </row>
    <row r="41" spans="1:21">
      <c r="C41" s="362" t="s">
        <v>861</v>
      </c>
      <c r="D41" s="342"/>
      <c r="E41" s="342"/>
      <c r="F41" s="342"/>
      <c r="S41" s="351"/>
    </row>
    <row r="42" spans="1:21">
      <c r="A42" s="342">
        <f>A38+1</f>
        <v>25</v>
      </c>
      <c r="B42" s="342">
        <v>224065</v>
      </c>
      <c r="C42" s="339" t="s">
        <v>862</v>
      </c>
      <c r="D42" s="368">
        <v>37295</v>
      </c>
      <c r="E42" s="368">
        <v>48212</v>
      </c>
      <c r="F42" s="346">
        <v>6.7500000000000004E-2</v>
      </c>
      <c r="G42" s="351">
        <v>400000000</v>
      </c>
      <c r="H42" s="351">
        <v>400000000</v>
      </c>
      <c r="I42" s="351">
        <v>400000000</v>
      </c>
      <c r="J42" s="351">
        <v>400000000</v>
      </c>
      <c r="K42" s="351">
        <v>400000000</v>
      </c>
      <c r="L42" s="351">
        <v>400000000</v>
      </c>
      <c r="M42" s="351">
        <v>400000000</v>
      </c>
      <c r="N42" s="351">
        <v>400000000</v>
      </c>
      <c r="O42" s="351">
        <v>400000000</v>
      </c>
      <c r="P42" s="351">
        <v>400000000</v>
      </c>
      <c r="Q42" s="351">
        <v>400000000</v>
      </c>
      <c r="R42" s="351">
        <v>400000000</v>
      </c>
      <c r="S42" s="351">
        <f>(SUM(G42:R42)/12)</f>
        <v>400000000</v>
      </c>
    </row>
    <row r="43" spans="1:21">
      <c r="A43" s="342">
        <f>A42+1</f>
        <v>26</v>
      </c>
      <c r="B43" s="342">
        <v>224069</v>
      </c>
      <c r="C43" s="339" t="s">
        <v>863</v>
      </c>
      <c r="D43" s="368">
        <v>38657</v>
      </c>
      <c r="E43" s="368">
        <v>49614</v>
      </c>
      <c r="F43" s="346">
        <v>5.7500000000000002E-2</v>
      </c>
      <c r="G43" s="351">
        <v>300000000</v>
      </c>
      <c r="H43" s="351">
        <v>300000000</v>
      </c>
      <c r="I43" s="351">
        <v>300000000</v>
      </c>
      <c r="J43" s="351">
        <v>300000000</v>
      </c>
      <c r="K43" s="351">
        <v>300000000</v>
      </c>
      <c r="L43" s="351">
        <v>300000000</v>
      </c>
      <c r="M43" s="351">
        <v>300000000</v>
      </c>
      <c r="N43" s="351">
        <v>300000000</v>
      </c>
      <c r="O43" s="351">
        <v>300000000</v>
      </c>
      <c r="P43" s="351">
        <v>300000000</v>
      </c>
      <c r="Q43" s="351">
        <v>300000000</v>
      </c>
      <c r="R43" s="351">
        <v>300000000</v>
      </c>
      <c r="S43" s="351">
        <f t="shared" ref="S43:S49" si="5">(SUM(G43:R43)/12)</f>
        <v>300000000</v>
      </c>
    </row>
    <row r="44" spans="1:21">
      <c r="A44" s="342">
        <f t="shared" ref="A44:A49" si="6">A43+1</f>
        <v>27</v>
      </c>
      <c r="B44" s="342">
        <v>224072</v>
      </c>
      <c r="C44" s="339" t="s">
        <v>864</v>
      </c>
      <c r="D44" s="368">
        <v>38996</v>
      </c>
      <c r="E44" s="368">
        <v>49963</v>
      </c>
      <c r="F44" s="346">
        <v>5.8000000000000003E-2</v>
      </c>
      <c r="G44" s="351">
        <v>350000000</v>
      </c>
      <c r="H44" s="351">
        <v>350000000</v>
      </c>
      <c r="I44" s="351">
        <v>350000000</v>
      </c>
      <c r="J44" s="351">
        <v>350000000</v>
      </c>
      <c r="K44" s="351">
        <v>350000000</v>
      </c>
      <c r="L44" s="351">
        <v>350000000</v>
      </c>
      <c r="M44" s="351">
        <v>350000000</v>
      </c>
      <c r="N44" s="351">
        <v>350000000</v>
      </c>
      <c r="O44" s="351">
        <v>350000000</v>
      </c>
      <c r="P44" s="351">
        <v>350000000</v>
      </c>
      <c r="Q44" s="351">
        <v>350000000</v>
      </c>
      <c r="R44" s="351">
        <v>350000000</v>
      </c>
      <c r="S44" s="351">
        <f t="shared" si="5"/>
        <v>350000000</v>
      </c>
    </row>
    <row r="45" spans="1:21">
      <c r="A45" s="342">
        <f t="shared" si="6"/>
        <v>28</v>
      </c>
      <c r="B45" s="342">
        <v>224075</v>
      </c>
      <c r="C45" s="339" t="s">
        <v>865</v>
      </c>
      <c r="D45" s="363">
        <v>44454</v>
      </c>
      <c r="E45" s="363">
        <v>50298</v>
      </c>
      <c r="F45" s="346">
        <v>7.9469999999999999E-2</v>
      </c>
      <c r="G45" s="351"/>
      <c r="H45" s="351"/>
      <c r="I45" s="351"/>
      <c r="J45" s="351"/>
      <c r="K45" s="351"/>
      <c r="L45" s="351"/>
      <c r="M45" s="351"/>
      <c r="N45" s="351"/>
      <c r="O45" s="351"/>
      <c r="P45" s="351">
        <v>-42109</v>
      </c>
      <c r="Q45" s="351">
        <v>8000710</v>
      </c>
      <c r="R45" s="351">
        <v>7958601</v>
      </c>
      <c r="S45" s="351">
        <f t="shared" si="5"/>
        <v>1326433.5</v>
      </c>
    </row>
    <row r="46" spans="1:21">
      <c r="A46" s="342">
        <f t="shared" si="6"/>
        <v>29</v>
      </c>
      <c r="B46" s="342">
        <v>224076</v>
      </c>
      <c r="C46" s="339" t="s">
        <v>866</v>
      </c>
      <c r="D46" s="363">
        <v>44362</v>
      </c>
      <c r="E46" s="363">
        <v>51606</v>
      </c>
      <c r="F46" s="346">
        <v>8.14E-2</v>
      </c>
      <c r="G46" s="351"/>
      <c r="H46" s="351"/>
      <c r="I46" s="351">
        <v>26182080</v>
      </c>
      <c r="J46" s="351">
        <v>26182080</v>
      </c>
      <c r="K46" s="351">
        <v>25764200</v>
      </c>
      <c r="L46" s="351">
        <v>25656400</v>
      </c>
      <c r="M46" s="351">
        <v>25420146</v>
      </c>
      <c r="N46" s="351">
        <v>25312888</v>
      </c>
      <c r="O46" s="351">
        <v>25205630</v>
      </c>
      <c r="P46" s="351">
        <v>25098372</v>
      </c>
      <c r="Q46" s="351">
        <v>24991114</v>
      </c>
      <c r="R46" s="351">
        <v>24883856</v>
      </c>
      <c r="S46" s="351">
        <f t="shared" si="5"/>
        <v>21224730.5</v>
      </c>
    </row>
    <row r="47" spans="1:21">
      <c r="A47" s="342">
        <f t="shared" si="6"/>
        <v>30</v>
      </c>
      <c r="B47" s="342">
        <v>224077</v>
      </c>
      <c r="C47" s="339" t="s">
        <v>867</v>
      </c>
      <c r="D47" s="363">
        <v>43983</v>
      </c>
      <c r="E47" s="363">
        <v>51257</v>
      </c>
      <c r="F47" s="346">
        <v>7.9159999999999994E-2</v>
      </c>
      <c r="G47" s="351">
        <v>157741</v>
      </c>
      <c r="H47" s="351">
        <v>157064</v>
      </c>
      <c r="I47" s="351">
        <v>156387</v>
      </c>
      <c r="J47" s="351">
        <v>155710</v>
      </c>
      <c r="K47" s="351">
        <v>155033</v>
      </c>
      <c r="L47" s="351">
        <v>154356</v>
      </c>
      <c r="M47" s="351">
        <v>152998</v>
      </c>
      <c r="N47" s="351">
        <v>152324</v>
      </c>
      <c r="O47" s="351">
        <v>151650</v>
      </c>
      <c r="P47" s="351">
        <v>150976</v>
      </c>
      <c r="Q47" s="351">
        <v>150302</v>
      </c>
      <c r="R47" s="351">
        <v>149628</v>
      </c>
      <c r="S47" s="351">
        <f t="shared" si="5"/>
        <v>153680.75</v>
      </c>
      <c r="U47" s="369"/>
    </row>
    <row r="48" spans="1:21">
      <c r="A48" s="342">
        <f t="shared" si="6"/>
        <v>31</v>
      </c>
      <c r="B48" s="342">
        <v>224084</v>
      </c>
      <c r="C48" s="339" t="s">
        <v>868</v>
      </c>
      <c r="D48" s="363">
        <v>42036</v>
      </c>
      <c r="E48" s="363">
        <v>49949</v>
      </c>
      <c r="F48" s="346">
        <v>4.4490000000000002E-2</v>
      </c>
      <c r="G48" s="351">
        <v>2935151</v>
      </c>
      <c r="H48" s="351">
        <v>2918139</v>
      </c>
      <c r="I48" s="351">
        <v>2901127</v>
      </c>
      <c r="J48" s="351">
        <v>2884115</v>
      </c>
      <c r="K48" s="351">
        <v>2867103</v>
      </c>
      <c r="L48" s="351">
        <v>2850091</v>
      </c>
      <c r="M48" s="351">
        <v>2819419</v>
      </c>
      <c r="N48" s="351">
        <v>2802489</v>
      </c>
      <c r="O48" s="351">
        <v>2785559</v>
      </c>
      <c r="P48" s="351">
        <v>2768629</v>
      </c>
      <c r="Q48" s="351">
        <v>2751699</v>
      </c>
      <c r="R48" s="351">
        <v>2734769</v>
      </c>
      <c r="S48" s="351">
        <f t="shared" si="5"/>
        <v>2834857.5</v>
      </c>
      <c r="U48" s="369"/>
    </row>
    <row r="49" spans="1:21">
      <c r="A49" s="342">
        <f t="shared" si="6"/>
        <v>32</v>
      </c>
      <c r="B49" s="342">
        <v>224086</v>
      </c>
      <c r="C49" s="339" t="s">
        <v>869</v>
      </c>
      <c r="D49" s="363">
        <v>42660</v>
      </c>
      <c r="E49" s="363">
        <v>49919</v>
      </c>
      <c r="F49" s="346">
        <v>3.4200000000000001E-2</v>
      </c>
      <c r="G49" s="357">
        <v>2257983</v>
      </c>
      <c r="H49" s="357">
        <v>2246036</v>
      </c>
      <c r="I49" s="357">
        <v>2234089</v>
      </c>
      <c r="J49" s="357">
        <v>2222142</v>
      </c>
      <c r="K49" s="357">
        <v>2210195</v>
      </c>
      <c r="L49" s="357">
        <v>2198248</v>
      </c>
      <c r="M49" s="357">
        <v>2175687</v>
      </c>
      <c r="N49" s="357">
        <v>2163798</v>
      </c>
      <c r="O49" s="357">
        <v>2151909</v>
      </c>
      <c r="P49" s="357">
        <v>2140020</v>
      </c>
      <c r="Q49" s="357">
        <v>2128131</v>
      </c>
      <c r="R49" s="357">
        <v>2116242</v>
      </c>
      <c r="S49" s="357">
        <f t="shared" si="5"/>
        <v>2187040</v>
      </c>
      <c r="U49" s="369"/>
    </row>
    <row r="50" spans="1:21">
      <c r="A50" s="342">
        <f>A48+1</f>
        <v>32</v>
      </c>
      <c r="B50" s="342"/>
      <c r="C50" s="339" t="s">
        <v>870</v>
      </c>
      <c r="F50" s="354"/>
      <c r="G50" s="351">
        <f>SUM(G42:G49)</f>
        <v>1055350875</v>
      </c>
      <c r="H50" s="351">
        <f t="shared" ref="H50:S50" si="7">SUM(H42:H49)</f>
        <v>1055321239</v>
      </c>
      <c r="I50" s="351">
        <f t="shared" si="7"/>
        <v>1081473683</v>
      </c>
      <c r="J50" s="351">
        <f t="shared" si="7"/>
        <v>1081444047</v>
      </c>
      <c r="K50" s="351">
        <f t="shared" si="7"/>
        <v>1080996531</v>
      </c>
      <c r="L50" s="351">
        <f t="shared" si="7"/>
        <v>1080859095</v>
      </c>
      <c r="M50" s="351">
        <f t="shared" si="7"/>
        <v>1080568250</v>
      </c>
      <c r="N50" s="351">
        <f t="shared" si="7"/>
        <v>1080431499</v>
      </c>
      <c r="O50" s="351">
        <f t="shared" si="7"/>
        <v>1080294748</v>
      </c>
      <c r="P50" s="351">
        <f t="shared" si="7"/>
        <v>1080115888</v>
      </c>
      <c r="Q50" s="351">
        <f t="shared" si="7"/>
        <v>1088021956</v>
      </c>
      <c r="R50" s="351">
        <f t="shared" si="7"/>
        <v>1087843096</v>
      </c>
      <c r="S50" s="351">
        <f t="shared" si="7"/>
        <v>1077726742.25</v>
      </c>
    </row>
    <row r="51" spans="1:21">
      <c r="A51" s="342"/>
      <c r="B51" s="342"/>
      <c r="F51" s="354"/>
      <c r="S51" s="351"/>
    </row>
    <row r="52" spans="1:21">
      <c r="A52" s="342"/>
      <c r="B52" s="342"/>
      <c r="F52" s="354"/>
      <c r="S52" s="351"/>
    </row>
    <row r="53" spans="1:21">
      <c r="A53" s="342"/>
      <c r="C53" s="362" t="s">
        <v>871</v>
      </c>
      <c r="F53" s="354"/>
      <c r="S53" s="351"/>
    </row>
    <row r="54" spans="1:21">
      <c r="A54" s="342">
        <f>A50+1</f>
        <v>33</v>
      </c>
      <c r="B54" s="342"/>
      <c r="D54" s="370"/>
      <c r="E54" s="370"/>
      <c r="F54" s="346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</row>
    <row r="55" spans="1:21" ht="18">
      <c r="A55" s="342">
        <f>A54+1</f>
        <v>34</v>
      </c>
      <c r="B55" s="342"/>
      <c r="D55" s="370"/>
      <c r="E55" s="370"/>
      <c r="F55" s="346"/>
      <c r="G55" s="365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65"/>
      <c r="S55" s="365"/>
    </row>
    <row r="56" spans="1:21">
      <c r="A56" s="342">
        <f>A55+1</f>
        <v>35</v>
      </c>
      <c r="C56" s="362"/>
      <c r="F56" s="354"/>
      <c r="G56" s="351">
        <f t="shared" ref="G56:R56" si="8">G54+G55</f>
        <v>0</v>
      </c>
      <c r="H56" s="351">
        <f t="shared" si="8"/>
        <v>0</v>
      </c>
      <c r="I56" s="351">
        <f t="shared" si="8"/>
        <v>0</v>
      </c>
      <c r="J56" s="351">
        <f t="shared" si="8"/>
        <v>0</v>
      </c>
      <c r="K56" s="351">
        <f t="shared" si="8"/>
        <v>0</v>
      </c>
      <c r="L56" s="351">
        <f t="shared" si="8"/>
        <v>0</v>
      </c>
      <c r="M56" s="351">
        <f t="shared" si="8"/>
        <v>0</v>
      </c>
      <c r="N56" s="351">
        <f t="shared" si="8"/>
        <v>0</v>
      </c>
      <c r="O56" s="351">
        <f t="shared" si="8"/>
        <v>0</v>
      </c>
      <c r="P56" s="351">
        <f t="shared" si="8"/>
        <v>0</v>
      </c>
      <c r="Q56" s="351">
        <f t="shared" si="8"/>
        <v>0</v>
      </c>
      <c r="R56" s="351">
        <f t="shared" si="8"/>
        <v>0</v>
      </c>
      <c r="S56" s="351">
        <f>S54+S55</f>
        <v>0</v>
      </c>
    </row>
    <row r="57" spans="1:21">
      <c r="A57" s="342"/>
      <c r="C57" s="362"/>
      <c r="F57" s="354"/>
      <c r="G57" s="351"/>
      <c r="H57" s="351"/>
      <c r="I57" s="351"/>
      <c r="J57" s="351"/>
      <c r="K57" s="351"/>
      <c r="L57" s="351"/>
      <c r="M57" s="351"/>
      <c r="N57" s="351"/>
      <c r="O57" s="351"/>
      <c r="P57" s="351"/>
      <c r="Q57" s="351"/>
      <c r="R57" s="351"/>
      <c r="S57" s="351"/>
    </row>
    <row r="58" spans="1:21">
      <c r="A58" s="342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</row>
    <row r="59" spans="1:21">
      <c r="A59" s="342">
        <f>A56+1</f>
        <v>36</v>
      </c>
      <c r="C59" s="339" t="s">
        <v>872</v>
      </c>
      <c r="G59" s="351">
        <f t="shared" ref="G59:O59" si="9">G26+G38+G50+G56</f>
        <v>7275675875</v>
      </c>
      <c r="H59" s="351">
        <f t="shared" si="9"/>
        <v>7275646239</v>
      </c>
      <c r="I59" s="351">
        <f t="shared" si="9"/>
        <v>7301798683</v>
      </c>
      <c r="J59" s="351">
        <f t="shared" si="9"/>
        <v>7301769047</v>
      </c>
      <c r="K59" s="351">
        <f t="shared" si="9"/>
        <v>7301321531</v>
      </c>
      <c r="L59" s="351">
        <f t="shared" si="9"/>
        <v>7301184095</v>
      </c>
      <c r="M59" s="351">
        <f t="shared" si="9"/>
        <v>7800893250</v>
      </c>
      <c r="N59" s="351">
        <f t="shared" si="9"/>
        <v>7800756499</v>
      </c>
      <c r="O59" s="351">
        <f t="shared" si="9"/>
        <v>7800619748</v>
      </c>
      <c r="P59" s="351">
        <f>P26+P38+P50+P56</f>
        <v>7800440888</v>
      </c>
      <c r="Q59" s="351">
        <f>Q26+Q38+Q50+Q56</f>
        <v>7808346956</v>
      </c>
      <c r="R59" s="351">
        <f>R26+R38+R50+R56</f>
        <v>7808168096</v>
      </c>
      <c r="S59" s="351">
        <f>S26+S38+S50+S56</f>
        <v>7548051742.25</v>
      </c>
    </row>
    <row r="61" spans="1:21">
      <c r="B61" s="355" t="s">
        <v>873</v>
      </c>
      <c r="S61" s="353"/>
    </row>
    <row r="62" spans="1:21">
      <c r="S62" s="351"/>
    </row>
    <row r="63" spans="1:21">
      <c r="S63" s="351" t="s">
        <v>271</v>
      </c>
    </row>
    <row r="65" spans="19:19">
      <c r="S65" s="339" t="s">
        <v>271</v>
      </c>
    </row>
  </sheetData>
  <pageMargins left="0.25" right="0.25" top="0.75" bottom="0.5" header="0.25" footer="0.25"/>
  <pageSetup scale="46" orientation="landscape" r:id="rId1"/>
  <headerFooter alignWithMargins="0">
    <oddFooter>&amp;CExhibit BGM 1.1, Schedule 26
Page 2 of 18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W67"/>
  <sheetViews>
    <sheetView zoomScale="75" zoomScaleNormal="75" workbookViewId="0">
      <selection activeCell="G10" sqref="G10"/>
    </sheetView>
  </sheetViews>
  <sheetFormatPr defaultRowHeight="15.75"/>
  <cols>
    <col min="1" max="1" width="5.140625" style="339" customWidth="1"/>
    <col min="2" max="2" width="9.42578125" style="339" customWidth="1"/>
    <col min="3" max="3" width="32.42578125" style="339" customWidth="1"/>
    <col min="4" max="4" width="0.5703125" style="339" hidden="1" customWidth="1"/>
    <col min="5" max="5" width="17" style="339" hidden="1" customWidth="1"/>
    <col min="6" max="6" width="12" style="339" hidden="1" customWidth="1"/>
    <col min="7" max="7" width="15.7109375" style="339" bestFit="1" customWidth="1"/>
    <col min="8" max="8" width="15.140625" style="339" bestFit="1" customWidth="1"/>
    <col min="9" max="9" width="14.42578125" style="339" customWidth="1"/>
    <col min="10" max="10" width="15.140625" style="339" bestFit="1" customWidth="1"/>
    <col min="11" max="19" width="13.140625" style="339" customWidth="1"/>
    <col min="20" max="20" width="9.140625" style="339"/>
    <col min="21" max="21" width="10.28515625" style="339" customWidth="1"/>
    <col min="22" max="16384" width="9.140625" style="339"/>
  </cols>
  <sheetData>
    <row r="1" spans="1:23">
      <c r="A1" s="339" t="s">
        <v>0</v>
      </c>
    </row>
    <row r="2" spans="1:23">
      <c r="A2" s="339" t="str">
        <f>WACC!A2</f>
        <v>Docket No. NG22-___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</row>
    <row r="3" spans="1:23">
      <c r="A3" s="339" t="s">
        <v>874</v>
      </c>
    </row>
    <row r="4" spans="1:23">
      <c r="A4" s="349" t="str">
        <f>WACC!A4</f>
        <v>Twelve Months Ending December 31, 2021</v>
      </c>
    </row>
    <row r="5" spans="1:23">
      <c r="N5" s="421"/>
      <c r="O5" s="421"/>
      <c r="P5" s="421"/>
      <c r="Q5" s="421"/>
      <c r="R5" s="421"/>
      <c r="S5" s="421"/>
      <c r="T5" s="421"/>
      <c r="U5" s="421"/>
    </row>
    <row r="6" spans="1:23">
      <c r="T6" s="342"/>
      <c r="U6" s="342"/>
      <c r="V6" s="342"/>
      <c r="W6" s="342"/>
    </row>
    <row r="7" spans="1:23">
      <c r="A7" s="339" t="s">
        <v>4</v>
      </c>
      <c r="D7" s="342" t="s">
        <v>815</v>
      </c>
      <c r="E7" s="342" t="s">
        <v>816</v>
      </c>
      <c r="F7" s="342" t="s">
        <v>128</v>
      </c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38" t="s">
        <v>817</v>
      </c>
    </row>
    <row r="8" spans="1:23">
      <c r="A8" s="343" t="s">
        <v>5</v>
      </c>
      <c r="B8" s="343"/>
      <c r="C8" s="344" t="s">
        <v>818</v>
      </c>
      <c r="D8" s="342" t="s">
        <v>819</v>
      </c>
      <c r="E8" s="342" t="s">
        <v>819</v>
      </c>
      <c r="F8" s="342" t="s">
        <v>272</v>
      </c>
      <c r="G8" s="361">
        <v>44197</v>
      </c>
      <c r="H8" s="361">
        <v>44228</v>
      </c>
      <c r="I8" s="361">
        <v>44256</v>
      </c>
      <c r="J8" s="361">
        <v>44287</v>
      </c>
      <c r="K8" s="361">
        <v>44317</v>
      </c>
      <c r="L8" s="361">
        <v>44348</v>
      </c>
      <c r="M8" s="361">
        <v>44378</v>
      </c>
      <c r="N8" s="361">
        <v>44409</v>
      </c>
      <c r="O8" s="361">
        <v>44440</v>
      </c>
      <c r="P8" s="361">
        <v>44470</v>
      </c>
      <c r="Q8" s="361">
        <v>44501</v>
      </c>
      <c r="R8" s="361">
        <v>44531</v>
      </c>
      <c r="S8" s="344" t="s">
        <v>676</v>
      </c>
    </row>
    <row r="9" spans="1:23">
      <c r="C9" s="342" t="s">
        <v>53</v>
      </c>
      <c r="D9" s="342" t="s">
        <v>54</v>
      </c>
      <c r="E9" s="342" t="s">
        <v>97</v>
      </c>
      <c r="F9" s="342" t="s">
        <v>98</v>
      </c>
      <c r="G9" s="342" t="s">
        <v>54</v>
      </c>
      <c r="H9" s="342" t="s">
        <v>97</v>
      </c>
      <c r="I9" s="342" t="s">
        <v>98</v>
      </c>
      <c r="J9" s="342" t="s">
        <v>99</v>
      </c>
      <c r="K9" s="342" t="s">
        <v>100</v>
      </c>
      <c r="L9" s="342" t="s">
        <v>152</v>
      </c>
      <c r="M9" s="342" t="s">
        <v>153</v>
      </c>
      <c r="N9" s="342" t="s">
        <v>154</v>
      </c>
      <c r="O9" s="342" t="s">
        <v>155</v>
      </c>
      <c r="P9" s="342" t="s">
        <v>156</v>
      </c>
      <c r="Q9" s="342" t="s">
        <v>157</v>
      </c>
      <c r="R9" s="342" t="s">
        <v>158</v>
      </c>
      <c r="S9" s="342" t="s">
        <v>159</v>
      </c>
    </row>
    <row r="10" spans="1:23">
      <c r="C10" s="362"/>
      <c r="D10" s="342"/>
      <c r="E10" s="342"/>
      <c r="F10" s="342"/>
      <c r="S10" s="342"/>
    </row>
    <row r="11" spans="1:23">
      <c r="A11" s="342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</row>
    <row r="12" spans="1:23">
      <c r="A12" s="342"/>
      <c r="C12" s="362" t="s">
        <v>820</v>
      </c>
      <c r="D12" s="342"/>
      <c r="E12" s="342"/>
      <c r="F12" s="342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</row>
    <row r="13" spans="1:23">
      <c r="A13" s="342">
        <v>1</v>
      </c>
      <c r="B13" s="342">
        <v>225002</v>
      </c>
      <c r="C13" s="355" t="s">
        <v>823</v>
      </c>
      <c r="D13" s="363">
        <v>41732</v>
      </c>
      <c r="E13" s="363">
        <v>45580</v>
      </c>
      <c r="G13" s="351">
        <v>2764231.77</v>
      </c>
      <c r="H13" s="351">
        <v>2702046.59</v>
      </c>
      <c r="I13" s="351">
        <v>2639861.4</v>
      </c>
      <c r="J13" s="351">
        <v>2577676.2200000002</v>
      </c>
      <c r="K13" s="351">
        <v>2515491.0299999998</v>
      </c>
      <c r="L13" s="351">
        <v>2453305.85</v>
      </c>
      <c r="M13" s="351">
        <v>2391120.66</v>
      </c>
      <c r="N13" s="351">
        <v>2328935.48</v>
      </c>
      <c r="O13" s="351">
        <v>2266750.29</v>
      </c>
      <c r="P13" s="351">
        <v>2204565.11</v>
      </c>
      <c r="Q13" s="351">
        <v>2142379.92</v>
      </c>
      <c r="R13" s="351">
        <v>2080194.74</v>
      </c>
      <c r="S13" s="351">
        <f t="shared" ref="S13:S14" si="0">(SUM(G13:R13)/12)</f>
        <v>2422213.2549999999</v>
      </c>
    </row>
    <row r="14" spans="1:23">
      <c r="A14" s="342">
        <v>2</v>
      </c>
      <c r="B14" s="342">
        <v>225003</v>
      </c>
      <c r="C14" s="355" t="s">
        <v>830</v>
      </c>
      <c r="D14" s="363">
        <v>41732</v>
      </c>
      <c r="E14" s="363">
        <v>52885</v>
      </c>
      <c r="G14" s="357">
        <v>22246743.469999999</v>
      </c>
      <c r="H14" s="357">
        <v>22020888.210000001</v>
      </c>
      <c r="I14" s="357">
        <v>21795032.949999999</v>
      </c>
      <c r="J14" s="357">
        <v>21569177.690000001</v>
      </c>
      <c r="K14" s="357">
        <v>21343322.43</v>
      </c>
      <c r="L14" s="357">
        <v>21117467.170000002</v>
      </c>
      <c r="M14" s="357">
        <v>20891611.91</v>
      </c>
      <c r="N14" s="357">
        <v>20665756.649999999</v>
      </c>
      <c r="O14" s="357">
        <v>20439901.390000001</v>
      </c>
      <c r="P14" s="357">
        <v>20214046.129999999</v>
      </c>
      <c r="Q14" s="357">
        <v>19988190.870000001</v>
      </c>
      <c r="R14" s="357">
        <v>19762335.609999999</v>
      </c>
      <c r="S14" s="357">
        <f t="shared" si="0"/>
        <v>21004539.540000003</v>
      </c>
    </row>
    <row r="15" spans="1:23">
      <c r="A15" s="342">
        <v>3</v>
      </c>
      <c r="B15" s="342"/>
      <c r="C15" s="355" t="s">
        <v>835</v>
      </c>
      <c r="G15" s="351">
        <f t="shared" ref="G15:S15" si="1">SUM(G13:G14)</f>
        <v>25010975.239999998</v>
      </c>
      <c r="H15" s="351">
        <f t="shared" si="1"/>
        <v>24722934.800000001</v>
      </c>
      <c r="I15" s="351">
        <f t="shared" si="1"/>
        <v>24434894.349999998</v>
      </c>
      <c r="J15" s="351">
        <f t="shared" si="1"/>
        <v>24146853.91</v>
      </c>
      <c r="K15" s="351">
        <f t="shared" si="1"/>
        <v>23858813.460000001</v>
      </c>
      <c r="L15" s="351">
        <f t="shared" si="1"/>
        <v>23570773.020000003</v>
      </c>
      <c r="M15" s="351">
        <f t="shared" si="1"/>
        <v>23282732.57</v>
      </c>
      <c r="N15" s="351">
        <f t="shared" si="1"/>
        <v>22994692.129999999</v>
      </c>
      <c r="O15" s="351">
        <f t="shared" si="1"/>
        <v>22706651.68</v>
      </c>
      <c r="P15" s="351">
        <f t="shared" si="1"/>
        <v>22418611.239999998</v>
      </c>
      <c r="Q15" s="351">
        <f t="shared" si="1"/>
        <v>22130570.789999999</v>
      </c>
      <c r="R15" s="351">
        <f t="shared" si="1"/>
        <v>21842530.349999998</v>
      </c>
      <c r="S15" s="351">
        <f t="shared" si="1"/>
        <v>23426752.795000002</v>
      </c>
    </row>
    <row r="16" spans="1:23">
      <c r="A16" s="342"/>
      <c r="B16" s="342"/>
      <c r="C16" s="355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</row>
    <row r="17" spans="1:19">
      <c r="A17" s="342"/>
      <c r="B17" s="342"/>
      <c r="C17" s="355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</row>
    <row r="18" spans="1:19">
      <c r="A18" s="342"/>
    </row>
    <row r="19" spans="1:19">
      <c r="A19" s="342">
        <f>A15+1</f>
        <v>4</v>
      </c>
      <c r="C19" s="339" t="s">
        <v>875</v>
      </c>
      <c r="G19" s="351">
        <f>G15</f>
        <v>25010975.239999998</v>
      </c>
      <c r="H19" s="351">
        <f t="shared" ref="H19:S19" si="2">H15</f>
        <v>24722934.800000001</v>
      </c>
      <c r="I19" s="351">
        <f t="shared" si="2"/>
        <v>24434894.349999998</v>
      </c>
      <c r="J19" s="351">
        <f t="shared" si="2"/>
        <v>24146853.91</v>
      </c>
      <c r="K19" s="351">
        <f t="shared" si="2"/>
        <v>23858813.460000001</v>
      </c>
      <c r="L19" s="351">
        <f t="shared" si="2"/>
        <v>23570773.020000003</v>
      </c>
      <c r="M19" s="351">
        <f t="shared" si="2"/>
        <v>23282732.57</v>
      </c>
      <c r="N19" s="351">
        <f t="shared" si="2"/>
        <v>22994692.129999999</v>
      </c>
      <c r="O19" s="351">
        <f t="shared" si="2"/>
        <v>22706651.68</v>
      </c>
      <c r="P19" s="351">
        <f t="shared" si="2"/>
        <v>22418611.239999998</v>
      </c>
      <c r="Q19" s="351">
        <f t="shared" si="2"/>
        <v>22130570.789999999</v>
      </c>
      <c r="R19" s="351">
        <f t="shared" si="2"/>
        <v>21842530.349999998</v>
      </c>
      <c r="S19" s="351">
        <f t="shared" si="2"/>
        <v>23426752.795000002</v>
      </c>
    </row>
    <row r="20" spans="1:19">
      <c r="A20" s="342"/>
    </row>
    <row r="21" spans="1:19">
      <c r="A21" s="342"/>
      <c r="B21" s="355" t="s">
        <v>873</v>
      </c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</row>
    <row r="66" spans="1:19">
      <c r="A66" s="421" t="s">
        <v>876</v>
      </c>
      <c r="B66" s="421"/>
      <c r="C66" s="421"/>
      <c r="D66" s="421"/>
      <c r="E66" s="421"/>
      <c r="F66" s="421"/>
      <c r="G66" s="421"/>
      <c r="H66" s="421"/>
      <c r="I66" s="421"/>
      <c r="J66" s="421"/>
      <c r="K66" s="421"/>
      <c r="L66" s="421"/>
      <c r="M66" s="421"/>
      <c r="N66" s="421"/>
      <c r="O66" s="421"/>
      <c r="P66" s="421"/>
      <c r="Q66" s="421"/>
      <c r="R66" s="421"/>
      <c r="S66" s="421"/>
    </row>
    <row r="67" spans="1:19">
      <c r="A67" s="421" t="s">
        <v>877</v>
      </c>
      <c r="B67" s="421"/>
      <c r="C67" s="421"/>
      <c r="D67" s="421"/>
      <c r="E67" s="421"/>
      <c r="F67" s="421"/>
      <c r="G67" s="421"/>
      <c r="H67" s="421"/>
      <c r="I67" s="421"/>
      <c r="J67" s="421"/>
      <c r="K67" s="421"/>
      <c r="L67" s="421"/>
      <c r="M67" s="421"/>
      <c r="N67" s="421"/>
      <c r="O67" s="421"/>
      <c r="P67" s="421"/>
      <c r="Q67" s="421"/>
      <c r="R67" s="421"/>
      <c r="S67" s="421"/>
    </row>
  </sheetData>
  <mergeCells count="3">
    <mergeCell ref="N5:U5"/>
    <mergeCell ref="A66:S66"/>
    <mergeCell ref="A67:S67"/>
  </mergeCells>
  <pageMargins left="0.25" right="0.25" top="0.75" bottom="0.25" header="0.25" footer="0.25"/>
  <pageSetup scale="5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P68"/>
  <sheetViews>
    <sheetView zoomScale="75" zoomScaleNormal="75" workbookViewId="0">
      <selection activeCell="A7" sqref="A7:XFD7"/>
    </sheetView>
  </sheetViews>
  <sheetFormatPr defaultRowHeight="15.75"/>
  <cols>
    <col min="1" max="1" width="5.140625" style="339" customWidth="1"/>
    <col min="2" max="2" width="9.140625" style="339"/>
    <col min="3" max="3" width="18" style="339" customWidth="1"/>
    <col min="4" max="4" width="12.28515625" style="339" customWidth="1"/>
    <col min="5" max="5" width="15.7109375" style="339" bestFit="1" customWidth="1"/>
    <col min="6" max="6" width="15.140625" style="339" bestFit="1" customWidth="1"/>
    <col min="7" max="7" width="15.42578125" style="339" bestFit="1" customWidth="1"/>
    <col min="8" max="8" width="15.140625" style="339" bestFit="1" customWidth="1"/>
    <col min="9" max="10" width="13.140625" style="339" customWidth="1"/>
    <col min="11" max="11" width="13" style="339" customWidth="1"/>
    <col min="12" max="12" width="15.42578125" style="339" bestFit="1" customWidth="1"/>
    <col min="13" max="13" width="12.7109375" style="339" bestFit="1" customWidth="1"/>
    <col min="14" max="14" width="14.42578125" style="339" bestFit="1" customWidth="1"/>
    <col min="15" max="15" width="14.5703125" style="339" bestFit="1" customWidth="1"/>
    <col min="16" max="16" width="13.140625" style="339" customWidth="1"/>
    <col min="17" max="16384" width="9.140625" style="339"/>
  </cols>
  <sheetData>
    <row r="1" spans="1:16">
      <c r="A1" s="339" t="s">
        <v>0</v>
      </c>
    </row>
    <row r="2" spans="1:16">
      <c r="A2" s="339" t="str">
        <f>WACC!A2</f>
        <v>Docket No. NG22-___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</row>
    <row r="3" spans="1:16">
      <c r="A3" s="339" t="s">
        <v>878</v>
      </c>
    </row>
    <row r="4" spans="1:16">
      <c r="A4" s="349" t="str">
        <f>WACC!A4</f>
        <v>Twelve Months Ending December 31, 2021</v>
      </c>
    </row>
    <row r="5" spans="1:16">
      <c r="D5" s="372"/>
      <c r="P5" s="342"/>
    </row>
    <row r="6" spans="1:16">
      <c r="D6" s="372"/>
      <c r="P6" s="342"/>
    </row>
    <row r="7" spans="1:16">
      <c r="A7" s="339" t="s">
        <v>4</v>
      </c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38" t="s">
        <v>817</v>
      </c>
    </row>
    <row r="8" spans="1:16">
      <c r="A8" s="343" t="s">
        <v>5</v>
      </c>
      <c r="B8" s="343"/>
      <c r="C8" s="344" t="s">
        <v>879</v>
      </c>
      <c r="D8" s="361">
        <v>44197</v>
      </c>
      <c r="E8" s="361">
        <v>44228</v>
      </c>
      <c r="F8" s="361">
        <v>44256</v>
      </c>
      <c r="G8" s="361">
        <v>44287</v>
      </c>
      <c r="H8" s="361">
        <v>44317</v>
      </c>
      <c r="I8" s="361">
        <v>44348</v>
      </c>
      <c r="J8" s="361">
        <v>44378</v>
      </c>
      <c r="K8" s="361">
        <v>44409</v>
      </c>
      <c r="L8" s="361">
        <v>44440</v>
      </c>
      <c r="M8" s="361">
        <v>44470</v>
      </c>
      <c r="N8" s="361">
        <v>44501</v>
      </c>
      <c r="O8" s="361">
        <v>44531</v>
      </c>
      <c r="P8" s="373" t="s">
        <v>880</v>
      </c>
    </row>
    <row r="9" spans="1:16">
      <c r="B9" s="342" t="s">
        <v>53</v>
      </c>
      <c r="C9" s="342" t="s">
        <v>881</v>
      </c>
      <c r="D9" s="342" t="s">
        <v>97</v>
      </c>
      <c r="E9" s="342" t="s">
        <v>98</v>
      </c>
      <c r="F9" s="342" t="s">
        <v>99</v>
      </c>
      <c r="G9" s="342" t="s">
        <v>100</v>
      </c>
      <c r="H9" s="342" t="s">
        <v>152</v>
      </c>
      <c r="I9" s="342" t="s">
        <v>153</v>
      </c>
      <c r="J9" s="342" t="s">
        <v>154</v>
      </c>
      <c r="K9" s="342" t="s">
        <v>155</v>
      </c>
      <c r="L9" s="342" t="s">
        <v>156</v>
      </c>
      <c r="M9" s="342" t="s">
        <v>157</v>
      </c>
      <c r="N9" s="342" t="s">
        <v>158</v>
      </c>
      <c r="O9" s="342" t="s">
        <v>159</v>
      </c>
      <c r="P9" s="342" t="s">
        <v>160</v>
      </c>
    </row>
    <row r="10" spans="1:16"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</row>
    <row r="11" spans="1:16">
      <c r="A11" s="342">
        <v>1</v>
      </c>
      <c r="B11" s="342"/>
      <c r="C11" s="342" t="s">
        <v>882</v>
      </c>
      <c r="D11" s="374">
        <v>-3980.3488391368037</v>
      </c>
      <c r="E11" s="374">
        <v>-3821.1348855713313</v>
      </c>
      <c r="F11" s="374">
        <v>-3661.920932005859</v>
      </c>
      <c r="G11" s="374">
        <v>-3502.7069784403866</v>
      </c>
      <c r="H11" s="374">
        <v>-3343.4930248749142</v>
      </c>
      <c r="I11" s="374">
        <v>-3184.2790713094419</v>
      </c>
      <c r="J11" s="374">
        <v>-3025.0651177439695</v>
      </c>
      <c r="K11" s="374">
        <v>-2865.8511641784971</v>
      </c>
      <c r="L11" s="374">
        <v>-2706.6372106130248</v>
      </c>
      <c r="M11" s="374">
        <v>-2547.4232570475524</v>
      </c>
      <c r="N11" s="374">
        <v>-2388.20930348208</v>
      </c>
      <c r="O11" s="374">
        <v>-2228.9953499166077</v>
      </c>
      <c r="P11" s="374">
        <f>(SUM(D11:O11)/12)</f>
        <v>-3104.6720945267057</v>
      </c>
    </row>
    <row r="12" spans="1:16">
      <c r="A12" s="342">
        <v>2</v>
      </c>
      <c r="B12" s="342"/>
      <c r="C12" s="342" t="s">
        <v>883</v>
      </c>
      <c r="D12" s="374">
        <v>-259137.34317641193</v>
      </c>
      <c r="E12" s="374">
        <v>-254509.8906196903</v>
      </c>
      <c r="F12" s="374">
        <v>-249882.43806296866</v>
      </c>
      <c r="G12" s="374">
        <v>-245254.98550624703</v>
      </c>
      <c r="H12" s="374">
        <v>-240627.5329495254</v>
      </c>
      <c r="I12" s="374">
        <v>-236000.08039280376</v>
      </c>
      <c r="J12" s="374">
        <v>-231372.62783608213</v>
      </c>
      <c r="K12" s="374">
        <v>-226745.1752793605</v>
      </c>
      <c r="L12" s="374">
        <v>-222117.72272263886</v>
      </c>
      <c r="M12" s="374">
        <v>-217490.27016591723</v>
      </c>
      <c r="N12" s="374">
        <v>-212862.8176091956</v>
      </c>
      <c r="O12" s="374">
        <v>-208235.36505247396</v>
      </c>
      <c r="P12" s="374">
        <f t="shared" ref="P12:P14" si="0">(SUM(D12:O12)/12)</f>
        <v>-233686.35411444292</v>
      </c>
    </row>
    <row r="13" spans="1:16">
      <c r="A13" s="342">
        <v>3</v>
      </c>
      <c r="B13" s="342"/>
      <c r="C13" s="366" t="s">
        <v>883</v>
      </c>
      <c r="D13" s="374">
        <v>-25157.016304985304</v>
      </c>
      <c r="E13" s="374">
        <v>-24707.783870967709</v>
      </c>
      <c r="F13" s="374">
        <v>-24258.551436950114</v>
      </c>
      <c r="G13" s="374">
        <v>-23809.31900293252</v>
      </c>
      <c r="H13" s="374">
        <v>-23360.086568914925</v>
      </c>
      <c r="I13" s="374">
        <v>-22910.85413489733</v>
      </c>
      <c r="J13" s="374">
        <v>-22461.621700879736</v>
      </c>
      <c r="K13" s="374">
        <v>-22012.389266862141</v>
      </c>
      <c r="L13" s="374">
        <v>-21563.156832844546</v>
      </c>
      <c r="M13" s="374">
        <v>-21113.924398826952</v>
      </c>
      <c r="N13" s="374">
        <v>-20664.691964809357</v>
      </c>
      <c r="O13" s="374">
        <v>-20215.459530791763</v>
      </c>
      <c r="P13" s="374">
        <f t="shared" si="0"/>
        <v>-22686.237917888531</v>
      </c>
    </row>
    <row r="14" spans="1:16">
      <c r="A14" s="342">
        <v>4</v>
      </c>
      <c r="B14" s="342"/>
      <c r="C14" s="366" t="s">
        <v>883</v>
      </c>
      <c r="D14" s="376">
        <v>-1112.5680235988239</v>
      </c>
      <c r="E14" s="376">
        <v>-1092.7007374631307</v>
      </c>
      <c r="F14" s="376">
        <v>-1072.8334513274376</v>
      </c>
      <c r="G14" s="376">
        <v>-1052.9661651917445</v>
      </c>
      <c r="H14" s="376">
        <v>-1033.0988790560514</v>
      </c>
      <c r="I14" s="376">
        <v>-1013.2315929203581</v>
      </c>
      <c r="J14" s="376">
        <v>-993.3643067846649</v>
      </c>
      <c r="K14" s="376">
        <v>-973.49702064897167</v>
      </c>
      <c r="L14" s="376">
        <v>-953.62973451327844</v>
      </c>
      <c r="M14" s="376">
        <v>-933.7624483775852</v>
      </c>
      <c r="N14" s="376">
        <v>-913.89516224189197</v>
      </c>
      <c r="O14" s="376">
        <v>-894.02787610619873</v>
      </c>
      <c r="P14" s="376">
        <f t="shared" si="0"/>
        <v>-1003.2979498525115</v>
      </c>
    </row>
    <row r="15" spans="1:16">
      <c r="A15" s="342">
        <v>5</v>
      </c>
      <c r="C15" s="339" t="s">
        <v>884</v>
      </c>
      <c r="D15" s="374">
        <f t="shared" ref="D15:P15" si="1">SUM(D11:D14)</f>
        <v>-289387.2763441329</v>
      </c>
      <c r="E15" s="374">
        <f t="shared" si="1"/>
        <v>-284131.51011369249</v>
      </c>
      <c r="F15" s="374">
        <f t="shared" si="1"/>
        <v>-278875.74388325209</v>
      </c>
      <c r="G15" s="374">
        <f t="shared" si="1"/>
        <v>-273619.97765281168</v>
      </c>
      <c r="H15" s="374">
        <f t="shared" si="1"/>
        <v>-268364.21142237127</v>
      </c>
      <c r="I15" s="374">
        <f t="shared" si="1"/>
        <v>-263108.44519193086</v>
      </c>
      <c r="J15" s="374">
        <f t="shared" si="1"/>
        <v>-257852.67896149051</v>
      </c>
      <c r="K15" s="374">
        <f t="shared" si="1"/>
        <v>-252596.91273105011</v>
      </c>
      <c r="L15" s="374">
        <f t="shared" si="1"/>
        <v>-247341.14650060973</v>
      </c>
      <c r="M15" s="374">
        <f t="shared" si="1"/>
        <v>-242085.38027016932</v>
      </c>
      <c r="N15" s="374">
        <f t="shared" si="1"/>
        <v>-236829.61403972891</v>
      </c>
      <c r="O15" s="374">
        <f t="shared" si="1"/>
        <v>-231573.84780928853</v>
      </c>
      <c r="P15" s="374">
        <f t="shared" si="1"/>
        <v>-260480.56207671066</v>
      </c>
    </row>
    <row r="16" spans="1:16">
      <c r="A16" s="342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</row>
    <row r="17" spans="1:16">
      <c r="A17" s="342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</row>
    <row r="18" spans="1:16">
      <c r="A18" s="342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</row>
    <row r="19" spans="1:16">
      <c r="A19" s="342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</row>
    <row r="20" spans="1:16">
      <c r="A20" s="342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</row>
    <row r="21" spans="1:16">
      <c r="A21" s="342"/>
      <c r="B21" s="355" t="s">
        <v>885</v>
      </c>
      <c r="C21" s="362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</row>
    <row r="22" spans="1:16">
      <c r="A22" s="342"/>
      <c r="B22" s="355" t="s">
        <v>886</v>
      </c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</row>
    <row r="23" spans="1:16">
      <c r="A23" s="342"/>
      <c r="B23" s="355" t="s">
        <v>887</v>
      </c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</row>
    <row r="24" spans="1:16">
      <c r="A24" s="342"/>
      <c r="B24" s="355" t="s">
        <v>888</v>
      </c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</row>
    <row r="25" spans="1:16">
      <c r="A25" s="342"/>
      <c r="B25" s="342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</row>
    <row r="26" spans="1:16">
      <c r="A26" s="342"/>
      <c r="B26" s="342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</row>
    <row r="27" spans="1:16">
      <c r="A27" s="342"/>
      <c r="B27" s="342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</row>
    <row r="28" spans="1:16">
      <c r="A28" s="342"/>
      <c r="B28" s="34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</row>
    <row r="29" spans="1:16">
      <c r="A29" s="342"/>
      <c r="B29" s="342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</row>
    <row r="30" spans="1:16">
      <c r="A30" s="342"/>
      <c r="B30" s="342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</row>
    <row r="31" spans="1:16">
      <c r="A31" s="342"/>
      <c r="B31" s="342"/>
      <c r="D31" s="375"/>
      <c r="E31" s="375"/>
      <c r="F31" s="375"/>
      <c r="G31" s="351"/>
      <c r="H31" s="351"/>
      <c r="I31" s="351"/>
      <c r="J31" s="351"/>
      <c r="K31" s="351"/>
      <c r="L31" s="351"/>
      <c r="M31" s="351"/>
      <c r="N31" s="351"/>
      <c r="O31" s="351"/>
      <c r="P31" s="351"/>
    </row>
    <row r="32" spans="1:16">
      <c r="A32" s="342"/>
      <c r="B32" s="342"/>
      <c r="C32" s="362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</row>
    <row r="33" spans="1:16">
      <c r="A33" s="342"/>
      <c r="B33" s="342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</row>
    <row r="34" spans="1:16">
      <c r="A34" s="342"/>
      <c r="B34" s="342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</row>
    <row r="35" spans="1:16">
      <c r="A35" s="342"/>
      <c r="B35" s="342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</row>
    <row r="36" spans="1:16">
      <c r="A36" s="342"/>
      <c r="B36" s="342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</row>
    <row r="37" spans="1:16">
      <c r="A37" s="342"/>
      <c r="B37" s="342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</row>
    <row r="38" spans="1:16">
      <c r="A38" s="342"/>
      <c r="B38" s="342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</row>
    <row r="39" spans="1:16">
      <c r="A39" s="342"/>
      <c r="B39" s="342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</row>
    <row r="40" spans="1:16">
      <c r="A40" s="342"/>
      <c r="B40" s="342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</row>
    <row r="41" spans="1:16">
      <c r="A41" s="342"/>
      <c r="B41" s="342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</row>
    <row r="42" spans="1:16">
      <c r="A42" s="342"/>
      <c r="B42" s="342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</row>
    <row r="43" spans="1:16">
      <c r="A43" s="342"/>
      <c r="B43" s="342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</row>
    <row r="44" spans="1:16">
      <c r="A44" s="342"/>
      <c r="B44" s="342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</row>
    <row r="45" spans="1:16">
      <c r="A45" s="342"/>
      <c r="B45" s="342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</row>
    <row r="46" spans="1:16">
      <c r="A46" s="342"/>
      <c r="B46" s="342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</row>
    <row r="47" spans="1:16">
      <c r="A47" s="34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</row>
    <row r="48" spans="1:16">
      <c r="A48" s="342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</row>
    <row r="49" spans="1:16"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</row>
    <row r="50" spans="1:16"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</row>
    <row r="51" spans="1:16">
      <c r="B51" s="342"/>
      <c r="C51" s="362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</row>
    <row r="52" spans="1:16">
      <c r="A52" s="342"/>
      <c r="B52" s="342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</row>
    <row r="53" spans="1:16">
      <c r="A53" s="342"/>
      <c r="B53" s="342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</row>
    <row r="54" spans="1:16">
      <c r="A54" s="342"/>
      <c r="B54" s="342"/>
      <c r="C54" s="348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</row>
    <row r="55" spans="1:16">
      <c r="A55" s="342"/>
      <c r="B55" s="342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</row>
    <row r="56" spans="1:16">
      <c r="A56" s="342"/>
      <c r="B56" s="342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</row>
    <row r="57" spans="1:16">
      <c r="A57" s="342"/>
      <c r="B57" s="342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  <c r="P57" s="351"/>
    </row>
    <row r="58" spans="1:16">
      <c r="A58" s="342"/>
      <c r="B58" s="342"/>
      <c r="C58" s="362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</row>
    <row r="59" spans="1:16">
      <c r="A59" s="342"/>
      <c r="B59" s="342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</row>
    <row r="60" spans="1:16">
      <c r="A60" s="342"/>
      <c r="B60" s="342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</row>
    <row r="61" spans="1:16">
      <c r="A61" s="342"/>
      <c r="B61" s="342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</row>
    <row r="62" spans="1:16">
      <c r="A62" s="342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</row>
    <row r="63" spans="1:16">
      <c r="A63" s="342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</row>
    <row r="64" spans="1:16">
      <c r="A64" s="34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</row>
    <row r="65" spans="1:16">
      <c r="A65" s="342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</row>
    <row r="66" spans="1:16">
      <c r="A66" s="342"/>
    </row>
    <row r="67" spans="1:16">
      <c r="A67" s="422" t="s">
        <v>876</v>
      </c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</row>
    <row r="68" spans="1:16">
      <c r="A68" s="422" t="s">
        <v>889</v>
      </c>
      <c r="B68" s="422"/>
      <c r="C68" s="422"/>
      <c r="D68" s="422"/>
      <c r="E68" s="422"/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</row>
  </sheetData>
  <mergeCells count="2">
    <mergeCell ref="A67:P67"/>
    <mergeCell ref="A68:P68"/>
  </mergeCells>
  <pageMargins left="0.25" right="0.25" top="0.75" bottom="0.25" header="0.25" footer="0.25"/>
  <pageSetup scale="59" orientation="landscape" horizontalDpi="4294967293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63"/>
  <sheetViews>
    <sheetView zoomScale="80" zoomScaleNormal="80" workbookViewId="0">
      <selection activeCell="H54" sqref="H53:H54"/>
    </sheetView>
  </sheetViews>
  <sheetFormatPr defaultRowHeight="15.75"/>
  <cols>
    <col min="1" max="1" width="5.140625" style="339" customWidth="1"/>
    <col min="2" max="2" width="9.140625" style="339"/>
    <col min="3" max="3" width="32.7109375" style="339" customWidth="1"/>
    <col min="4" max="4" width="12.85546875" style="339" bestFit="1" customWidth="1"/>
    <col min="5" max="5" width="12.140625" style="339" customWidth="1"/>
    <col min="6" max="6" width="8.28515625" style="339" customWidth="1"/>
    <col min="7" max="11" width="15.5703125" style="339" customWidth="1"/>
    <col min="12" max="12" width="14.85546875" style="339" customWidth="1"/>
    <col min="13" max="14" width="14.42578125" style="339" customWidth="1"/>
    <col min="15" max="15" width="15" style="339" customWidth="1"/>
    <col min="16" max="16" width="14.42578125" style="339" customWidth="1"/>
    <col min="17" max="17" width="13.42578125" style="339" customWidth="1"/>
    <col min="18" max="18" width="13" style="339" customWidth="1"/>
    <col min="19" max="19" width="15.140625" style="339" bestFit="1" customWidth="1"/>
    <col min="20" max="16384" width="9.140625" style="339"/>
  </cols>
  <sheetData>
    <row r="1" spans="1:20">
      <c r="A1" s="339" t="s">
        <v>0</v>
      </c>
    </row>
    <row r="2" spans="1:20">
      <c r="A2" s="339" t="str">
        <f>WACC!A2</f>
        <v>Docket No. NG22-___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</row>
    <row r="3" spans="1:20">
      <c r="A3" s="339" t="s">
        <v>890</v>
      </c>
    </row>
    <row r="4" spans="1:20">
      <c r="A4" s="349" t="str">
        <f>WACC!A4</f>
        <v>Twelve Months Ending December 31, 2021</v>
      </c>
    </row>
    <row r="5" spans="1:20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</row>
    <row r="6" spans="1:20">
      <c r="T6" s="342"/>
    </row>
    <row r="7" spans="1:20">
      <c r="A7" s="339" t="s">
        <v>4</v>
      </c>
      <c r="D7" s="342" t="s">
        <v>815</v>
      </c>
      <c r="E7" s="342" t="s">
        <v>816</v>
      </c>
      <c r="F7" s="342" t="s">
        <v>128</v>
      </c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38" t="s">
        <v>817</v>
      </c>
    </row>
    <row r="8" spans="1:20">
      <c r="A8" s="343" t="s">
        <v>5</v>
      </c>
      <c r="B8" s="343" t="s">
        <v>356</v>
      </c>
      <c r="C8" s="344" t="s">
        <v>818</v>
      </c>
      <c r="D8" s="344" t="s">
        <v>819</v>
      </c>
      <c r="E8" s="344" t="s">
        <v>819</v>
      </c>
      <c r="F8" s="344" t="s">
        <v>272</v>
      </c>
      <c r="G8" s="361">
        <v>44197</v>
      </c>
      <c r="H8" s="361">
        <v>44228</v>
      </c>
      <c r="I8" s="361">
        <v>44256</v>
      </c>
      <c r="J8" s="361">
        <v>44287</v>
      </c>
      <c r="K8" s="361">
        <v>44317</v>
      </c>
      <c r="L8" s="361">
        <v>44348</v>
      </c>
      <c r="M8" s="361">
        <v>44378</v>
      </c>
      <c r="N8" s="361">
        <v>44409</v>
      </c>
      <c r="O8" s="361">
        <v>44440</v>
      </c>
      <c r="P8" s="361">
        <v>44470</v>
      </c>
      <c r="Q8" s="361">
        <v>44501</v>
      </c>
      <c r="R8" s="361">
        <v>44531</v>
      </c>
      <c r="S8" s="344" t="s">
        <v>676</v>
      </c>
    </row>
    <row r="9" spans="1:20">
      <c r="B9" s="342" t="s">
        <v>53</v>
      </c>
      <c r="C9" s="342" t="s">
        <v>54</v>
      </c>
      <c r="D9" s="342" t="s">
        <v>97</v>
      </c>
      <c r="E9" s="342" t="s">
        <v>98</v>
      </c>
      <c r="F9" s="342" t="s">
        <v>99</v>
      </c>
      <c r="G9" s="342" t="s">
        <v>100</v>
      </c>
      <c r="H9" s="342" t="s">
        <v>152</v>
      </c>
      <c r="I9" s="342" t="s">
        <v>153</v>
      </c>
      <c r="J9" s="342" t="s">
        <v>154</v>
      </c>
      <c r="K9" s="342" t="s">
        <v>155</v>
      </c>
      <c r="L9" s="342" t="s">
        <v>156</v>
      </c>
      <c r="M9" s="342" t="s">
        <v>157</v>
      </c>
      <c r="N9" s="342" t="s">
        <v>158</v>
      </c>
      <c r="O9" s="342" t="s">
        <v>159</v>
      </c>
      <c r="P9" s="342" t="s">
        <v>160</v>
      </c>
      <c r="Q9" s="342" t="s">
        <v>161</v>
      </c>
      <c r="R9" s="342" t="s">
        <v>268</v>
      </c>
      <c r="S9" s="342" t="s">
        <v>162</v>
      </c>
    </row>
    <row r="10" spans="1:20">
      <c r="A10" s="342"/>
    </row>
    <row r="11" spans="1:20">
      <c r="A11" s="342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</row>
    <row r="12" spans="1:20">
      <c r="A12" s="342"/>
      <c r="C12" s="362" t="s">
        <v>820</v>
      </c>
      <c r="D12" s="342"/>
      <c r="E12" s="342"/>
      <c r="F12" s="342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</row>
    <row r="13" spans="1:20">
      <c r="A13" s="342">
        <v>1</v>
      </c>
      <c r="B13" s="342">
        <v>226079</v>
      </c>
      <c r="C13" s="355" t="s">
        <v>821</v>
      </c>
      <c r="D13" s="363">
        <v>41536</v>
      </c>
      <c r="E13" s="363">
        <v>45184</v>
      </c>
      <c r="F13" s="364">
        <v>3.6999999999999998E-2</v>
      </c>
      <c r="G13" s="351">
        <v>216743.78</v>
      </c>
      <c r="H13" s="351">
        <v>209863.03</v>
      </c>
      <c r="I13" s="351">
        <v>202982.27</v>
      </c>
      <c r="J13" s="351">
        <v>196101.52</v>
      </c>
      <c r="K13" s="351">
        <v>189220.76</v>
      </c>
      <c r="L13" s="351">
        <v>182340.01</v>
      </c>
      <c r="M13" s="351">
        <v>175459.25</v>
      </c>
      <c r="N13" s="351">
        <v>168578.5</v>
      </c>
      <c r="O13" s="351">
        <v>161697.74</v>
      </c>
      <c r="P13" s="351">
        <v>154816.99</v>
      </c>
      <c r="Q13" s="351">
        <v>147936.23000000001</v>
      </c>
      <c r="R13" s="351">
        <v>141055.48000000001</v>
      </c>
      <c r="S13" s="351">
        <f t="shared" ref="S13:S24" si="0">(SUM(G13:R13)/12)</f>
        <v>178899.63</v>
      </c>
    </row>
    <row r="14" spans="1:20">
      <c r="A14" s="342">
        <v>2</v>
      </c>
      <c r="B14" s="342">
        <v>226080</v>
      </c>
      <c r="C14" s="355" t="s">
        <v>822</v>
      </c>
      <c r="D14" s="363">
        <v>41536</v>
      </c>
      <c r="E14" s="363">
        <v>52489</v>
      </c>
      <c r="F14" s="364">
        <v>4.8000000000000001E-2</v>
      </c>
      <c r="G14" s="351">
        <v>1246229.8</v>
      </c>
      <c r="H14" s="351">
        <v>1241639.6299999999</v>
      </c>
      <c r="I14" s="351">
        <v>1237049.47</v>
      </c>
      <c r="J14" s="351">
        <v>1232459.3</v>
      </c>
      <c r="K14" s="351">
        <v>1227869.1399999999</v>
      </c>
      <c r="L14" s="351">
        <v>1223278.97</v>
      </c>
      <c r="M14" s="351">
        <v>1218688.81</v>
      </c>
      <c r="N14" s="351">
        <v>1214098.6399999999</v>
      </c>
      <c r="O14" s="351">
        <v>1209508.48</v>
      </c>
      <c r="P14" s="351">
        <v>1204918.31</v>
      </c>
      <c r="Q14" s="351">
        <v>1200328.1499999999</v>
      </c>
      <c r="R14" s="351">
        <v>1195737.98</v>
      </c>
      <c r="S14" s="351">
        <f t="shared" si="0"/>
        <v>1220983.8900000001</v>
      </c>
    </row>
    <row r="15" spans="1:20">
      <c r="A15" s="342">
        <v>3</v>
      </c>
      <c r="B15" s="342">
        <v>226082</v>
      </c>
      <c r="C15" s="355" t="s">
        <v>823</v>
      </c>
      <c r="D15" s="363">
        <v>41732</v>
      </c>
      <c r="E15" s="363">
        <v>45580</v>
      </c>
      <c r="F15" s="364">
        <v>3.5000000000000003E-2</v>
      </c>
      <c r="G15" s="351">
        <v>516350.6</v>
      </c>
      <c r="H15" s="351">
        <v>504747.22</v>
      </c>
      <c r="I15" s="351">
        <v>493143.84</v>
      </c>
      <c r="J15" s="351">
        <v>481540.46</v>
      </c>
      <c r="K15" s="351">
        <v>469937.08</v>
      </c>
      <c r="L15" s="351">
        <v>458333.7</v>
      </c>
      <c r="M15" s="351">
        <v>446730.32</v>
      </c>
      <c r="N15" s="351">
        <v>435126.94</v>
      </c>
      <c r="O15" s="351">
        <v>423523.55</v>
      </c>
      <c r="P15" s="351">
        <v>411920.17</v>
      </c>
      <c r="Q15" s="351">
        <v>400316.78</v>
      </c>
      <c r="R15" s="351">
        <v>388713.4</v>
      </c>
      <c r="S15" s="351">
        <f t="shared" si="0"/>
        <v>452532.00500000006</v>
      </c>
    </row>
    <row r="16" spans="1:20">
      <c r="A16" s="342">
        <v>4</v>
      </c>
      <c r="B16" s="342">
        <v>226083</v>
      </c>
      <c r="C16" s="355" t="s">
        <v>824</v>
      </c>
      <c r="D16" s="363">
        <v>41732</v>
      </c>
      <c r="E16" s="363">
        <v>52885</v>
      </c>
      <c r="F16" s="364">
        <v>4.3999999999999997E-2</v>
      </c>
      <c r="G16" s="351">
        <v>1866474.2</v>
      </c>
      <c r="H16" s="351">
        <v>1859913.66</v>
      </c>
      <c r="I16" s="351">
        <v>1853353.12</v>
      </c>
      <c r="J16" s="351">
        <v>1846792.58</v>
      </c>
      <c r="K16" s="351">
        <v>1840232.04</v>
      </c>
      <c r="L16" s="351">
        <v>1833671.5</v>
      </c>
      <c r="M16" s="351">
        <v>1827110.96</v>
      </c>
      <c r="N16" s="351">
        <v>1820550.42</v>
      </c>
      <c r="O16" s="351">
        <v>1813989.88</v>
      </c>
      <c r="P16" s="351">
        <v>1807429.34</v>
      </c>
      <c r="Q16" s="351">
        <v>1800868.8</v>
      </c>
      <c r="R16" s="351">
        <v>1794308.26</v>
      </c>
      <c r="S16" s="351">
        <f t="shared" si="0"/>
        <v>1830391.2300000004</v>
      </c>
    </row>
    <row r="17" spans="1:19">
      <c r="A17" s="342">
        <v>5</v>
      </c>
      <c r="B17" s="342">
        <v>226085</v>
      </c>
      <c r="C17" s="355" t="s">
        <v>826</v>
      </c>
      <c r="D17" s="363">
        <v>42292</v>
      </c>
      <c r="E17" s="363">
        <v>53448</v>
      </c>
      <c r="F17" s="364">
        <v>4.2500000000000003E-2</v>
      </c>
      <c r="G17" s="351">
        <v>513323.38</v>
      </c>
      <c r="H17" s="351">
        <v>511628.98</v>
      </c>
      <c r="I17" s="351">
        <v>509934.57</v>
      </c>
      <c r="J17" s="351">
        <v>508240.17</v>
      </c>
      <c r="K17" s="351">
        <v>506545.76</v>
      </c>
      <c r="L17" s="351">
        <v>504851.36</v>
      </c>
      <c r="M17" s="351">
        <v>503156.95</v>
      </c>
      <c r="N17" s="351">
        <v>501462.55</v>
      </c>
      <c r="O17" s="351">
        <v>499768.14</v>
      </c>
      <c r="P17" s="351">
        <v>498073.74</v>
      </c>
      <c r="Q17" s="351">
        <v>496379.33</v>
      </c>
      <c r="R17" s="351">
        <v>494684.93</v>
      </c>
      <c r="S17" s="351">
        <f t="shared" si="0"/>
        <v>504004.15499999997</v>
      </c>
    </row>
    <row r="18" spans="1:19">
      <c r="A18" s="342">
        <v>6</v>
      </c>
      <c r="B18" s="342">
        <v>226087</v>
      </c>
      <c r="C18" s="355" t="s">
        <v>827</v>
      </c>
      <c r="D18" s="363">
        <v>42767</v>
      </c>
      <c r="E18" s="363">
        <v>46508</v>
      </c>
      <c r="F18" s="364">
        <v>3.1E-2</v>
      </c>
      <c r="G18" s="351">
        <v>73170.720000000001</v>
      </c>
      <c r="H18" s="351">
        <v>72195.11</v>
      </c>
      <c r="I18" s="351">
        <v>71219.5</v>
      </c>
      <c r="J18" s="351">
        <v>70243.89</v>
      </c>
      <c r="K18" s="351">
        <v>69268.28</v>
      </c>
      <c r="L18" s="351">
        <v>68292.67</v>
      </c>
      <c r="M18" s="351">
        <v>67317.06</v>
      </c>
      <c r="N18" s="351">
        <v>66341.45</v>
      </c>
      <c r="O18" s="351">
        <v>65365.84</v>
      </c>
      <c r="P18" s="351">
        <v>64390.23</v>
      </c>
      <c r="Q18" s="351">
        <v>63414.62</v>
      </c>
      <c r="R18" s="351">
        <v>62439.01</v>
      </c>
      <c r="S18" s="351">
        <f t="shared" si="0"/>
        <v>67804.864999999991</v>
      </c>
    </row>
    <row r="19" spans="1:19">
      <c r="A19" s="342">
        <v>7</v>
      </c>
      <c r="B19" s="342">
        <v>226088</v>
      </c>
      <c r="C19" s="355" t="s">
        <v>828</v>
      </c>
      <c r="D19" s="363">
        <v>42767</v>
      </c>
      <c r="E19" s="363">
        <v>53905</v>
      </c>
      <c r="F19" s="364">
        <v>3.95E-2</v>
      </c>
      <c r="G19" s="351">
        <v>581913.84</v>
      </c>
      <c r="H19" s="351">
        <v>580083.92000000004</v>
      </c>
      <c r="I19" s="351">
        <v>578254</v>
      </c>
      <c r="J19" s="351">
        <v>576424.07999999996</v>
      </c>
      <c r="K19" s="351">
        <v>574594.16</v>
      </c>
      <c r="L19" s="351">
        <v>572764.24</v>
      </c>
      <c r="M19" s="351">
        <v>570934.31999999995</v>
      </c>
      <c r="N19" s="351">
        <v>569104.4</v>
      </c>
      <c r="O19" s="351">
        <v>567274.48</v>
      </c>
      <c r="P19" s="351">
        <v>565444.56000000006</v>
      </c>
      <c r="Q19" s="351">
        <v>563614.64</v>
      </c>
      <c r="R19" s="351">
        <v>561784.72</v>
      </c>
      <c r="S19" s="351">
        <f t="shared" si="0"/>
        <v>571849.27999999991</v>
      </c>
    </row>
    <row r="20" spans="1:19">
      <c r="A20" s="342">
        <v>8</v>
      </c>
      <c r="B20" s="342">
        <v>226089</v>
      </c>
      <c r="C20" s="355" t="s">
        <v>829</v>
      </c>
      <c r="D20" s="363">
        <v>43132</v>
      </c>
      <c r="E20" s="363">
        <v>54271</v>
      </c>
      <c r="F20" s="364">
        <v>3.6499999999999998E-2</v>
      </c>
      <c r="G20" s="351">
        <v>5509918.0800000001</v>
      </c>
      <c r="H20" s="351">
        <v>5493221.3600000003</v>
      </c>
      <c r="I20" s="351">
        <v>5476524.6399999997</v>
      </c>
      <c r="J20" s="351">
        <v>5459827.9199999999</v>
      </c>
      <c r="K20" s="351">
        <v>5443131.2000000002</v>
      </c>
      <c r="L20" s="351">
        <v>5426434.4800000004</v>
      </c>
      <c r="M20" s="351">
        <v>5409737.7599999998</v>
      </c>
      <c r="N20" s="351">
        <v>5393041.04</v>
      </c>
      <c r="O20" s="351">
        <v>5376344.3200000003</v>
      </c>
      <c r="P20" s="351">
        <v>5359647.5999999996</v>
      </c>
      <c r="Q20" s="351">
        <v>5342950.88</v>
      </c>
      <c r="R20" s="351">
        <v>5326254.16</v>
      </c>
      <c r="S20" s="351">
        <f t="shared" si="0"/>
        <v>5418086.1200000001</v>
      </c>
    </row>
    <row r="21" spans="1:19">
      <c r="A21" s="342">
        <v>9</v>
      </c>
      <c r="B21" s="342">
        <v>226090</v>
      </c>
      <c r="C21" s="355" t="s">
        <v>830</v>
      </c>
      <c r="D21" s="363">
        <v>43472</v>
      </c>
      <c r="E21" s="363">
        <v>47223</v>
      </c>
      <c r="F21" s="364">
        <v>3.6499999999999998E-2</v>
      </c>
      <c r="G21" s="351">
        <v>6081102.8700000001</v>
      </c>
      <c r="H21" s="351">
        <v>6019365.79</v>
      </c>
      <c r="I21" s="351">
        <v>5957628.7000000002</v>
      </c>
      <c r="J21" s="351">
        <v>5895891.6200000001</v>
      </c>
      <c r="K21" s="351">
        <v>5834154.5300000003</v>
      </c>
      <c r="L21" s="351">
        <v>5772417.4500000002</v>
      </c>
      <c r="M21" s="351">
        <v>5710680.3600000003</v>
      </c>
      <c r="N21" s="351">
        <v>5648943.2800000003</v>
      </c>
      <c r="O21" s="351">
        <v>5587206.1900000004</v>
      </c>
      <c r="P21" s="351">
        <v>5525469.1100000003</v>
      </c>
      <c r="Q21" s="351">
        <v>5463732.0199999996</v>
      </c>
      <c r="R21" s="351">
        <v>5401994.9400000004</v>
      </c>
      <c r="S21" s="351">
        <f t="shared" si="0"/>
        <v>5741548.9050000003</v>
      </c>
    </row>
    <row r="22" spans="1:19">
      <c r="A22" s="342">
        <v>10</v>
      </c>
      <c r="B22" s="342">
        <v>226091</v>
      </c>
      <c r="C22" s="355" t="s">
        <v>831</v>
      </c>
      <c r="D22" s="363">
        <v>43472</v>
      </c>
      <c r="E22" s="363">
        <v>54619</v>
      </c>
      <c r="F22" s="364">
        <v>4.2500000000000003E-2</v>
      </c>
      <c r="G22" s="351">
        <v>19490321.5</v>
      </c>
      <c r="H22" s="351">
        <v>19433248.82</v>
      </c>
      <c r="I22" s="351">
        <v>19376176.140000001</v>
      </c>
      <c r="J22" s="351">
        <v>19319103.460000001</v>
      </c>
      <c r="K22" s="351">
        <v>19262030.780000001</v>
      </c>
      <c r="L22" s="351">
        <v>19204958.100000001</v>
      </c>
      <c r="M22" s="351">
        <v>19147885.420000002</v>
      </c>
      <c r="N22" s="351">
        <v>19090812.739999998</v>
      </c>
      <c r="O22" s="351">
        <v>19033740.059999999</v>
      </c>
      <c r="P22" s="351">
        <v>18976667.379999999</v>
      </c>
      <c r="Q22" s="351">
        <v>18919594.699999999</v>
      </c>
      <c r="R22" s="351">
        <v>18862522.02</v>
      </c>
      <c r="S22" s="351">
        <f t="shared" si="0"/>
        <v>19176421.760000002</v>
      </c>
    </row>
    <row r="23" spans="1:19">
      <c r="A23" s="342">
        <v>11</v>
      </c>
      <c r="B23" s="342">
        <v>226092</v>
      </c>
      <c r="C23" s="355" t="s">
        <v>891</v>
      </c>
      <c r="D23" s="363">
        <v>43739</v>
      </c>
      <c r="E23" s="363">
        <v>54893</v>
      </c>
      <c r="F23" s="364">
        <v>3.15E-2</v>
      </c>
      <c r="G23" s="351">
        <v>3235830.54</v>
      </c>
      <c r="H23" s="351">
        <v>3226271.22</v>
      </c>
      <c r="I23" s="351">
        <v>3216711.9</v>
      </c>
      <c r="J23" s="351">
        <v>3207152.58</v>
      </c>
      <c r="K23" s="351">
        <v>3197593.26</v>
      </c>
      <c r="L23" s="351">
        <v>3188033.94</v>
      </c>
      <c r="M23" s="351">
        <v>3178474.62</v>
      </c>
      <c r="N23" s="351">
        <v>3168915.3</v>
      </c>
      <c r="O23" s="351">
        <v>3159355.98</v>
      </c>
      <c r="P23" s="351">
        <v>3149796.66</v>
      </c>
      <c r="Q23" s="351">
        <v>3140237.34</v>
      </c>
      <c r="R23" s="351">
        <v>3130678.02</v>
      </c>
      <c r="S23" s="351">
        <f t="shared" si="0"/>
        <v>3183254.2800000007</v>
      </c>
    </row>
    <row r="24" spans="1:19">
      <c r="A24" s="342">
        <v>12</v>
      </c>
      <c r="B24" s="342">
        <v>226094</v>
      </c>
      <c r="C24" s="355" t="s">
        <v>892</v>
      </c>
      <c r="D24" s="363">
        <v>44378</v>
      </c>
      <c r="E24" s="363" t="s">
        <v>893</v>
      </c>
      <c r="F24" s="364">
        <v>2.7E-2</v>
      </c>
      <c r="G24" s="357">
        <v>0</v>
      </c>
      <c r="H24" s="357">
        <v>0</v>
      </c>
      <c r="I24" s="357">
        <v>0</v>
      </c>
      <c r="J24" s="357">
        <v>0</v>
      </c>
      <c r="K24" s="357">
        <v>0</v>
      </c>
      <c r="L24" s="357">
        <v>0</v>
      </c>
      <c r="M24" s="357">
        <v>3542045.83</v>
      </c>
      <c r="N24" s="357">
        <v>3532179.41</v>
      </c>
      <c r="O24" s="357">
        <v>3522312.99</v>
      </c>
      <c r="P24" s="357">
        <v>3512446.57</v>
      </c>
      <c r="Q24" s="357">
        <v>3502580.15</v>
      </c>
      <c r="R24" s="357">
        <v>3492713.73</v>
      </c>
      <c r="S24" s="357">
        <f t="shared" si="0"/>
        <v>1758689.89</v>
      </c>
    </row>
    <row r="25" spans="1:19">
      <c r="A25" s="342">
        <v>13</v>
      </c>
      <c r="B25" s="342"/>
      <c r="C25" s="355" t="s">
        <v>835</v>
      </c>
      <c r="D25" s="363"/>
      <c r="E25" s="363"/>
      <c r="F25" s="364"/>
      <c r="G25" s="351">
        <f>SUM(G13:G24)</f>
        <v>39331379.309999995</v>
      </c>
      <c r="H25" s="351">
        <f t="shared" ref="H25:S25" si="1">SUM(H13:H24)</f>
        <v>39152178.739999995</v>
      </c>
      <c r="I25" s="351">
        <f t="shared" si="1"/>
        <v>38972978.149999999</v>
      </c>
      <c r="J25" s="351">
        <f t="shared" si="1"/>
        <v>38793777.579999998</v>
      </c>
      <c r="K25" s="351">
        <f t="shared" si="1"/>
        <v>38614576.990000002</v>
      </c>
      <c r="L25" s="351">
        <f t="shared" si="1"/>
        <v>38435376.420000002</v>
      </c>
      <c r="M25" s="351">
        <f t="shared" si="1"/>
        <v>41798221.659999996</v>
      </c>
      <c r="N25" s="351">
        <f t="shared" si="1"/>
        <v>41609154.670000002</v>
      </c>
      <c r="O25" s="351">
        <f t="shared" si="1"/>
        <v>41420087.649999999</v>
      </c>
      <c r="P25" s="351">
        <f t="shared" si="1"/>
        <v>41231020.660000004</v>
      </c>
      <c r="Q25" s="351">
        <f t="shared" si="1"/>
        <v>41041953.639999993</v>
      </c>
      <c r="R25" s="351">
        <f t="shared" si="1"/>
        <v>40852886.650000006</v>
      </c>
      <c r="S25" s="351">
        <f t="shared" si="1"/>
        <v>40104466.010000005</v>
      </c>
    </row>
    <row r="26" spans="1:19">
      <c r="A26" s="342"/>
      <c r="B26" s="342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</row>
    <row r="27" spans="1:19">
      <c r="A27" s="342"/>
      <c r="B27" s="342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</row>
    <row r="28" spans="1:19">
      <c r="A28" s="342"/>
      <c r="B28" s="342"/>
      <c r="C28" s="362" t="s">
        <v>836</v>
      </c>
      <c r="D28" s="342"/>
      <c r="E28" s="342"/>
      <c r="F28" s="342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</row>
    <row r="29" spans="1:19">
      <c r="A29" s="342">
        <f>A25+1</f>
        <v>14</v>
      </c>
      <c r="B29" s="342"/>
      <c r="C29" s="339" t="s">
        <v>837</v>
      </c>
      <c r="D29" s="366" t="s">
        <v>894</v>
      </c>
      <c r="E29" s="366" t="s">
        <v>895</v>
      </c>
      <c r="F29" s="342" t="s">
        <v>840</v>
      </c>
      <c r="G29" s="351">
        <v>0</v>
      </c>
      <c r="H29" s="351">
        <v>0</v>
      </c>
      <c r="I29" s="351">
        <v>0</v>
      </c>
      <c r="J29" s="351">
        <v>0</v>
      </c>
      <c r="K29" s="351">
        <v>0</v>
      </c>
      <c r="L29" s="351">
        <v>0</v>
      </c>
      <c r="M29" s="351">
        <v>0</v>
      </c>
      <c r="N29" s="351">
        <v>0</v>
      </c>
      <c r="O29" s="351">
        <v>0</v>
      </c>
      <c r="P29" s="351">
        <v>0</v>
      </c>
      <c r="Q29" s="351">
        <v>0</v>
      </c>
      <c r="R29" s="351">
        <v>0</v>
      </c>
      <c r="S29" s="351">
        <f>(SUM(G29:R29)/12)</f>
        <v>0</v>
      </c>
    </row>
    <row r="30" spans="1:19">
      <c r="A30" s="342">
        <f>A29+1</f>
        <v>15</v>
      </c>
      <c r="B30" s="342"/>
      <c r="C30" s="339" t="s">
        <v>896</v>
      </c>
      <c r="D30" s="366" t="s">
        <v>897</v>
      </c>
      <c r="E30" s="366" t="s">
        <v>898</v>
      </c>
      <c r="F30" s="342" t="s">
        <v>840</v>
      </c>
      <c r="G30" s="351">
        <v>0</v>
      </c>
      <c r="H30" s="351">
        <v>0</v>
      </c>
      <c r="I30" s="351">
        <v>0</v>
      </c>
      <c r="J30" s="351">
        <v>0</v>
      </c>
      <c r="K30" s="351">
        <v>0</v>
      </c>
      <c r="L30" s="351">
        <v>0</v>
      </c>
      <c r="M30" s="351">
        <v>0</v>
      </c>
      <c r="N30" s="351">
        <v>0</v>
      </c>
      <c r="O30" s="351">
        <v>0</v>
      </c>
      <c r="P30" s="351">
        <v>0</v>
      </c>
      <c r="Q30" s="351">
        <v>0</v>
      </c>
      <c r="R30" s="351">
        <v>0</v>
      </c>
      <c r="S30" s="351">
        <f t="shared" ref="S30:S36" si="2">(SUM(G30:R30)/12)</f>
        <v>0</v>
      </c>
    </row>
    <row r="31" spans="1:19">
      <c r="A31" s="342">
        <f t="shared" ref="A31:A37" si="3">A30+1</f>
        <v>16</v>
      </c>
      <c r="B31" s="342"/>
      <c r="C31" s="339" t="s">
        <v>899</v>
      </c>
      <c r="D31" s="366" t="s">
        <v>900</v>
      </c>
      <c r="E31" s="366" t="s">
        <v>901</v>
      </c>
      <c r="F31" s="342" t="s">
        <v>840</v>
      </c>
      <c r="G31" s="351">
        <v>0</v>
      </c>
      <c r="H31" s="351">
        <v>0</v>
      </c>
      <c r="I31" s="351">
        <v>0</v>
      </c>
      <c r="J31" s="351">
        <v>0</v>
      </c>
      <c r="K31" s="351">
        <v>0</v>
      </c>
      <c r="L31" s="351">
        <v>0</v>
      </c>
      <c r="M31" s="351">
        <v>0</v>
      </c>
      <c r="N31" s="351">
        <v>0</v>
      </c>
      <c r="O31" s="351">
        <v>0</v>
      </c>
      <c r="P31" s="351">
        <v>0</v>
      </c>
      <c r="Q31" s="351">
        <v>0</v>
      </c>
      <c r="R31" s="351">
        <v>0</v>
      </c>
      <c r="S31" s="351">
        <f t="shared" si="2"/>
        <v>0</v>
      </c>
    </row>
    <row r="32" spans="1:19">
      <c r="A32" s="342">
        <f t="shared" si="3"/>
        <v>17</v>
      </c>
      <c r="B32" s="342"/>
      <c r="C32" s="339" t="s">
        <v>902</v>
      </c>
      <c r="D32" s="366" t="s">
        <v>903</v>
      </c>
      <c r="E32" s="366" t="s">
        <v>904</v>
      </c>
      <c r="F32" s="342" t="s">
        <v>840</v>
      </c>
      <c r="G32" s="351">
        <v>0</v>
      </c>
      <c r="H32" s="351">
        <v>0</v>
      </c>
      <c r="I32" s="351">
        <v>0</v>
      </c>
      <c r="J32" s="351">
        <v>0</v>
      </c>
      <c r="K32" s="351">
        <v>0</v>
      </c>
      <c r="L32" s="351">
        <v>0</v>
      </c>
      <c r="M32" s="351">
        <v>0</v>
      </c>
      <c r="N32" s="351">
        <v>0</v>
      </c>
      <c r="O32" s="351">
        <v>0</v>
      </c>
      <c r="P32" s="351">
        <v>0</v>
      </c>
      <c r="Q32" s="351">
        <v>0</v>
      </c>
      <c r="R32" s="351">
        <v>0</v>
      </c>
      <c r="S32" s="351">
        <f t="shared" si="2"/>
        <v>0</v>
      </c>
    </row>
    <row r="33" spans="1:19">
      <c r="A33" s="342">
        <f t="shared" si="3"/>
        <v>18</v>
      </c>
      <c r="B33" s="342"/>
      <c r="C33" s="339" t="s">
        <v>850</v>
      </c>
      <c r="D33" s="366" t="s">
        <v>897</v>
      </c>
      <c r="E33" s="366" t="s">
        <v>905</v>
      </c>
      <c r="F33" s="342" t="s">
        <v>840</v>
      </c>
      <c r="G33" s="351">
        <v>0</v>
      </c>
      <c r="H33" s="351">
        <v>0</v>
      </c>
      <c r="I33" s="351">
        <v>0</v>
      </c>
      <c r="J33" s="351">
        <v>0</v>
      </c>
      <c r="K33" s="351">
        <v>0</v>
      </c>
      <c r="L33" s="351">
        <v>0</v>
      </c>
      <c r="M33" s="351">
        <v>0</v>
      </c>
      <c r="N33" s="351">
        <v>0</v>
      </c>
      <c r="O33" s="351">
        <v>0</v>
      </c>
      <c r="P33" s="351">
        <v>0</v>
      </c>
      <c r="Q33" s="351">
        <v>0</v>
      </c>
      <c r="R33" s="351">
        <v>0</v>
      </c>
      <c r="S33" s="351">
        <f t="shared" si="2"/>
        <v>0</v>
      </c>
    </row>
    <row r="34" spans="1:19">
      <c r="A34" s="342">
        <f t="shared" si="3"/>
        <v>19</v>
      </c>
      <c r="B34" s="342"/>
      <c r="C34" s="339" t="s">
        <v>853</v>
      </c>
      <c r="D34" s="366" t="s">
        <v>906</v>
      </c>
      <c r="E34" s="366" t="s">
        <v>907</v>
      </c>
      <c r="F34" s="342" t="s">
        <v>840</v>
      </c>
      <c r="G34" s="351">
        <v>0</v>
      </c>
      <c r="H34" s="351">
        <v>0</v>
      </c>
      <c r="I34" s="351">
        <v>0</v>
      </c>
      <c r="J34" s="351">
        <v>0</v>
      </c>
      <c r="K34" s="351">
        <v>0</v>
      </c>
      <c r="L34" s="351">
        <v>0</v>
      </c>
      <c r="M34" s="351">
        <v>0</v>
      </c>
      <c r="N34" s="351">
        <v>0</v>
      </c>
      <c r="O34" s="351">
        <v>0</v>
      </c>
      <c r="P34" s="351">
        <v>0</v>
      </c>
      <c r="Q34" s="351">
        <v>0</v>
      </c>
      <c r="R34" s="351">
        <v>0</v>
      </c>
      <c r="S34" s="351">
        <f t="shared" si="2"/>
        <v>0</v>
      </c>
    </row>
    <row r="35" spans="1:19">
      <c r="A35" s="342">
        <f t="shared" si="3"/>
        <v>20</v>
      </c>
      <c r="B35" s="342"/>
      <c r="C35" s="339" t="s">
        <v>856</v>
      </c>
      <c r="D35" s="368">
        <v>39630</v>
      </c>
      <c r="E35" s="366" t="s">
        <v>908</v>
      </c>
      <c r="F35" s="346" t="s">
        <v>840</v>
      </c>
      <c r="G35" s="351">
        <v>0</v>
      </c>
      <c r="H35" s="351">
        <v>0</v>
      </c>
      <c r="I35" s="351">
        <v>0</v>
      </c>
      <c r="J35" s="351">
        <v>0</v>
      </c>
      <c r="K35" s="351">
        <v>0</v>
      </c>
      <c r="L35" s="351">
        <v>0</v>
      </c>
      <c r="M35" s="351">
        <v>0</v>
      </c>
      <c r="N35" s="351">
        <v>0</v>
      </c>
      <c r="O35" s="351">
        <v>0</v>
      </c>
      <c r="P35" s="351">
        <v>0</v>
      </c>
      <c r="Q35" s="351">
        <v>0</v>
      </c>
      <c r="R35" s="351">
        <v>0</v>
      </c>
      <c r="S35" s="351">
        <f t="shared" si="2"/>
        <v>0</v>
      </c>
    </row>
    <row r="36" spans="1:19">
      <c r="A36" s="342">
        <f t="shared" si="3"/>
        <v>21</v>
      </c>
      <c r="B36" s="342"/>
      <c r="C36" s="339" t="s">
        <v>858</v>
      </c>
      <c r="D36" s="368">
        <v>39630</v>
      </c>
      <c r="E36" s="366" t="s">
        <v>909</v>
      </c>
      <c r="F36" s="346" t="s">
        <v>840</v>
      </c>
      <c r="G36" s="357">
        <v>0</v>
      </c>
      <c r="H36" s="357">
        <v>0</v>
      </c>
      <c r="I36" s="357">
        <v>0</v>
      </c>
      <c r="J36" s="357">
        <v>0</v>
      </c>
      <c r="K36" s="357">
        <v>0</v>
      </c>
      <c r="L36" s="357">
        <v>0</v>
      </c>
      <c r="M36" s="357">
        <v>0</v>
      </c>
      <c r="N36" s="357">
        <v>0</v>
      </c>
      <c r="O36" s="357">
        <v>0</v>
      </c>
      <c r="P36" s="357">
        <v>0</v>
      </c>
      <c r="Q36" s="357">
        <v>0</v>
      </c>
      <c r="R36" s="357">
        <v>0</v>
      </c>
      <c r="S36" s="357">
        <f t="shared" si="2"/>
        <v>0</v>
      </c>
    </row>
    <row r="37" spans="1:19">
      <c r="A37" s="342">
        <f t="shared" si="3"/>
        <v>22</v>
      </c>
      <c r="C37" s="339" t="s">
        <v>860</v>
      </c>
      <c r="G37" s="351">
        <f t="shared" ref="G37:S37" si="4">SUM(G29:G36)</f>
        <v>0</v>
      </c>
      <c r="H37" s="351">
        <f t="shared" si="4"/>
        <v>0</v>
      </c>
      <c r="I37" s="351">
        <f t="shared" si="4"/>
        <v>0</v>
      </c>
      <c r="J37" s="351">
        <f t="shared" si="4"/>
        <v>0</v>
      </c>
      <c r="K37" s="351">
        <f t="shared" si="4"/>
        <v>0</v>
      </c>
      <c r="L37" s="351">
        <f t="shared" si="4"/>
        <v>0</v>
      </c>
      <c r="M37" s="351">
        <f t="shared" si="4"/>
        <v>0</v>
      </c>
      <c r="N37" s="351">
        <f t="shared" si="4"/>
        <v>0</v>
      </c>
      <c r="O37" s="351">
        <f t="shared" si="4"/>
        <v>0</v>
      </c>
      <c r="P37" s="351">
        <f t="shared" si="4"/>
        <v>0</v>
      </c>
      <c r="Q37" s="351">
        <f t="shared" si="4"/>
        <v>0</v>
      </c>
      <c r="R37" s="351">
        <f t="shared" si="4"/>
        <v>0</v>
      </c>
      <c r="S37" s="351">
        <f t="shared" si="4"/>
        <v>0</v>
      </c>
    </row>
    <row r="38" spans="1:19"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</row>
    <row r="39" spans="1:19"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</row>
    <row r="40" spans="1:19">
      <c r="C40" s="362" t="s">
        <v>861</v>
      </c>
      <c r="D40" s="342"/>
      <c r="E40" s="342"/>
      <c r="F40" s="342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</row>
    <row r="41" spans="1:19">
      <c r="A41" s="342">
        <f>A37+1</f>
        <v>23</v>
      </c>
      <c r="B41" s="342">
        <v>226065</v>
      </c>
      <c r="C41" s="339" t="s">
        <v>910</v>
      </c>
      <c r="D41" s="370">
        <v>37295</v>
      </c>
      <c r="E41" s="370">
        <v>48212</v>
      </c>
      <c r="F41" s="346">
        <v>6.7500000000000004E-2</v>
      </c>
      <c r="G41" s="351">
        <v>1835783.57</v>
      </c>
      <c r="H41" s="351">
        <v>1821769.95</v>
      </c>
      <c r="I41" s="351">
        <v>1807756.34</v>
      </c>
      <c r="J41" s="351">
        <v>1793742.72</v>
      </c>
      <c r="K41" s="351">
        <v>1779729.11</v>
      </c>
      <c r="L41" s="351">
        <v>1765715.49</v>
      </c>
      <c r="M41" s="351">
        <v>1751701.88</v>
      </c>
      <c r="N41" s="351">
        <v>1737688.26</v>
      </c>
      <c r="O41" s="351">
        <v>1723674.65</v>
      </c>
      <c r="P41" s="351">
        <v>1709661.03</v>
      </c>
      <c r="Q41" s="351">
        <v>1695647.42</v>
      </c>
      <c r="R41" s="351">
        <v>1681633.8</v>
      </c>
      <c r="S41" s="351">
        <f>(SUM(G41:R41)/12)</f>
        <v>1758708.6850000003</v>
      </c>
    </row>
    <row r="42" spans="1:19">
      <c r="A42" s="342">
        <f>A41+1</f>
        <v>24</v>
      </c>
      <c r="B42" s="342">
        <v>226069</v>
      </c>
      <c r="C42" s="339" t="s">
        <v>863</v>
      </c>
      <c r="D42" s="370">
        <v>38657</v>
      </c>
      <c r="E42" s="370">
        <v>13089</v>
      </c>
      <c r="F42" s="346">
        <v>5.7500000000000002E-2</v>
      </c>
      <c r="G42" s="351">
        <v>126849.71</v>
      </c>
      <c r="H42" s="351">
        <v>126133.04</v>
      </c>
      <c r="I42" s="351">
        <v>125416.38</v>
      </c>
      <c r="J42" s="351">
        <v>124699.71</v>
      </c>
      <c r="K42" s="351">
        <v>123983.05</v>
      </c>
      <c r="L42" s="351">
        <v>123266.38</v>
      </c>
      <c r="M42" s="351">
        <v>122549.72</v>
      </c>
      <c r="N42" s="351">
        <v>121833.05</v>
      </c>
      <c r="O42" s="351">
        <v>121116.39</v>
      </c>
      <c r="P42" s="351">
        <v>120399.72</v>
      </c>
      <c r="Q42" s="351">
        <v>119683.06</v>
      </c>
      <c r="R42" s="351">
        <v>118966.39</v>
      </c>
      <c r="S42" s="351">
        <f t="shared" ref="S42:S48" si="5">(SUM(G42:R42)/12)</f>
        <v>122908.04999999999</v>
      </c>
    </row>
    <row r="43" spans="1:19">
      <c r="A43" s="342">
        <f t="shared" ref="A43:A49" si="6">A42+1</f>
        <v>25</v>
      </c>
      <c r="B43" s="342">
        <v>226072</v>
      </c>
      <c r="C43" s="339" t="s">
        <v>864</v>
      </c>
      <c r="D43" s="370">
        <v>38997</v>
      </c>
      <c r="E43" s="370">
        <v>13430</v>
      </c>
      <c r="F43" s="346">
        <v>5.8000000000000003E-2</v>
      </c>
      <c r="G43" s="351">
        <v>292950.68</v>
      </c>
      <c r="H43" s="351">
        <v>291396.56</v>
      </c>
      <c r="I43" s="351">
        <v>289842.45</v>
      </c>
      <c r="J43" s="351">
        <v>288288.33</v>
      </c>
      <c r="K43" s="351">
        <v>286734.21999999997</v>
      </c>
      <c r="L43" s="351">
        <v>285180.09999999998</v>
      </c>
      <c r="M43" s="351">
        <v>283625.99</v>
      </c>
      <c r="N43" s="351">
        <v>282071.87</v>
      </c>
      <c r="O43" s="351">
        <v>280517.76000000001</v>
      </c>
      <c r="P43" s="351">
        <v>278963.64</v>
      </c>
      <c r="Q43" s="351">
        <v>277409.53000000003</v>
      </c>
      <c r="R43" s="351">
        <v>275855.40999999997</v>
      </c>
      <c r="S43" s="351">
        <f t="shared" si="5"/>
        <v>284403.04499999998</v>
      </c>
    </row>
    <row r="44" spans="1:19">
      <c r="A44" s="342">
        <f t="shared" si="6"/>
        <v>26</v>
      </c>
      <c r="B44" s="342">
        <v>226076</v>
      </c>
      <c r="C44" s="339" t="s">
        <v>866</v>
      </c>
      <c r="D44" s="363">
        <v>44362</v>
      </c>
      <c r="E44" s="363">
        <v>51606</v>
      </c>
      <c r="F44" s="346">
        <v>8.14E-2</v>
      </c>
      <c r="G44" s="351">
        <v>0</v>
      </c>
      <c r="H44" s="351">
        <v>0</v>
      </c>
      <c r="I44" s="351">
        <v>13274750</v>
      </c>
      <c r="J44" s="351">
        <v>13274750</v>
      </c>
      <c r="K44" s="351">
        <v>12909008</v>
      </c>
      <c r="L44" s="351">
        <v>12823184</v>
      </c>
      <c r="M44" s="351">
        <v>12609240</v>
      </c>
      <c r="N44" s="351">
        <v>12524438</v>
      </c>
      <c r="O44" s="351">
        <v>12439786</v>
      </c>
      <c r="P44" s="351">
        <v>12355283</v>
      </c>
      <c r="Q44" s="351">
        <v>12270931.029999999</v>
      </c>
      <c r="R44" s="351">
        <v>12186730.470000001</v>
      </c>
      <c r="S44" s="351">
        <f t="shared" si="5"/>
        <v>10555675.041666666</v>
      </c>
    </row>
    <row r="45" spans="1:19">
      <c r="A45" s="342">
        <f t="shared" si="6"/>
        <v>27</v>
      </c>
      <c r="B45" s="342">
        <v>226077</v>
      </c>
      <c r="C45" s="339" t="s">
        <v>867</v>
      </c>
      <c r="D45" s="363">
        <v>43983</v>
      </c>
      <c r="E45" s="363">
        <v>51257</v>
      </c>
      <c r="F45" s="346">
        <v>7.9159999999999994E-2</v>
      </c>
      <c r="G45" s="351">
        <v>77293.59</v>
      </c>
      <c r="H45" s="351">
        <v>76762.89</v>
      </c>
      <c r="I45" s="351">
        <v>76233.149999999994</v>
      </c>
      <c r="J45" s="351">
        <v>75704.38</v>
      </c>
      <c r="K45" s="351">
        <v>75176.59</v>
      </c>
      <c r="L45" s="351">
        <v>74649.789999999994</v>
      </c>
      <c r="M45" s="351">
        <v>73444.070000000007</v>
      </c>
      <c r="N45" s="351">
        <v>72923.34</v>
      </c>
      <c r="O45" s="351">
        <v>72403.62</v>
      </c>
      <c r="P45" s="351">
        <v>71884.91</v>
      </c>
      <c r="Q45" s="351">
        <v>71367.210000000006</v>
      </c>
      <c r="R45" s="351">
        <v>70850.539999999994</v>
      </c>
      <c r="S45" s="351">
        <f t="shared" si="5"/>
        <v>74057.84</v>
      </c>
    </row>
    <row r="46" spans="1:19">
      <c r="A46" s="342">
        <f t="shared" si="6"/>
        <v>28</v>
      </c>
      <c r="B46" s="342">
        <v>226084</v>
      </c>
      <c r="C46" s="339" t="s">
        <v>911</v>
      </c>
      <c r="D46" s="363">
        <v>42036</v>
      </c>
      <c r="E46" s="363">
        <v>49949</v>
      </c>
      <c r="F46" s="346">
        <v>4.4490000000000002E-2</v>
      </c>
      <c r="G46" s="351">
        <v>776500.04</v>
      </c>
      <c r="H46" s="351">
        <v>768423.09</v>
      </c>
      <c r="I46" s="351">
        <v>760379.57</v>
      </c>
      <c r="J46" s="351">
        <v>752369.61</v>
      </c>
      <c r="K46" s="351">
        <v>744393.33</v>
      </c>
      <c r="L46" s="351">
        <v>736450.86</v>
      </c>
      <c r="M46" s="351">
        <v>714935.87</v>
      </c>
      <c r="N46" s="351">
        <v>707196.55</v>
      </c>
      <c r="O46" s="351">
        <v>699491.03</v>
      </c>
      <c r="P46" s="351">
        <v>691819.43</v>
      </c>
      <c r="Q46" s="351">
        <v>684181.88</v>
      </c>
      <c r="R46" s="351">
        <v>676578.5</v>
      </c>
      <c r="S46" s="351">
        <f t="shared" si="5"/>
        <v>726059.98</v>
      </c>
    </row>
    <row r="47" spans="1:19">
      <c r="A47" s="342">
        <f t="shared" si="6"/>
        <v>29</v>
      </c>
      <c r="B47" s="342">
        <v>226086</v>
      </c>
      <c r="C47" s="339" t="s">
        <v>912</v>
      </c>
      <c r="D47" s="363">
        <v>42660</v>
      </c>
      <c r="E47" s="363">
        <v>49919</v>
      </c>
      <c r="F47" s="346">
        <v>3.4200000000000001E-2</v>
      </c>
      <c r="G47" s="351">
        <v>514067.79</v>
      </c>
      <c r="H47" s="351">
        <v>509097.63</v>
      </c>
      <c r="I47" s="351">
        <v>504147.36</v>
      </c>
      <c r="J47" s="351">
        <v>499217.03</v>
      </c>
      <c r="K47" s="351">
        <v>494306.69</v>
      </c>
      <c r="L47" s="351">
        <v>489416.41</v>
      </c>
      <c r="M47" s="351">
        <v>473972.83</v>
      </c>
      <c r="N47" s="351">
        <v>469221.13</v>
      </c>
      <c r="O47" s="351">
        <v>464489.36</v>
      </c>
      <c r="P47" s="351">
        <v>459777.57</v>
      </c>
      <c r="Q47" s="351">
        <v>455085.82</v>
      </c>
      <c r="R47" s="351">
        <v>450414.17</v>
      </c>
      <c r="S47" s="351">
        <f t="shared" si="5"/>
        <v>481934.4825000001</v>
      </c>
    </row>
    <row r="48" spans="1:19">
      <c r="A48" s="342">
        <f t="shared" si="6"/>
        <v>30</v>
      </c>
      <c r="B48" s="342">
        <v>226175</v>
      </c>
      <c r="C48" s="339" t="s">
        <v>865</v>
      </c>
      <c r="D48" s="363">
        <v>44454</v>
      </c>
      <c r="E48" s="363">
        <v>50298</v>
      </c>
      <c r="F48" s="346">
        <v>7.9469999999999999E-2</v>
      </c>
      <c r="G48" s="357">
        <v>0</v>
      </c>
      <c r="H48" s="357">
        <v>0</v>
      </c>
      <c r="I48" s="357">
        <v>0</v>
      </c>
      <c r="J48" s="357">
        <v>0</v>
      </c>
      <c r="K48" s="357">
        <v>0</v>
      </c>
      <c r="L48" s="357">
        <v>0</v>
      </c>
      <c r="M48" s="357">
        <v>0</v>
      </c>
      <c r="N48" s="357">
        <v>0</v>
      </c>
      <c r="O48" s="357">
        <v>0</v>
      </c>
      <c r="P48" s="357">
        <v>0</v>
      </c>
      <c r="Q48" s="357">
        <v>3456449.1</v>
      </c>
      <c r="R48" s="357">
        <v>3426354.96</v>
      </c>
      <c r="S48" s="357">
        <f t="shared" si="5"/>
        <v>573567.005</v>
      </c>
    </row>
    <row r="49" spans="1:19">
      <c r="A49" s="342">
        <f t="shared" si="6"/>
        <v>31</v>
      </c>
      <c r="B49" s="342"/>
      <c r="C49" s="339" t="s">
        <v>870</v>
      </c>
      <c r="D49" s="377"/>
      <c r="E49" s="377"/>
      <c r="F49" s="354"/>
      <c r="G49" s="351">
        <f t="shared" ref="G49:S49" si="7">SUM(G41:G48)</f>
        <v>3623445.38</v>
      </c>
      <c r="H49" s="351">
        <f t="shared" si="7"/>
        <v>3593583.1599999997</v>
      </c>
      <c r="I49" s="351">
        <f t="shared" si="7"/>
        <v>16838525.25</v>
      </c>
      <c r="J49" s="351">
        <f t="shared" si="7"/>
        <v>16808771.780000001</v>
      </c>
      <c r="K49" s="351">
        <f t="shared" si="7"/>
        <v>16413330.989999998</v>
      </c>
      <c r="L49" s="351">
        <f t="shared" si="7"/>
        <v>16297863.029999999</v>
      </c>
      <c r="M49" s="351">
        <f t="shared" si="7"/>
        <v>16029470.359999999</v>
      </c>
      <c r="N49" s="351">
        <f t="shared" si="7"/>
        <v>15915372.200000001</v>
      </c>
      <c r="O49" s="351">
        <f t="shared" si="7"/>
        <v>15801478.809999999</v>
      </c>
      <c r="P49" s="351">
        <f t="shared" si="7"/>
        <v>15687789.300000001</v>
      </c>
      <c r="Q49" s="351">
        <f t="shared" si="7"/>
        <v>19030755.050000001</v>
      </c>
      <c r="R49" s="351">
        <f t="shared" si="7"/>
        <v>18887384.239999998</v>
      </c>
      <c r="S49" s="351">
        <f t="shared" si="7"/>
        <v>14577314.129166666</v>
      </c>
    </row>
    <row r="50" spans="1:19">
      <c r="A50" s="342"/>
      <c r="B50" s="342"/>
      <c r="D50" s="377"/>
      <c r="E50" s="377"/>
      <c r="F50" s="354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</row>
    <row r="51" spans="1:19">
      <c r="A51" s="342"/>
      <c r="B51" s="342"/>
      <c r="D51" s="377"/>
      <c r="E51" s="377"/>
      <c r="F51" s="354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</row>
    <row r="52" spans="1:19">
      <c r="A52" s="342"/>
      <c r="B52" s="342"/>
      <c r="C52" s="362" t="s">
        <v>871</v>
      </c>
      <c r="D52" s="377"/>
      <c r="E52" s="377"/>
      <c r="F52" s="354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</row>
    <row r="53" spans="1:19">
      <c r="A53" s="342">
        <f>A49+1</f>
        <v>32</v>
      </c>
      <c r="B53" s="342"/>
      <c r="D53" s="370"/>
      <c r="E53" s="370"/>
      <c r="F53" s="346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  <c r="S53" s="351"/>
    </row>
    <row r="54" spans="1:19" ht="18">
      <c r="A54" s="342">
        <f>A53+1</f>
        <v>33</v>
      </c>
      <c r="B54" s="342"/>
      <c r="D54" s="370"/>
      <c r="E54" s="370"/>
      <c r="F54" s="346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</row>
    <row r="55" spans="1:19">
      <c r="A55" s="342">
        <f>A54+1</f>
        <v>34</v>
      </c>
      <c r="B55" s="342"/>
      <c r="C55" s="339" t="s">
        <v>913</v>
      </c>
      <c r="D55" s="370"/>
      <c r="E55" s="370"/>
      <c r="F55" s="346"/>
      <c r="G55" s="351">
        <f t="shared" ref="G55:S55" si="8">SUM(G53:G54)</f>
        <v>0</v>
      </c>
      <c r="H55" s="351">
        <f t="shared" si="8"/>
        <v>0</v>
      </c>
      <c r="I55" s="351">
        <f t="shared" si="8"/>
        <v>0</v>
      </c>
      <c r="J55" s="351">
        <f t="shared" si="8"/>
        <v>0</v>
      </c>
      <c r="K55" s="351">
        <f t="shared" si="8"/>
        <v>0</v>
      </c>
      <c r="L55" s="351">
        <f t="shared" si="8"/>
        <v>0</v>
      </c>
      <c r="M55" s="351">
        <f t="shared" si="8"/>
        <v>0</v>
      </c>
      <c r="N55" s="351">
        <f t="shared" si="8"/>
        <v>0</v>
      </c>
      <c r="O55" s="351">
        <f t="shared" si="8"/>
        <v>0</v>
      </c>
      <c r="P55" s="351">
        <f t="shared" si="8"/>
        <v>0</v>
      </c>
      <c r="Q55" s="351">
        <f t="shared" si="8"/>
        <v>0</v>
      </c>
      <c r="R55" s="351">
        <f t="shared" si="8"/>
        <v>0</v>
      </c>
      <c r="S55" s="351">
        <f t="shared" si="8"/>
        <v>0</v>
      </c>
    </row>
    <row r="56" spans="1:19" ht="18">
      <c r="A56" s="342"/>
      <c r="B56" s="342"/>
      <c r="D56" s="370"/>
      <c r="E56" s="370"/>
      <c r="F56" s="346"/>
      <c r="G56" s="365"/>
      <c r="H56" s="365"/>
      <c r="I56" s="365"/>
      <c r="J56" s="365"/>
      <c r="K56" s="365"/>
      <c r="L56" s="365"/>
      <c r="M56" s="365"/>
      <c r="N56" s="365"/>
      <c r="O56" s="365"/>
      <c r="P56" s="365"/>
      <c r="Q56" s="365"/>
      <c r="R56" s="365"/>
      <c r="S56" s="365"/>
    </row>
    <row r="57" spans="1:19">
      <c r="A57" s="342"/>
      <c r="B57" s="342"/>
      <c r="D57" s="370"/>
      <c r="E57" s="370"/>
      <c r="F57" s="354"/>
      <c r="G57" s="351"/>
      <c r="H57" s="351"/>
      <c r="I57" s="351"/>
      <c r="J57" s="351"/>
      <c r="K57" s="351"/>
      <c r="L57" s="351"/>
      <c r="M57" s="351"/>
      <c r="N57" s="351"/>
      <c r="O57" s="351"/>
      <c r="P57" s="351"/>
      <c r="Q57" s="351"/>
      <c r="R57" s="351"/>
      <c r="S57" s="351"/>
    </row>
    <row r="58" spans="1:19">
      <c r="A58" s="342">
        <f>A55+1</f>
        <v>35</v>
      </c>
      <c r="C58" s="339" t="s">
        <v>914</v>
      </c>
      <c r="D58" s="377"/>
      <c r="G58" s="351">
        <f>G25+G37+G49+G55</f>
        <v>42954824.689999998</v>
      </c>
      <c r="H58" s="351">
        <f t="shared" ref="H58:P58" si="9">H25+H37+H49+H55</f>
        <v>42745761.899999991</v>
      </c>
      <c r="I58" s="351">
        <f>I25+I37+I49+I55</f>
        <v>55811503.399999999</v>
      </c>
      <c r="J58" s="351">
        <f t="shared" si="9"/>
        <v>55602549.359999999</v>
      </c>
      <c r="K58" s="351">
        <f>K25+K37+K49+K55</f>
        <v>55027907.980000004</v>
      </c>
      <c r="L58" s="351">
        <f t="shared" si="9"/>
        <v>54733239.450000003</v>
      </c>
      <c r="M58" s="351">
        <f>M25+M37+M49+M55</f>
        <v>57827692.019999996</v>
      </c>
      <c r="N58" s="351">
        <f t="shared" si="9"/>
        <v>57524526.870000005</v>
      </c>
      <c r="O58" s="351">
        <f t="shared" si="9"/>
        <v>57221566.459999993</v>
      </c>
      <c r="P58" s="351">
        <f t="shared" si="9"/>
        <v>56918809.960000008</v>
      </c>
      <c r="Q58" s="351">
        <f>Q25+Q37+Q49+Q55</f>
        <v>60072708.689999998</v>
      </c>
      <c r="R58" s="351">
        <f>R25+R37+R49+R55</f>
        <v>59740270.890000001</v>
      </c>
      <c r="S58" s="351">
        <f>S25+S37+S49+S55</f>
        <v>54681780.139166668</v>
      </c>
    </row>
    <row r="59" spans="1:19">
      <c r="A59" s="342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1"/>
    </row>
    <row r="60" spans="1:19">
      <c r="B60" s="355" t="s">
        <v>873</v>
      </c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53"/>
    </row>
    <row r="61" spans="1:19">
      <c r="S61" s="351"/>
    </row>
    <row r="62" spans="1:19">
      <c r="A62" s="422" t="s">
        <v>876</v>
      </c>
      <c r="B62" s="422"/>
      <c r="C62" s="422"/>
      <c r="D62" s="422"/>
      <c r="E62" s="422"/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</row>
    <row r="63" spans="1:19">
      <c r="A63" s="422" t="s">
        <v>915</v>
      </c>
      <c r="B63" s="422"/>
      <c r="C63" s="422"/>
      <c r="D63" s="422"/>
      <c r="E63" s="422"/>
      <c r="F63" s="422"/>
      <c r="G63" s="422"/>
      <c r="H63" s="422"/>
      <c r="I63" s="422"/>
      <c r="J63" s="422"/>
      <c r="K63" s="422"/>
      <c r="L63" s="422"/>
      <c r="M63" s="422"/>
      <c r="N63" s="422"/>
      <c r="O63" s="422"/>
      <c r="P63" s="422"/>
      <c r="Q63" s="422"/>
      <c r="R63" s="422"/>
      <c r="S63" s="422"/>
    </row>
  </sheetData>
  <mergeCells count="2">
    <mergeCell ref="A62:S62"/>
    <mergeCell ref="A63:S63"/>
  </mergeCells>
  <pageMargins left="0.25" right="0.25" top="0.75" bottom="0.5" header="0.25" footer="0.25"/>
  <pageSetup scale="5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T58"/>
  <sheetViews>
    <sheetView zoomScale="80" zoomScaleNormal="80" workbookViewId="0">
      <selection activeCell="G45" sqref="G45"/>
    </sheetView>
  </sheetViews>
  <sheetFormatPr defaultRowHeight="15.75"/>
  <cols>
    <col min="1" max="1" width="5.140625" style="339" customWidth="1"/>
    <col min="2" max="2" width="9.140625" style="339"/>
    <col min="3" max="3" width="42.42578125" style="339" bestFit="1" customWidth="1"/>
    <col min="4" max="4" width="12.85546875" style="339" bestFit="1" customWidth="1"/>
    <col min="5" max="5" width="12.140625" style="339" customWidth="1"/>
    <col min="6" max="6" width="9.140625" style="339" bestFit="1" customWidth="1"/>
    <col min="7" max="12" width="15.5703125" style="339" customWidth="1"/>
    <col min="13" max="18" width="16.42578125" style="339" customWidth="1"/>
    <col min="19" max="19" width="15.42578125" style="339" customWidth="1"/>
    <col min="20" max="20" width="7.140625" style="339" customWidth="1"/>
    <col min="21" max="16384" width="9.140625" style="339"/>
  </cols>
  <sheetData>
    <row r="1" spans="1:20">
      <c r="A1" s="339" t="s">
        <v>0</v>
      </c>
    </row>
    <row r="2" spans="1:20">
      <c r="A2" s="339" t="str">
        <f>WACC!A2</f>
        <v>Docket No. NG22-___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</row>
    <row r="3" spans="1:20">
      <c r="A3" s="339" t="s">
        <v>916</v>
      </c>
    </row>
    <row r="4" spans="1:20">
      <c r="A4" s="349" t="str">
        <f>WACC!A4</f>
        <v>Twelve Months Ending December 31, 2021</v>
      </c>
    </row>
    <row r="5" spans="1:20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</row>
    <row r="6" spans="1:20">
      <c r="T6" s="342"/>
    </row>
    <row r="7" spans="1:20">
      <c r="A7" s="355" t="s">
        <v>4</v>
      </c>
      <c r="D7" s="342" t="s">
        <v>815</v>
      </c>
      <c r="E7" s="342" t="s">
        <v>816</v>
      </c>
      <c r="F7" s="342" t="s">
        <v>128</v>
      </c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38" t="s">
        <v>817</v>
      </c>
    </row>
    <row r="8" spans="1:20">
      <c r="A8" s="360" t="s">
        <v>5</v>
      </c>
      <c r="B8" s="343" t="s">
        <v>356</v>
      </c>
      <c r="C8" s="344" t="s">
        <v>818</v>
      </c>
      <c r="D8" s="344" t="s">
        <v>819</v>
      </c>
      <c r="E8" s="344" t="s">
        <v>819</v>
      </c>
      <c r="F8" s="344" t="s">
        <v>272</v>
      </c>
      <c r="G8" s="361">
        <v>44197</v>
      </c>
      <c r="H8" s="361">
        <v>44228</v>
      </c>
      <c r="I8" s="361">
        <v>44256</v>
      </c>
      <c r="J8" s="361">
        <v>44287</v>
      </c>
      <c r="K8" s="361">
        <v>44317</v>
      </c>
      <c r="L8" s="361">
        <v>44348</v>
      </c>
      <c r="M8" s="361">
        <v>44378</v>
      </c>
      <c r="N8" s="361">
        <v>44409</v>
      </c>
      <c r="O8" s="361">
        <v>44440</v>
      </c>
      <c r="P8" s="361">
        <v>44470</v>
      </c>
      <c r="Q8" s="361">
        <v>44501</v>
      </c>
      <c r="R8" s="361">
        <v>44531</v>
      </c>
      <c r="S8" s="344" t="s">
        <v>676</v>
      </c>
    </row>
    <row r="9" spans="1:20">
      <c r="B9" s="342" t="s">
        <v>53</v>
      </c>
      <c r="C9" s="342" t="s">
        <v>54</v>
      </c>
      <c r="D9" s="342" t="s">
        <v>97</v>
      </c>
      <c r="E9" s="342" t="s">
        <v>98</v>
      </c>
      <c r="F9" s="342" t="s">
        <v>99</v>
      </c>
      <c r="G9" s="342" t="s">
        <v>100</v>
      </c>
      <c r="H9" s="342" t="s">
        <v>152</v>
      </c>
      <c r="I9" s="342" t="s">
        <v>153</v>
      </c>
      <c r="J9" s="342" t="s">
        <v>154</v>
      </c>
      <c r="K9" s="342" t="s">
        <v>155</v>
      </c>
      <c r="L9" s="342" t="s">
        <v>156</v>
      </c>
      <c r="M9" s="342" t="s">
        <v>157</v>
      </c>
      <c r="N9" s="342" t="s">
        <v>158</v>
      </c>
      <c r="O9" s="342" t="s">
        <v>159</v>
      </c>
      <c r="P9" s="342" t="s">
        <v>160</v>
      </c>
      <c r="Q9" s="342" t="s">
        <v>161</v>
      </c>
      <c r="R9" s="342" t="s">
        <v>268</v>
      </c>
      <c r="S9" s="342" t="s">
        <v>162</v>
      </c>
    </row>
    <row r="10" spans="1:20">
      <c r="C10" s="362"/>
      <c r="D10" s="342"/>
      <c r="E10" s="342"/>
      <c r="F10" s="342"/>
      <c r="S10" s="342"/>
    </row>
    <row r="11" spans="1:20">
      <c r="C11" s="362"/>
      <c r="D11" s="342"/>
      <c r="E11" s="342"/>
      <c r="F11" s="342"/>
      <c r="S11" s="342"/>
    </row>
    <row r="12" spans="1:20">
      <c r="C12" s="362" t="s">
        <v>820</v>
      </c>
      <c r="D12" s="342"/>
      <c r="E12" s="342"/>
      <c r="F12" s="342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75"/>
    </row>
    <row r="13" spans="1:20">
      <c r="A13" s="342">
        <v>1</v>
      </c>
      <c r="B13" s="342">
        <v>181079</v>
      </c>
      <c r="C13" s="355" t="s">
        <v>821</v>
      </c>
      <c r="D13" s="363">
        <v>41536</v>
      </c>
      <c r="E13" s="363">
        <v>45184</v>
      </c>
      <c r="F13" s="364">
        <v>3.6999999999999998E-2</v>
      </c>
      <c r="G13" s="351">
        <v>497129.06</v>
      </c>
      <c r="H13" s="351">
        <v>481347.19</v>
      </c>
      <c r="I13" s="351">
        <v>465565.31</v>
      </c>
      <c r="J13" s="351">
        <v>449783.44</v>
      </c>
      <c r="K13" s="351">
        <v>434001.56</v>
      </c>
      <c r="L13" s="351">
        <v>418219.69</v>
      </c>
      <c r="M13" s="351">
        <v>402437.81</v>
      </c>
      <c r="N13" s="351">
        <v>386655.94</v>
      </c>
      <c r="O13" s="351">
        <v>370874.06</v>
      </c>
      <c r="P13" s="351">
        <v>355092.19</v>
      </c>
      <c r="Q13" s="351">
        <v>339310.31</v>
      </c>
      <c r="R13" s="351">
        <v>323528.44</v>
      </c>
      <c r="S13" s="351">
        <f>(SUM(G13:R13)/12)</f>
        <v>410328.75</v>
      </c>
    </row>
    <row r="14" spans="1:20">
      <c r="A14" s="342">
        <v>2</v>
      </c>
      <c r="B14" s="342">
        <v>181080</v>
      </c>
      <c r="C14" s="355" t="s">
        <v>822</v>
      </c>
      <c r="D14" s="363">
        <v>41536</v>
      </c>
      <c r="E14" s="363">
        <v>52489</v>
      </c>
      <c r="F14" s="364">
        <v>4.8000000000000001E-2</v>
      </c>
      <c r="G14" s="351">
        <v>2524173.34</v>
      </c>
      <c r="H14" s="351">
        <v>2514876.2000000002</v>
      </c>
      <c r="I14" s="351">
        <v>2505579.06</v>
      </c>
      <c r="J14" s="351">
        <v>2496281.92</v>
      </c>
      <c r="K14" s="351">
        <v>2486984.7799999998</v>
      </c>
      <c r="L14" s="351">
        <v>2477687.64</v>
      </c>
      <c r="M14" s="351">
        <v>2468390.5</v>
      </c>
      <c r="N14" s="351">
        <v>2459093.36</v>
      </c>
      <c r="O14" s="351">
        <v>2449796.2200000002</v>
      </c>
      <c r="P14" s="351">
        <v>2440499.08</v>
      </c>
      <c r="Q14" s="351">
        <v>2431201.94</v>
      </c>
      <c r="R14" s="351">
        <v>2421904.7999999998</v>
      </c>
      <c r="S14" s="351">
        <f t="shared" ref="S14:S26" si="0">(SUM(G14:R14)/12)</f>
        <v>2473039.0699999998</v>
      </c>
    </row>
    <row r="15" spans="1:20">
      <c r="A15" s="342">
        <v>3</v>
      </c>
      <c r="B15" s="342">
        <v>181082</v>
      </c>
      <c r="C15" s="355" t="s">
        <v>823</v>
      </c>
      <c r="D15" s="363">
        <v>41732</v>
      </c>
      <c r="E15" s="363">
        <v>45580</v>
      </c>
      <c r="F15" s="364">
        <v>3.5000000000000003E-2</v>
      </c>
      <c r="G15" s="351">
        <v>832969.13</v>
      </c>
      <c r="H15" s="351">
        <v>814250.72</v>
      </c>
      <c r="I15" s="351">
        <v>795532.31</v>
      </c>
      <c r="J15" s="351">
        <v>776813.9</v>
      </c>
      <c r="K15" s="351">
        <v>758095.49</v>
      </c>
      <c r="L15" s="351">
        <v>739377.08</v>
      </c>
      <c r="M15" s="351">
        <v>720658.67</v>
      </c>
      <c r="N15" s="351">
        <v>701940.26</v>
      </c>
      <c r="O15" s="351">
        <v>683221.85</v>
      </c>
      <c r="P15" s="351">
        <v>664503.43999999994</v>
      </c>
      <c r="Q15" s="351">
        <v>645785.03</v>
      </c>
      <c r="R15" s="351">
        <v>627066.62</v>
      </c>
      <c r="S15" s="351">
        <f t="shared" si="0"/>
        <v>730017.875</v>
      </c>
    </row>
    <row r="16" spans="1:20">
      <c r="A16" s="342">
        <v>4</v>
      </c>
      <c r="B16" s="342">
        <v>181083</v>
      </c>
      <c r="C16" s="355" t="s">
        <v>824</v>
      </c>
      <c r="D16" s="363">
        <v>41732</v>
      </c>
      <c r="E16" s="363">
        <v>52885</v>
      </c>
      <c r="F16" s="364">
        <v>4.3999999999999997E-2</v>
      </c>
      <c r="G16" s="351">
        <v>3132323.66</v>
      </c>
      <c r="H16" s="351">
        <v>3121313.74</v>
      </c>
      <c r="I16" s="351">
        <v>3110303.81</v>
      </c>
      <c r="J16" s="351">
        <v>3099293.89</v>
      </c>
      <c r="K16" s="351">
        <v>3088283.96</v>
      </c>
      <c r="L16" s="351">
        <v>3077274.04</v>
      </c>
      <c r="M16" s="351">
        <v>3066264.11</v>
      </c>
      <c r="N16" s="351">
        <v>3055254.19</v>
      </c>
      <c r="O16" s="351">
        <v>3044244.26</v>
      </c>
      <c r="P16" s="351">
        <v>3033234.34</v>
      </c>
      <c r="Q16" s="351">
        <v>3022224.41</v>
      </c>
      <c r="R16" s="351">
        <v>3011214.49</v>
      </c>
      <c r="S16" s="351">
        <f t="shared" si="0"/>
        <v>3071769.0750000007</v>
      </c>
    </row>
    <row r="17" spans="1:19">
      <c r="A17" s="342">
        <v>5</v>
      </c>
      <c r="B17" s="342">
        <v>181084</v>
      </c>
      <c r="C17" s="355" t="s">
        <v>825</v>
      </c>
      <c r="D17" s="363">
        <v>42292</v>
      </c>
      <c r="E17" s="363">
        <v>45580</v>
      </c>
      <c r="F17" s="364">
        <v>3.5000000000000003E-2</v>
      </c>
      <c r="G17" s="351">
        <v>703495.83</v>
      </c>
      <c r="H17" s="351">
        <v>687669.73</v>
      </c>
      <c r="I17" s="351">
        <v>671843.63</v>
      </c>
      <c r="J17" s="351">
        <v>656017.53</v>
      </c>
      <c r="K17" s="351">
        <v>640191.43000000005</v>
      </c>
      <c r="L17" s="351">
        <v>624365.32999999996</v>
      </c>
      <c r="M17" s="351">
        <v>608539.23</v>
      </c>
      <c r="N17" s="351">
        <v>592713.13</v>
      </c>
      <c r="O17" s="351">
        <v>576887.03</v>
      </c>
      <c r="P17" s="351">
        <v>561060.93000000005</v>
      </c>
      <c r="Q17" s="351">
        <v>545234.82999999996</v>
      </c>
      <c r="R17" s="351">
        <v>529408.73</v>
      </c>
      <c r="S17" s="351">
        <f t="shared" si="0"/>
        <v>616452.27999999991</v>
      </c>
    </row>
    <row r="18" spans="1:19">
      <c r="A18" s="342">
        <v>6</v>
      </c>
      <c r="B18" s="342">
        <v>181085</v>
      </c>
      <c r="C18" s="355" t="s">
        <v>826</v>
      </c>
      <c r="D18" s="363">
        <v>42292</v>
      </c>
      <c r="E18" s="363">
        <v>53448</v>
      </c>
      <c r="F18" s="364">
        <v>4.2500000000000003E-2</v>
      </c>
      <c r="G18" s="351">
        <v>4110321.08</v>
      </c>
      <c r="H18" s="351">
        <v>4096753.51</v>
      </c>
      <c r="I18" s="351">
        <v>4083185.94</v>
      </c>
      <c r="J18" s="351">
        <v>4069618.37</v>
      </c>
      <c r="K18" s="351">
        <v>4056050.8</v>
      </c>
      <c r="L18" s="351">
        <v>4042483.23</v>
      </c>
      <c r="M18" s="351">
        <v>4028915.66</v>
      </c>
      <c r="N18" s="351">
        <v>4015348.09</v>
      </c>
      <c r="O18" s="351">
        <v>4001780.52</v>
      </c>
      <c r="P18" s="351">
        <v>3988212.95</v>
      </c>
      <c r="Q18" s="351">
        <v>3974645.38</v>
      </c>
      <c r="R18" s="351">
        <v>3961077.81</v>
      </c>
      <c r="S18" s="351">
        <f t="shared" si="0"/>
        <v>4035699.4450000008</v>
      </c>
    </row>
    <row r="19" spans="1:19">
      <c r="A19" s="342">
        <v>7</v>
      </c>
      <c r="B19" s="342">
        <v>181087</v>
      </c>
      <c r="C19" s="355" t="s">
        <v>827</v>
      </c>
      <c r="D19" s="363">
        <v>42767</v>
      </c>
      <c r="E19" s="363">
        <v>46508</v>
      </c>
      <c r="F19" s="364">
        <v>3.1E-2</v>
      </c>
      <c r="G19" s="351">
        <v>1893365.03</v>
      </c>
      <c r="H19" s="351">
        <v>1868120.16</v>
      </c>
      <c r="I19" s="351">
        <v>1842875.29</v>
      </c>
      <c r="J19" s="351">
        <v>1817630.42</v>
      </c>
      <c r="K19" s="351">
        <v>1792385.55</v>
      </c>
      <c r="L19" s="351">
        <v>1767140.68</v>
      </c>
      <c r="M19" s="351">
        <v>1741895.81</v>
      </c>
      <c r="N19" s="351">
        <v>1716650.94</v>
      </c>
      <c r="O19" s="351">
        <v>1691406.07</v>
      </c>
      <c r="P19" s="351">
        <v>1666161.2</v>
      </c>
      <c r="Q19" s="351">
        <v>1640916.33</v>
      </c>
      <c r="R19" s="351">
        <v>1615671.46</v>
      </c>
      <c r="S19" s="351">
        <f t="shared" si="0"/>
        <v>1754518.2450000003</v>
      </c>
    </row>
    <row r="20" spans="1:19">
      <c r="A20" s="342">
        <v>8</v>
      </c>
      <c r="B20" s="342">
        <v>181088</v>
      </c>
      <c r="C20" s="355" t="s">
        <v>828</v>
      </c>
      <c r="D20" s="363">
        <v>42767</v>
      </c>
      <c r="E20" s="363">
        <v>53905</v>
      </c>
      <c r="F20" s="364">
        <v>3.95E-2</v>
      </c>
      <c r="G20" s="351">
        <v>4209615.2</v>
      </c>
      <c r="H20" s="351">
        <v>4196377.42</v>
      </c>
      <c r="I20" s="351">
        <v>4183139.64</v>
      </c>
      <c r="J20" s="351">
        <v>4169901.86</v>
      </c>
      <c r="K20" s="351">
        <v>4156664.08</v>
      </c>
      <c r="L20" s="351">
        <v>4143426.3</v>
      </c>
      <c r="M20" s="351">
        <v>4130188.52</v>
      </c>
      <c r="N20" s="351">
        <v>4116950.74</v>
      </c>
      <c r="O20" s="351">
        <v>4103712.96</v>
      </c>
      <c r="P20" s="351">
        <v>4090475.18</v>
      </c>
      <c r="Q20" s="351">
        <v>4077237.4</v>
      </c>
      <c r="R20" s="351">
        <v>4063999.62</v>
      </c>
      <c r="S20" s="351">
        <f t="shared" si="0"/>
        <v>4136807.41</v>
      </c>
    </row>
    <row r="21" spans="1:19">
      <c r="A21" s="342">
        <v>9</v>
      </c>
      <c r="B21" s="342">
        <v>181089</v>
      </c>
      <c r="C21" s="355" t="s">
        <v>829</v>
      </c>
      <c r="D21" s="363">
        <v>43131</v>
      </c>
      <c r="E21" s="363">
        <v>17746</v>
      </c>
      <c r="F21" s="364">
        <v>3.6499999999999998E-2</v>
      </c>
      <c r="G21" s="351">
        <v>5890026.3099999996</v>
      </c>
      <c r="H21" s="351">
        <v>5872177.75</v>
      </c>
      <c r="I21" s="351">
        <v>5854329.1900000004</v>
      </c>
      <c r="J21" s="351">
        <v>5836480.6299999999</v>
      </c>
      <c r="K21" s="351">
        <v>5818632.0700000003</v>
      </c>
      <c r="L21" s="351">
        <v>5800783.5099999998</v>
      </c>
      <c r="M21" s="351">
        <v>5782934.9500000002</v>
      </c>
      <c r="N21" s="351">
        <v>5765086.3899999997</v>
      </c>
      <c r="O21" s="351">
        <v>5747237.8300000001</v>
      </c>
      <c r="P21" s="351">
        <v>5729389.2699999996</v>
      </c>
      <c r="Q21" s="351">
        <v>5711540.71</v>
      </c>
      <c r="R21" s="351">
        <v>5693692.1500000004</v>
      </c>
      <c r="S21" s="351">
        <f t="shared" si="0"/>
        <v>5791859.2300000004</v>
      </c>
    </row>
    <row r="22" spans="1:19">
      <c r="A22" s="342">
        <v>10</v>
      </c>
      <c r="B22" s="342">
        <v>181090</v>
      </c>
      <c r="C22" s="355" t="s">
        <v>830</v>
      </c>
      <c r="D22" s="363">
        <v>43472</v>
      </c>
      <c r="E22" s="363">
        <v>47223</v>
      </c>
      <c r="F22" s="364">
        <v>3.6499999999999998E-2</v>
      </c>
      <c r="G22" s="351">
        <v>2704305.59</v>
      </c>
      <c r="H22" s="351">
        <v>2676850.71</v>
      </c>
      <c r="I22" s="351">
        <v>2649395.83</v>
      </c>
      <c r="J22" s="351">
        <v>2621940.9500000002</v>
      </c>
      <c r="K22" s="351">
        <v>2594486.0699999998</v>
      </c>
      <c r="L22" s="351">
        <v>2567031.19</v>
      </c>
      <c r="M22" s="351">
        <v>2539576.31</v>
      </c>
      <c r="N22" s="351">
        <v>2512121.4300000002</v>
      </c>
      <c r="O22" s="351">
        <v>2484666.5499999998</v>
      </c>
      <c r="P22" s="351">
        <v>2457211.67</v>
      </c>
      <c r="Q22" s="351">
        <v>2429756.79</v>
      </c>
      <c r="R22" s="351">
        <v>2402301.91</v>
      </c>
      <c r="S22" s="351">
        <f t="shared" si="0"/>
        <v>2553303.7499999995</v>
      </c>
    </row>
    <row r="23" spans="1:19">
      <c r="A23" s="342">
        <v>11</v>
      </c>
      <c r="B23" s="342">
        <v>181091</v>
      </c>
      <c r="C23" s="355" t="s">
        <v>831</v>
      </c>
      <c r="D23" s="363">
        <v>43472</v>
      </c>
      <c r="E23" s="363">
        <v>54619</v>
      </c>
      <c r="F23" s="364">
        <v>4.2500000000000003E-2</v>
      </c>
      <c r="G23" s="351">
        <v>7466011.8499999996</v>
      </c>
      <c r="H23" s="351">
        <v>7444149.4400000004</v>
      </c>
      <c r="I23" s="351">
        <v>7422287.0300000003</v>
      </c>
      <c r="J23" s="351">
        <v>7400424.6200000001</v>
      </c>
      <c r="K23" s="351">
        <v>7378562.21</v>
      </c>
      <c r="L23" s="351">
        <v>7356699.7999999998</v>
      </c>
      <c r="M23" s="351">
        <v>7334837.3899999997</v>
      </c>
      <c r="N23" s="351">
        <v>7312974.9800000004</v>
      </c>
      <c r="O23" s="351">
        <v>7291112.5700000003</v>
      </c>
      <c r="P23" s="351">
        <v>7269250.1600000001</v>
      </c>
      <c r="Q23" s="351">
        <v>7247387.75</v>
      </c>
      <c r="R23" s="351">
        <v>7225525.3399999999</v>
      </c>
      <c r="S23" s="351">
        <f t="shared" si="0"/>
        <v>7345768.5949999997</v>
      </c>
    </row>
    <row r="24" spans="1:19">
      <c r="A24" s="342">
        <v>12</v>
      </c>
      <c r="B24" s="342">
        <v>181092</v>
      </c>
      <c r="C24" s="355" t="s">
        <v>891</v>
      </c>
      <c r="D24" s="363">
        <v>43739</v>
      </c>
      <c r="E24" s="363">
        <v>54893</v>
      </c>
      <c r="F24" s="364">
        <v>3.15E-2</v>
      </c>
      <c r="G24" s="351">
        <v>5131072.53</v>
      </c>
      <c r="H24" s="351">
        <v>5115914.2699999996</v>
      </c>
      <c r="I24" s="351">
        <v>5100756.01</v>
      </c>
      <c r="J24" s="351">
        <v>5085597.75</v>
      </c>
      <c r="K24" s="351">
        <v>5070439.49</v>
      </c>
      <c r="L24" s="351">
        <v>5055281.2300000004</v>
      </c>
      <c r="M24" s="351">
        <v>5040122.97</v>
      </c>
      <c r="N24" s="351">
        <v>5024964.71</v>
      </c>
      <c r="O24" s="351">
        <v>5009806.45</v>
      </c>
      <c r="P24" s="351">
        <v>4994648.1900000004</v>
      </c>
      <c r="Q24" s="351">
        <v>4979489.93</v>
      </c>
      <c r="R24" s="351">
        <v>4964331.67</v>
      </c>
      <c r="S24" s="351">
        <f t="shared" si="0"/>
        <v>5047702.1000000006</v>
      </c>
    </row>
    <row r="25" spans="1:19">
      <c r="A25" s="342">
        <v>13</v>
      </c>
      <c r="B25" s="342">
        <v>181093</v>
      </c>
      <c r="C25" s="355" t="s">
        <v>830</v>
      </c>
      <c r="D25" s="363">
        <v>43739</v>
      </c>
      <c r="E25" s="363">
        <v>47223</v>
      </c>
      <c r="F25" s="364">
        <v>3.6499999999999998E-2</v>
      </c>
      <c r="G25" s="351">
        <v>1229786.8899999999</v>
      </c>
      <c r="H25" s="351">
        <v>1217301.74</v>
      </c>
      <c r="I25" s="351">
        <v>1204816.5900000001</v>
      </c>
      <c r="J25" s="351">
        <v>1192331.44</v>
      </c>
      <c r="K25" s="351">
        <v>1179846.29</v>
      </c>
      <c r="L25" s="351">
        <v>1167361.1399999999</v>
      </c>
      <c r="M25" s="351">
        <v>1154875.99</v>
      </c>
      <c r="N25" s="351">
        <v>1142390.8400000001</v>
      </c>
      <c r="O25" s="351">
        <v>1129905.69</v>
      </c>
      <c r="P25" s="351">
        <v>1117420.54</v>
      </c>
      <c r="Q25" s="351">
        <v>1104935.3899999999</v>
      </c>
      <c r="R25" s="351">
        <v>1092450.24</v>
      </c>
      <c r="S25" s="351">
        <f t="shared" si="0"/>
        <v>1161118.5649999999</v>
      </c>
    </row>
    <row r="26" spans="1:19">
      <c r="A26" s="342">
        <v>14</v>
      </c>
      <c r="B26" s="342">
        <v>181094</v>
      </c>
      <c r="C26" s="355" t="s">
        <v>892</v>
      </c>
      <c r="D26" s="363">
        <v>44378</v>
      </c>
      <c r="E26" s="363">
        <v>55732</v>
      </c>
      <c r="F26" s="364">
        <v>2.7E-2</v>
      </c>
      <c r="G26" s="357">
        <v>0</v>
      </c>
      <c r="H26" s="357">
        <v>0</v>
      </c>
      <c r="I26" s="357">
        <v>0</v>
      </c>
      <c r="J26" s="357">
        <v>0</v>
      </c>
      <c r="K26" s="357">
        <v>0</v>
      </c>
      <c r="L26" s="357">
        <v>0</v>
      </c>
      <c r="M26" s="357">
        <v>4611147.17</v>
      </c>
      <c r="N26" s="357">
        <v>4593816.28</v>
      </c>
      <c r="O26" s="357">
        <v>4580984.3899999997</v>
      </c>
      <c r="P26" s="357">
        <v>4568152.5</v>
      </c>
      <c r="Q26" s="357">
        <v>4787794.21</v>
      </c>
      <c r="R26" s="357">
        <v>4629991.54</v>
      </c>
      <c r="S26" s="357">
        <f t="shared" si="0"/>
        <v>2314323.8408333333</v>
      </c>
    </row>
    <row r="27" spans="1:19">
      <c r="A27" s="342">
        <v>15</v>
      </c>
      <c r="B27" s="342"/>
      <c r="C27" s="355" t="s">
        <v>835</v>
      </c>
      <c r="D27" s="363"/>
      <c r="E27" s="363"/>
      <c r="F27" s="364"/>
      <c r="G27" s="351">
        <f>SUM(G13:G26)</f>
        <v>40324595.5</v>
      </c>
      <c r="H27" s="351">
        <f t="shared" ref="H27:S27" si="1">SUM(H13:H26)</f>
        <v>40107102.580000006</v>
      </c>
      <c r="I27" s="351">
        <f t="shared" si="1"/>
        <v>39889609.640000008</v>
      </c>
      <c r="J27" s="351">
        <f t="shared" si="1"/>
        <v>39672116.719999999</v>
      </c>
      <c r="K27" s="351">
        <f t="shared" si="1"/>
        <v>39454623.780000001</v>
      </c>
      <c r="L27" s="351">
        <f t="shared" si="1"/>
        <v>39237130.859999999</v>
      </c>
      <c r="M27" s="351">
        <f t="shared" si="1"/>
        <v>43630785.090000004</v>
      </c>
      <c r="N27" s="351">
        <f t="shared" si="1"/>
        <v>43395961.280000001</v>
      </c>
      <c r="O27" s="351">
        <f t="shared" si="1"/>
        <v>43165636.450000003</v>
      </c>
      <c r="P27" s="351">
        <f t="shared" si="1"/>
        <v>42935311.640000001</v>
      </c>
      <c r="Q27" s="351">
        <f t="shared" si="1"/>
        <v>42937460.410000004</v>
      </c>
      <c r="R27" s="351">
        <f t="shared" si="1"/>
        <v>42562164.820000008</v>
      </c>
      <c r="S27" s="351">
        <f t="shared" si="1"/>
        <v>41442708.230833337</v>
      </c>
    </row>
    <row r="28" spans="1:19">
      <c r="A28" s="342"/>
      <c r="D28" s="342"/>
      <c r="E28" s="342"/>
      <c r="F28" s="342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</row>
    <row r="29" spans="1:19">
      <c r="A29" s="342"/>
      <c r="B29" s="342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</row>
    <row r="30" spans="1:19">
      <c r="A30" s="342"/>
      <c r="B30" s="342"/>
      <c r="C30" s="362" t="s">
        <v>836</v>
      </c>
      <c r="D30" s="342"/>
      <c r="E30" s="342"/>
      <c r="F30" s="342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</row>
    <row r="31" spans="1:19">
      <c r="A31" s="342">
        <f>A27+1</f>
        <v>16</v>
      </c>
      <c r="B31" s="342">
        <v>181013</v>
      </c>
      <c r="C31" s="339" t="s">
        <v>837</v>
      </c>
      <c r="D31" s="366" t="s">
        <v>894</v>
      </c>
      <c r="E31" s="366" t="s">
        <v>895</v>
      </c>
      <c r="F31" s="342" t="s">
        <v>840</v>
      </c>
      <c r="G31" s="351">
        <v>32051.47</v>
      </c>
      <c r="H31" s="351">
        <v>31339.22</v>
      </c>
      <c r="I31" s="351">
        <v>30626.959999999999</v>
      </c>
      <c r="J31" s="351">
        <v>29914.71</v>
      </c>
      <c r="K31" s="351">
        <v>29202.45</v>
      </c>
      <c r="L31" s="351">
        <v>28490.2</v>
      </c>
      <c r="M31" s="351">
        <v>27777.94</v>
      </c>
      <c r="N31" s="351">
        <v>27065.69</v>
      </c>
      <c r="O31" s="351">
        <v>26353.43</v>
      </c>
      <c r="P31" s="351">
        <v>25641.18</v>
      </c>
      <c r="Q31" s="351">
        <v>24928.92</v>
      </c>
      <c r="R31" s="351">
        <v>24216.67</v>
      </c>
      <c r="S31" s="351">
        <f>(SUM(G31:R31)/12)</f>
        <v>28134.069999999996</v>
      </c>
    </row>
    <row r="32" spans="1:19">
      <c r="A32" s="342">
        <f>A31+1</f>
        <v>17</v>
      </c>
      <c r="B32" s="342">
        <v>181017</v>
      </c>
      <c r="C32" s="339" t="s">
        <v>841</v>
      </c>
      <c r="D32" s="366" t="s">
        <v>901</v>
      </c>
      <c r="E32" s="366" t="s">
        <v>917</v>
      </c>
      <c r="F32" s="342" t="s">
        <v>840</v>
      </c>
      <c r="G32" s="351">
        <v>343410.55</v>
      </c>
      <c r="H32" s="351">
        <v>341574.13</v>
      </c>
      <c r="I32" s="351">
        <v>339737.71</v>
      </c>
      <c r="J32" s="351">
        <v>337901.29</v>
      </c>
      <c r="K32" s="351">
        <v>336064.87</v>
      </c>
      <c r="L32" s="351">
        <v>334228.45</v>
      </c>
      <c r="M32" s="351">
        <v>332392.03000000003</v>
      </c>
      <c r="N32" s="351">
        <v>330555.61</v>
      </c>
      <c r="O32" s="351">
        <v>328719.19</v>
      </c>
      <c r="P32" s="351">
        <v>326882.77</v>
      </c>
      <c r="Q32" s="351">
        <v>325046.34999999998</v>
      </c>
      <c r="R32" s="351">
        <v>323209.93</v>
      </c>
      <c r="S32" s="351">
        <f t="shared" ref="S32:S38" si="2">(SUM(G32:R32)/12)</f>
        <v>333310.24</v>
      </c>
    </row>
    <row r="33" spans="1:19">
      <c r="A33" s="342">
        <f t="shared" ref="A33:A39" si="3">A32+1</f>
        <v>18</v>
      </c>
      <c r="B33" s="342">
        <v>181019</v>
      </c>
      <c r="C33" s="339" t="s">
        <v>844</v>
      </c>
      <c r="D33" s="370">
        <v>42712</v>
      </c>
      <c r="E33" s="370">
        <v>17137</v>
      </c>
      <c r="F33" s="342" t="s">
        <v>840</v>
      </c>
      <c r="G33" s="351">
        <v>439237.13</v>
      </c>
      <c r="H33" s="351">
        <v>437820.24</v>
      </c>
      <c r="I33" s="351">
        <v>436403.35</v>
      </c>
      <c r="J33" s="351">
        <v>434986.46</v>
      </c>
      <c r="K33" s="351">
        <v>433569.57</v>
      </c>
      <c r="L33" s="351">
        <v>432152.68</v>
      </c>
      <c r="M33" s="351">
        <v>430735.79</v>
      </c>
      <c r="N33" s="351">
        <v>429318.9</v>
      </c>
      <c r="O33" s="351">
        <v>427902.01</v>
      </c>
      <c r="P33" s="351">
        <v>426485.12</v>
      </c>
      <c r="Q33" s="351">
        <v>425068.23</v>
      </c>
      <c r="R33" s="351">
        <v>423651.34</v>
      </c>
      <c r="S33" s="351">
        <f t="shared" si="2"/>
        <v>431444.23500000004</v>
      </c>
    </row>
    <row r="34" spans="1:19">
      <c r="A34" s="342">
        <f t="shared" si="3"/>
        <v>19</v>
      </c>
      <c r="B34" s="342">
        <v>181020</v>
      </c>
      <c r="C34" s="339" t="s">
        <v>847</v>
      </c>
      <c r="D34" s="366" t="s">
        <v>918</v>
      </c>
      <c r="E34" s="366" t="s">
        <v>919</v>
      </c>
      <c r="F34" s="342" t="s">
        <v>840</v>
      </c>
      <c r="G34" s="351">
        <v>924068.12</v>
      </c>
      <c r="H34" s="351">
        <v>921198.34</v>
      </c>
      <c r="I34" s="351">
        <v>918328.56</v>
      </c>
      <c r="J34" s="351">
        <v>915458.78</v>
      </c>
      <c r="K34" s="351">
        <v>912589</v>
      </c>
      <c r="L34" s="351">
        <v>909719.22</v>
      </c>
      <c r="M34" s="351">
        <v>906849.44</v>
      </c>
      <c r="N34" s="351">
        <v>903979.66</v>
      </c>
      <c r="O34" s="351">
        <v>901109.88</v>
      </c>
      <c r="P34" s="351">
        <v>898240.1</v>
      </c>
      <c r="Q34" s="351">
        <v>895370.32</v>
      </c>
      <c r="R34" s="351">
        <v>892500.54</v>
      </c>
      <c r="S34" s="351">
        <f t="shared" si="2"/>
        <v>908284.33000000007</v>
      </c>
    </row>
    <row r="35" spans="1:19">
      <c r="A35" s="342">
        <f t="shared" si="3"/>
        <v>20</v>
      </c>
      <c r="B35" s="342">
        <v>181041</v>
      </c>
      <c r="C35" s="339" t="s">
        <v>850</v>
      </c>
      <c r="D35" s="366" t="s">
        <v>897</v>
      </c>
      <c r="E35" s="366" t="s">
        <v>905</v>
      </c>
      <c r="F35" s="342" t="s">
        <v>840</v>
      </c>
      <c r="G35" s="351">
        <v>11375</v>
      </c>
      <c r="H35" s="351">
        <v>10880.43</v>
      </c>
      <c r="I35" s="351">
        <v>10385.870000000001</v>
      </c>
      <c r="J35" s="351">
        <v>9891.2999999999993</v>
      </c>
      <c r="K35" s="351">
        <v>9396.74</v>
      </c>
      <c r="L35" s="351">
        <v>8902.17</v>
      </c>
      <c r="M35" s="351">
        <v>8407.61</v>
      </c>
      <c r="N35" s="351">
        <v>7913.04</v>
      </c>
      <c r="O35" s="351">
        <v>7418.48</v>
      </c>
      <c r="P35" s="351">
        <v>6923.91</v>
      </c>
      <c r="Q35" s="351">
        <v>6429.35</v>
      </c>
      <c r="R35" s="351">
        <v>5934.78</v>
      </c>
      <c r="S35" s="351">
        <f t="shared" si="2"/>
        <v>8654.89</v>
      </c>
    </row>
    <row r="36" spans="1:19">
      <c r="A36" s="342">
        <f t="shared" si="3"/>
        <v>21</v>
      </c>
      <c r="B36" s="342">
        <v>181042</v>
      </c>
      <c r="C36" s="339" t="s">
        <v>853</v>
      </c>
      <c r="D36" s="366" t="s">
        <v>906</v>
      </c>
      <c r="E36" s="366" t="s">
        <v>907</v>
      </c>
      <c r="F36" s="342" t="s">
        <v>840</v>
      </c>
      <c r="G36" s="351">
        <v>25084.29</v>
      </c>
      <c r="H36" s="351">
        <v>24550.58</v>
      </c>
      <c r="I36" s="351">
        <v>24016.87</v>
      </c>
      <c r="J36" s="351">
        <v>23483.16</v>
      </c>
      <c r="K36" s="351">
        <v>22949.45</v>
      </c>
      <c r="L36" s="351">
        <v>22415.74</v>
      </c>
      <c r="M36" s="351">
        <v>21882.03</v>
      </c>
      <c r="N36" s="351">
        <v>21348.32</v>
      </c>
      <c r="O36" s="351">
        <v>20814.61</v>
      </c>
      <c r="P36" s="351">
        <v>20280.900000000001</v>
      </c>
      <c r="Q36" s="351">
        <v>19747.189999999999</v>
      </c>
      <c r="R36" s="351">
        <v>19213.48</v>
      </c>
      <c r="S36" s="351">
        <f t="shared" si="2"/>
        <v>22148.884999999998</v>
      </c>
    </row>
    <row r="37" spans="1:19">
      <c r="A37" s="342">
        <f t="shared" si="3"/>
        <v>22</v>
      </c>
      <c r="B37" s="342">
        <v>181076</v>
      </c>
      <c r="C37" s="339" t="s">
        <v>856</v>
      </c>
      <c r="D37" s="368">
        <v>39630</v>
      </c>
      <c r="E37" s="366" t="s">
        <v>908</v>
      </c>
      <c r="F37" s="342" t="s">
        <v>840</v>
      </c>
      <c r="G37" s="351">
        <v>219268.58</v>
      </c>
      <c r="H37" s="351">
        <v>218219.45</v>
      </c>
      <c r="I37" s="351">
        <v>217170.32</v>
      </c>
      <c r="J37" s="351">
        <v>216121.19</v>
      </c>
      <c r="K37" s="351">
        <v>215072.06</v>
      </c>
      <c r="L37" s="351">
        <v>214022.93</v>
      </c>
      <c r="M37" s="351">
        <v>212973.8</v>
      </c>
      <c r="N37" s="351">
        <v>211924.67</v>
      </c>
      <c r="O37" s="351">
        <v>210875.54</v>
      </c>
      <c r="P37" s="351">
        <v>209826.41</v>
      </c>
      <c r="Q37" s="351">
        <v>208777.28</v>
      </c>
      <c r="R37" s="351">
        <v>207728.15</v>
      </c>
      <c r="S37" s="351">
        <f t="shared" si="2"/>
        <v>213498.36499999999</v>
      </c>
    </row>
    <row r="38" spans="1:19">
      <c r="A38" s="342">
        <f t="shared" si="3"/>
        <v>23</v>
      </c>
      <c r="B38" s="342">
        <v>181077</v>
      </c>
      <c r="C38" s="339" t="s">
        <v>858</v>
      </c>
      <c r="D38" s="368">
        <v>39630</v>
      </c>
      <c r="E38" s="366" t="s">
        <v>909</v>
      </c>
      <c r="F38" s="342" t="s">
        <v>840</v>
      </c>
      <c r="G38" s="357">
        <v>52280.78</v>
      </c>
      <c r="H38" s="357">
        <v>50344.45</v>
      </c>
      <c r="I38" s="357">
        <v>48408.13</v>
      </c>
      <c r="J38" s="357">
        <v>46471.8</v>
      </c>
      <c r="K38" s="357">
        <v>44535.48</v>
      </c>
      <c r="L38" s="357">
        <v>42599.15</v>
      </c>
      <c r="M38" s="357">
        <v>40662.83</v>
      </c>
      <c r="N38" s="357">
        <v>38726.5</v>
      </c>
      <c r="O38" s="357">
        <v>36790.18</v>
      </c>
      <c r="P38" s="357">
        <v>34853.85</v>
      </c>
      <c r="Q38" s="357">
        <v>32917.53</v>
      </c>
      <c r="R38" s="357">
        <v>30981.200000000001</v>
      </c>
      <c r="S38" s="357">
        <f t="shared" si="2"/>
        <v>41630.99</v>
      </c>
    </row>
    <row r="39" spans="1:19">
      <c r="A39" s="342">
        <f t="shared" si="3"/>
        <v>24</v>
      </c>
      <c r="C39" s="339" t="s">
        <v>860</v>
      </c>
      <c r="G39" s="351">
        <f t="shared" ref="G39:R39" si="4">SUM(G31:G38)</f>
        <v>2046775.9200000002</v>
      </c>
      <c r="H39" s="351">
        <f t="shared" si="4"/>
        <v>2035926.8399999999</v>
      </c>
      <c r="I39" s="351">
        <f t="shared" si="4"/>
        <v>2025077.7700000003</v>
      </c>
      <c r="J39" s="351">
        <f t="shared" si="4"/>
        <v>2014228.69</v>
      </c>
      <c r="K39" s="351">
        <f t="shared" si="4"/>
        <v>2003379.62</v>
      </c>
      <c r="L39" s="351">
        <f t="shared" si="4"/>
        <v>1992530.5399999998</v>
      </c>
      <c r="M39" s="351">
        <f t="shared" si="4"/>
        <v>1981681.4700000002</v>
      </c>
      <c r="N39" s="351">
        <f t="shared" si="4"/>
        <v>1970832.39</v>
      </c>
      <c r="O39" s="351">
        <f t="shared" si="4"/>
        <v>1959983.32</v>
      </c>
      <c r="P39" s="351">
        <f t="shared" si="4"/>
        <v>1949134.2399999998</v>
      </c>
      <c r="Q39" s="351">
        <f t="shared" si="4"/>
        <v>1938285.17</v>
      </c>
      <c r="R39" s="351">
        <f t="shared" si="4"/>
        <v>1927436.0899999999</v>
      </c>
      <c r="S39" s="351">
        <f>SUM(S31:S38)</f>
        <v>1987106.0049999999</v>
      </c>
    </row>
    <row r="40" spans="1:19"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</row>
    <row r="41" spans="1:19"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</row>
    <row r="42" spans="1:19">
      <c r="C42" s="362" t="s">
        <v>861</v>
      </c>
      <c r="D42" s="342"/>
      <c r="E42" s="342"/>
      <c r="F42" s="342"/>
      <c r="S42" s="351"/>
    </row>
    <row r="43" spans="1:19">
      <c r="A43" s="342">
        <f>A39+1</f>
        <v>25</v>
      </c>
      <c r="B43" s="342">
        <v>181065</v>
      </c>
      <c r="C43" s="339" t="s">
        <v>920</v>
      </c>
      <c r="D43" s="370">
        <v>37295</v>
      </c>
      <c r="E43" s="370">
        <v>48212</v>
      </c>
      <c r="F43" s="346">
        <v>6.7500000000000004E-2</v>
      </c>
      <c r="G43" s="351">
        <v>1398564.98</v>
      </c>
      <c r="H43" s="351">
        <v>1387888.91</v>
      </c>
      <c r="I43" s="351">
        <v>1377212.84</v>
      </c>
      <c r="J43" s="351">
        <v>1366536.77</v>
      </c>
      <c r="K43" s="351">
        <v>1355860.7</v>
      </c>
      <c r="L43" s="351">
        <v>1345184.63</v>
      </c>
      <c r="M43" s="351">
        <v>1334508.56</v>
      </c>
      <c r="N43" s="351">
        <v>1323832.49</v>
      </c>
      <c r="O43" s="351">
        <v>1313156.42</v>
      </c>
      <c r="P43" s="351">
        <v>1302480.3500000001</v>
      </c>
      <c r="Q43" s="351">
        <v>1291804.28</v>
      </c>
      <c r="R43" s="351">
        <v>1281128.21</v>
      </c>
      <c r="S43" s="351">
        <f>(SUM(G43:R43)/12)</f>
        <v>1339846.595</v>
      </c>
    </row>
    <row r="44" spans="1:19">
      <c r="A44" s="342">
        <f>A43+1</f>
        <v>26</v>
      </c>
      <c r="B44" s="342">
        <v>181069</v>
      </c>
      <c r="C44" s="339" t="s">
        <v>863</v>
      </c>
      <c r="D44" s="370">
        <v>38657</v>
      </c>
      <c r="E44" s="370">
        <v>13089</v>
      </c>
      <c r="F44" s="346">
        <v>5.7500000000000002E-2</v>
      </c>
      <c r="G44" s="351">
        <v>1616734.81</v>
      </c>
      <c r="H44" s="351">
        <v>1607600.72</v>
      </c>
      <c r="I44" s="351">
        <v>1598466.62</v>
      </c>
      <c r="J44" s="351">
        <v>1589332.53</v>
      </c>
      <c r="K44" s="351">
        <v>1580198.43</v>
      </c>
      <c r="L44" s="351">
        <v>1571064.34</v>
      </c>
      <c r="M44" s="351">
        <v>1561930.24</v>
      </c>
      <c r="N44" s="351">
        <v>1552796.15</v>
      </c>
      <c r="O44" s="351">
        <v>1543662.05</v>
      </c>
      <c r="P44" s="351">
        <v>1534527.96</v>
      </c>
      <c r="Q44" s="351">
        <v>1525393.86</v>
      </c>
      <c r="R44" s="351">
        <v>1516259.77</v>
      </c>
      <c r="S44" s="351">
        <f t="shared" ref="S44:S45" si="5">(SUM(G44:R44)/12)</f>
        <v>1566497.29</v>
      </c>
    </row>
    <row r="45" spans="1:19">
      <c r="A45" s="342">
        <f t="shared" ref="A45:A46" si="6">A44+1</f>
        <v>27</v>
      </c>
      <c r="B45" s="342">
        <v>181072</v>
      </c>
      <c r="C45" s="339" t="s">
        <v>864</v>
      </c>
      <c r="D45" s="370">
        <v>38997</v>
      </c>
      <c r="E45" s="370">
        <v>13430</v>
      </c>
      <c r="F45" s="346">
        <v>5.8000000000000003E-2</v>
      </c>
      <c r="G45" s="357">
        <v>1735526.1</v>
      </c>
      <c r="H45" s="357">
        <v>1726319.06</v>
      </c>
      <c r="I45" s="357">
        <v>1717112.03</v>
      </c>
      <c r="J45" s="357">
        <v>1707904.99</v>
      </c>
      <c r="K45" s="357">
        <v>1698697.96</v>
      </c>
      <c r="L45" s="357">
        <v>1689490.92</v>
      </c>
      <c r="M45" s="357">
        <v>1680283.89</v>
      </c>
      <c r="N45" s="357">
        <v>1671076.85</v>
      </c>
      <c r="O45" s="357">
        <v>1661869.82</v>
      </c>
      <c r="P45" s="357">
        <v>1652662.78</v>
      </c>
      <c r="Q45" s="357">
        <v>1643455.75</v>
      </c>
      <c r="R45" s="357">
        <v>1634248.71</v>
      </c>
      <c r="S45" s="357">
        <f t="shared" si="5"/>
        <v>1684887.4050000003</v>
      </c>
    </row>
    <row r="46" spans="1:19">
      <c r="A46" s="342">
        <f t="shared" si="6"/>
        <v>28</v>
      </c>
      <c r="B46" s="342"/>
      <c r="C46" s="339" t="s">
        <v>870</v>
      </c>
      <c r="D46" s="377"/>
      <c r="E46" s="377"/>
      <c r="F46" s="342"/>
      <c r="G46" s="351">
        <f t="shared" ref="G46:S46" si="7">SUM(G43:G45)</f>
        <v>4750825.8900000006</v>
      </c>
      <c r="H46" s="351">
        <f t="shared" si="7"/>
        <v>4721808.6899999995</v>
      </c>
      <c r="I46" s="351">
        <f t="shared" si="7"/>
        <v>4692791.49</v>
      </c>
      <c r="J46" s="351">
        <f t="shared" si="7"/>
        <v>4663774.29</v>
      </c>
      <c r="K46" s="351">
        <f t="shared" si="7"/>
        <v>4634757.09</v>
      </c>
      <c r="L46" s="351">
        <f t="shared" si="7"/>
        <v>4605739.8899999997</v>
      </c>
      <c r="M46" s="351">
        <f t="shared" si="7"/>
        <v>4576722.6899999995</v>
      </c>
      <c r="N46" s="351">
        <f t="shared" si="7"/>
        <v>4547705.49</v>
      </c>
      <c r="O46" s="351">
        <f t="shared" si="7"/>
        <v>4518688.29</v>
      </c>
      <c r="P46" s="351">
        <f t="shared" si="7"/>
        <v>4489671.09</v>
      </c>
      <c r="Q46" s="351">
        <f t="shared" si="7"/>
        <v>4460653.8900000006</v>
      </c>
      <c r="R46" s="351">
        <f t="shared" si="7"/>
        <v>4431636.6899999995</v>
      </c>
      <c r="S46" s="351">
        <f t="shared" si="7"/>
        <v>4591231.29</v>
      </c>
    </row>
    <row r="47" spans="1:19">
      <c r="A47" s="342"/>
      <c r="B47" s="342"/>
      <c r="D47" s="377"/>
      <c r="E47" s="377"/>
      <c r="F47" s="342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</row>
    <row r="48" spans="1:19">
      <c r="A48" s="342"/>
      <c r="B48" s="342"/>
      <c r="D48" s="377"/>
      <c r="E48" s="377"/>
      <c r="F48" s="346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</row>
    <row r="49" spans="1:19">
      <c r="A49" s="342"/>
      <c r="B49" s="342"/>
      <c r="C49" s="362" t="s">
        <v>871</v>
      </c>
      <c r="D49" s="377"/>
      <c r="E49" s="377"/>
      <c r="F49" s="346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</row>
    <row r="50" spans="1:19">
      <c r="A50" s="342">
        <v>24</v>
      </c>
      <c r="B50" s="342"/>
      <c r="D50" s="370"/>
      <c r="E50" s="370"/>
      <c r="F50" s="346"/>
      <c r="G50" s="351">
        <v>0</v>
      </c>
      <c r="H50" s="351">
        <v>0</v>
      </c>
      <c r="I50" s="351">
        <v>0</v>
      </c>
      <c r="J50" s="351">
        <v>0</v>
      </c>
      <c r="K50" s="351">
        <v>0</v>
      </c>
      <c r="L50" s="351">
        <v>0</v>
      </c>
      <c r="M50" s="351">
        <v>0</v>
      </c>
      <c r="N50" s="351">
        <v>0</v>
      </c>
      <c r="O50" s="351">
        <v>0</v>
      </c>
      <c r="P50" s="351">
        <v>0</v>
      </c>
      <c r="Q50" s="351">
        <v>0</v>
      </c>
      <c r="R50" s="351">
        <v>0</v>
      </c>
      <c r="S50" s="351">
        <f>(SUM(G50:R50)/12)</f>
        <v>0</v>
      </c>
    </row>
    <row r="51" spans="1:19">
      <c r="A51" s="342"/>
      <c r="B51" s="342"/>
      <c r="D51" s="370"/>
      <c r="E51" s="370"/>
      <c r="F51" s="346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</row>
    <row r="52" spans="1:19">
      <c r="A52" s="342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</row>
    <row r="53" spans="1:19">
      <c r="A53" s="342">
        <v>25</v>
      </c>
      <c r="C53" s="339" t="s">
        <v>921</v>
      </c>
      <c r="G53" s="351">
        <f t="shared" ref="G53:S53" si="8">G27+G39+G46+G50</f>
        <v>47122197.310000002</v>
      </c>
      <c r="H53" s="351">
        <f t="shared" si="8"/>
        <v>46864838.109999999</v>
      </c>
      <c r="I53" s="351">
        <f t="shared" si="8"/>
        <v>46607478.900000013</v>
      </c>
      <c r="J53" s="351">
        <f t="shared" si="8"/>
        <v>46350119.699999996</v>
      </c>
      <c r="K53" s="351">
        <f t="shared" si="8"/>
        <v>46092760.489999995</v>
      </c>
      <c r="L53" s="351">
        <f t="shared" si="8"/>
        <v>45835401.289999999</v>
      </c>
      <c r="M53" s="351">
        <f t="shared" si="8"/>
        <v>50189189.25</v>
      </c>
      <c r="N53" s="351">
        <f t="shared" si="8"/>
        <v>49914499.160000004</v>
      </c>
      <c r="O53" s="351">
        <f t="shared" si="8"/>
        <v>49644308.060000002</v>
      </c>
      <c r="P53" s="351">
        <f t="shared" si="8"/>
        <v>49374116.969999999</v>
      </c>
      <c r="Q53" s="351">
        <f t="shared" si="8"/>
        <v>49336399.470000006</v>
      </c>
      <c r="R53" s="351">
        <f t="shared" si="8"/>
        <v>48921237.600000009</v>
      </c>
      <c r="S53" s="351">
        <f t="shared" si="8"/>
        <v>48021045.525833338</v>
      </c>
    </row>
    <row r="54" spans="1:19">
      <c r="A54" s="342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  <c r="S54" s="351"/>
    </row>
    <row r="55" spans="1:19">
      <c r="A55" s="342"/>
      <c r="B55" s="355" t="s">
        <v>873</v>
      </c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1"/>
    </row>
    <row r="56" spans="1:19">
      <c r="A56" s="342"/>
      <c r="S56" s="351"/>
    </row>
    <row r="57" spans="1:19">
      <c r="A57" s="422" t="s">
        <v>876</v>
      </c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</row>
    <row r="58" spans="1:19">
      <c r="A58" s="422" t="s">
        <v>922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</row>
  </sheetData>
  <mergeCells count="2">
    <mergeCell ref="A57:S57"/>
    <mergeCell ref="A58:S58"/>
  </mergeCells>
  <pageMargins left="0.25" right="0.25" top="0.75" bottom="0.25" header="0.25" footer="0.25"/>
  <pageSetup scale="46" orientation="landscape" horizontalDpi="4294967293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66"/>
  <sheetViews>
    <sheetView zoomScale="80" zoomScaleNormal="80" workbookViewId="0">
      <selection activeCell="U13" sqref="U13:V13"/>
    </sheetView>
  </sheetViews>
  <sheetFormatPr defaultRowHeight="15.75"/>
  <cols>
    <col min="1" max="1" width="5.140625" style="339" customWidth="1"/>
    <col min="2" max="2" width="7.85546875" style="339" customWidth="1"/>
    <col min="3" max="3" width="30.85546875" style="339" customWidth="1"/>
    <col min="4" max="5" width="10.85546875" style="339" customWidth="1"/>
    <col min="6" max="6" width="8.85546875" style="339" bestFit="1" customWidth="1"/>
    <col min="7" max="19" width="15.5703125" style="339" customWidth="1"/>
    <col min="20" max="20" width="5" style="339" customWidth="1"/>
    <col min="21" max="16384" width="9.140625" style="339"/>
  </cols>
  <sheetData>
    <row r="1" spans="1:20">
      <c r="A1" s="339" t="s">
        <v>0</v>
      </c>
    </row>
    <row r="2" spans="1:20">
      <c r="A2" s="339" t="str">
        <f>WACC!A2</f>
        <v>Docket No. NG22-___</v>
      </c>
    </row>
    <row r="3" spans="1:20">
      <c r="A3" s="339" t="s">
        <v>923</v>
      </c>
    </row>
    <row r="4" spans="1:20">
      <c r="A4" s="349" t="str">
        <f>WACC!A4</f>
        <v>Twelve Months Ending December 31, 2021</v>
      </c>
    </row>
    <row r="5" spans="1:20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</row>
    <row r="6" spans="1:20">
      <c r="T6" s="342"/>
    </row>
    <row r="7" spans="1:20">
      <c r="A7" s="339" t="s">
        <v>4</v>
      </c>
      <c r="D7" s="342" t="s">
        <v>815</v>
      </c>
      <c r="E7" s="342" t="s">
        <v>816</v>
      </c>
      <c r="F7" s="342" t="s">
        <v>128</v>
      </c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38" t="s">
        <v>817</v>
      </c>
    </row>
    <row r="8" spans="1:20">
      <c r="A8" s="343" t="s">
        <v>5</v>
      </c>
      <c r="B8" s="343" t="s">
        <v>356</v>
      </c>
      <c r="C8" s="344" t="s">
        <v>818</v>
      </c>
      <c r="D8" s="344" t="s">
        <v>819</v>
      </c>
      <c r="E8" s="344" t="s">
        <v>819</v>
      </c>
      <c r="F8" s="344" t="s">
        <v>272</v>
      </c>
      <c r="G8" s="361">
        <v>44197</v>
      </c>
      <c r="H8" s="361">
        <v>44228</v>
      </c>
      <c r="I8" s="361">
        <v>44256</v>
      </c>
      <c r="J8" s="361">
        <v>44287</v>
      </c>
      <c r="K8" s="361">
        <v>44317</v>
      </c>
      <c r="L8" s="361">
        <v>44348</v>
      </c>
      <c r="M8" s="361">
        <v>44378</v>
      </c>
      <c r="N8" s="361">
        <v>44409</v>
      </c>
      <c r="O8" s="361">
        <v>44440</v>
      </c>
      <c r="P8" s="361">
        <v>44470</v>
      </c>
      <c r="Q8" s="361">
        <v>44501</v>
      </c>
      <c r="R8" s="361">
        <v>44531</v>
      </c>
      <c r="S8" s="344" t="s">
        <v>676</v>
      </c>
    </row>
    <row r="9" spans="1:20">
      <c r="B9" s="342" t="s">
        <v>53</v>
      </c>
      <c r="C9" s="342" t="s">
        <v>54</v>
      </c>
      <c r="D9" s="342" t="s">
        <v>97</v>
      </c>
      <c r="E9" s="342" t="s">
        <v>98</v>
      </c>
      <c r="F9" s="342" t="s">
        <v>99</v>
      </c>
      <c r="G9" s="342" t="s">
        <v>100</v>
      </c>
      <c r="H9" s="342" t="s">
        <v>152</v>
      </c>
      <c r="I9" s="342" t="s">
        <v>153</v>
      </c>
      <c r="J9" s="342" t="s">
        <v>154</v>
      </c>
      <c r="K9" s="342" t="s">
        <v>155</v>
      </c>
      <c r="L9" s="342" t="s">
        <v>156</v>
      </c>
      <c r="M9" s="342" t="s">
        <v>157</v>
      </c>
      <c r="N9" s="342" t="s">
        <v>158</v>
      </c>
      <c r="O9" s="342" t="s">
        <v>159</v>
      </c>
      <c r="P9" s="342" t="s">
        <v>160</v>
      </c>
      <c r="Q9" s="342" t="s">
        <v>161</v>
      </c>
      <c r="R9" s="342" t="s">
        <v>268</v>
      </c>
      <c r="S9" s="342" t="s">
        <v>162</v>
      </c>
    </row>
    <row r="11" spans="1:20">
      <c r="A11" s="342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</row>
    <row r="12" spans="1:20">
      <c r="A12" s="342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</row>
    <row r="13" spans="1:20">
      <c r="A13" s="342"/>
      <c r="B13" s="342"/>
      <c r="C13" s="362" t="s">
        <v>820</v>
      </c>
      <c r="D13" s="342"/>
      <c r="E13" s="342"/>
      <c r="F13" s="342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</row>
    <row r="14" spans="1:20">
      <c r="A14" s="342">
        <v>1</v>
      </c>
      <c r="B14" s="342">
        <v>189048</v>
      </c>
      <c r="C14" s="339" t="s">
        <v>924</v>
      </c>
      <c r="D14" s="366" t="s">
        <v>925</v>
      </c>
      <c r="E14" s="366" t="s">
        <v>926</v>
      </c>
      <c r="F14" s="346" t="s">
        <v>840</v>
      </c>
      <c r="G14" s="351">
        <v>12878.05</v>
      </c>
      <c r="H14" s="351">
        <v>12318.13</v>
      </c>
      <c r="I14" s="351">
        <v>11758.22</v>
      </c>
      <c r="J14" s="351">
        <v>11198.3</v>
      </c>
      <c r="K14" s="351">
        <v>10638.39</v>
      </c>
      <c r="L14" s="351">
        <v>10078.469999999999</v>
      </c>
      <c r="M14" s="351">
        <v>9518.56</v>
      </c>
      <c r="N14" s="351">
        <v>8958.64</v>
      </c>
      <c r="O14" s="351">
        <v>8398.73</v>
      </c>
      <c r="P14" s="351">
        <v>7838.81</v>
      </c>
      <c r="Q14" s="351">
        <v>7278.9</v>
      </c>
      <c r="R14" s="351">
        <v>6718.98</v>
      </c>
      <c r="S14" s="351">
        <f>SUM(G14:R14)/12</f>
        <v>9798.5149999999976</v>
      </c>
      <c r="T14" s="351"/>
    </row>
    <row r="15" spans="1:20">
      <c r="A15" s="342">
        <v>2</v>
      </c>
      <c r="B15" s="342">
        <v>189050</v>
      </c>
      <c r="C15" s="339" t="s">
        <v>927</v>
      </c>
      <c r="D15" s="366" t="s">
        <v>928</v>
      </c>
      <c r="E15" s="366" t="s">
        <v>929</v>
      </c>
      <c r="F15" s="346" t="s">
        <v>930</v>
      </c>
      <c r="G15" s="351">
        <v>20508.21</v>
      </c>
      <c r="H15" s="351">
        <v>20071.87</v>
      </c>
      <c r="I15" s="351">
        <v>19635.52</v>
      </c>
      <c r="J15" s="351">
        <v>19199.18</v>
      </c>
      <c r="K15" s="351">
        <v>18762.830000000002</v>
      </c>
      <c r="L15" s="351">
        <v>18326.490000000002</v>
      </c>
      <c r="M15" s="351">
        <v>17890.14</v>
      </c>
      <c r="N15" s="351">
        <v>17453.8</v>
      </c>
      <c r="O15" s="351">
        <v>17017.45</v>
      </c>
      <c r="P15" s="351">
        <v>16581.11</v>
      </c>
      <c r="Q15" s="351">
        <v>16144.76</v>
      </c>
      <c r="R15" s="351">
        <v>15708.42</v>
      </c>
      <c r="S15" s="351">
        <f t="shared" ref="S15:S21" si="0">SUM(G15:R15)/12</f>
        <v>18108.314999999999</v>
      </c>
      <c r="T15" s="351"/>
    </row>
    <row r="16" spans="1:20">
      <c r="A16" s="342">
        <v>3</v>
      </c>
      <c r="B16" s="342">
        <v>189051</v>
      </c>
      <c r="C16" s="339" t="s">
        <v>931</v>
      </c>
      <c r="D16" s="366" t="s">
        <v>932</v>
      </c>
      <c r="E16" s="366" t="s">
        <v>933</v>
      </c>
      <c r="F16" s="346">
        <v>3.6999999999999998E-2</v>
      </c>
      <c r="G16" s="351">
        <v>88529.62</v>
      </c>
      <c r="H16" s="351">
        <v>84988.44</v>
      </c>
      <c r="I16" s="351">
        <v>81447.25</v>
      </c>
      <c r="J16" s="351">
        <v>77906.070000000007</v>
      </c>
      <c r="K16" s="351">
        <v>74364.88</v>
      </c>
      <c r="L16" s="351">
        <v>70823.7</v>
      </c>
      <c r="M16" s="351">
        <v>67282.509999999995</v>
      </c>
      <c r="N16" s="351">
        <v>63741.33</v>
      </c>
      <c r="O16" s="351">
        <v>60200.14</v>
      </c>
      <c r="P16" s="351">
        <v>56658.96</v>
      </c>
      <c r="Q16" s="351">
        <v>53117.77</v>
      </c>
      <c r="R16" s="351">
        <v>49576.59</v>
      </c>
      <c r="S16" s="351">
        <f t="shared" si="0"/>
        <v>69053.104999999996</v>
      </c>
      <c r="T16" s="351"/>
    </row>
    <row r="17" spans="1:20">
      <c r="A17" s="342">
        <v>4</v>
      </c>
      <c r="B17" s="342">
        <v>189056</v>
      </c>
      <c r="C17" s="339" t="s">
        <v>883</v>
      </c>
      <c r="D17" s="366" t="s">
        <v>934</v>
      </c>
      <c r="E17" s="366" t="s">
        <v>935</v>
      </c>
      <c r="F17" s="346"/>
      <c r="G17" s="351">
        <v>479279.64</v>
      </c>
      <c r="H17" s="351">
        <v>470721.08</v>
      </c>
      <c r="I17" s="351">
        <v>462162.51</v>
      </c>
      <c r="J17" s="351">
        <v>453603.95</v>
      </c>
      <c r="K17" s="351">
        <v>445045.38</v>
      </c>
      <c r="L17" s="351">
        <v>436486.82</v>
      </c>
      <c r="M17" s="351">
        <v>427928.25</v>
      </c>
      <c r="N17" s="351">
        <v>419369.69</v>
      </c>
      <c r="O17" s="351">
        <v>410811.12</v>
      </c>
      <c r="P17" s="351">
        <v>402252.56</v>
      </c>
      <c r="Q17" s="351">
        <v>393693.99</v>
      </c>
      <c r="R17" s="351">
        <v>385135.43</v>
      </c>
      <c r="S17" s="351">
        <f t="shared" si="0"/>
        <v>432207.53499999997</v>
      </c>
      <c r="T17" s="351"/>
    </row>
    <row r="18" spans="1:20">
      <c r="A18" s="342">
        <v>5</v>
      </c>
      <c r="B18" s="342">
        <v>189087</v>
      </c>
      <c r="C18" s="339" t="s">
        <v>936</v>
      </c>
      <c r="D18" s="363">
        <v>42767</v>
      </c>
      <c r="E18" s="363">
        <v>46508</v>
      </c>
      <c r="F18" s="346">
        <v>3.1E-2</v>
      </c>
      <c r="G18" s="351">
        <v>1347497.62</v>
      </c>
      <c r="H18" s="351">
        <v>1329530.99</v>
      </c>
      <c r="I18" s="351">
        <v>1311564.3500000001</v>
      </c>
      <c r="J18" s="351">
        <v>1293597.72</v>
      </c>
      <c r="K18" s="351">
        <v>1275631.08</v>
      </c>
      <c r="L18" s="351">
        <v>1257664.45</v>
      </c>
      <c r="M18" s="351">
        <v>1239697.81</v>
      </c>
      <c r="N18" s="351">
        <v>1221731.18</v>
      </c>
      <c r="O18" s="351">
        <v>1203764.54</v>
      </c>
      <c r="P18" s="351">
        <v>1185797.9099999999</v>
      </c>
      <c r="Q18" s="351">
        <v>1167831.27</v>
      </c>
      <c r="R18" s="351">
        <v>1149864.6399999999</v>
      </c>
      <c r="S18" s="351">
        <f t="shared" si="0"/>
        <v>1248681.1300000001</v>
      </c>
      <c r="T18" s="351"/>
    </row>
    <row r="19" spans="1:20">
      <c r="A19" s="342">
        <v>6</v>
      </c>
      <c r="B19" s="342">
        <v>189088</v>
      </c>
      <c r="C19" s="339" t="s">
        <v>937</v>
      </c>
      <c r="D19" s="363">
        <v>42767</v>
      </c>
      <c r="E19" s="363">
        <v>53905</v>
      </c>
      <c r="F19" s="346">
        <v>3.95E-2</v>
      </c>
      <c r="G19" s="351">
        <v>2419129.86</v>
      </c>
      <c r="H19" s="351">
        <v>2411522.5299999998</v>
      </c>
      <c r="I19" s="351">
        <v>2403915.2000000002</v>
      </c>
      <c r="J19" s="351">
        <v>2396307.87</v>
      </c>
      <c r="K19" s="351">
        <v>2388700.54</v>
      </c>
      <c r="L19" s="351">
        <v>2381093.21</v>
      </c>
      <c r="M19" s="351">
        <v>2373485.88</v>
      </c>
      <c r="N19" s="351">
        <v>2365878.5499999998</v>
      </c>
      <c r="O19" s="351">
        <v>2358271.2200000002</v>
      </c>
      <c r="P19" s="351">
        <v>2350663.89</v>
      </c>
      <c r="Q19" s="351">
        <v>2343056.56</v>
      </c>
      <c r="R19" s="351">
        <v>2335449.23</v>
      </c>
      <c r="S19" s="351">
        <f t="shared" si="0"/>
        <v>2377289.5449999999</v>
      </c>
      <c r="T19" s="351"/>
    </row>
    <row r="20" spans="1:20">
      <c r="A20" s="342">
        <v>7</v>
      </c>
      <c r="B20" s="342">
        <v>189090</v>
      </c>
      <c r="C20" s="339" t="s">
        <v>938</v>
      </c>
      <c r="D20" s="363">
        <v>43472</v>
      </c>
      <c r="E20" s="363">
        <v>47223</v>
      </c>
      <c r="F20" s="346">
        <v>3.6499999999999998E-2</v>
      </c>
      <c r="G20" s="351">
        <v>23936</v>
      </c>
      <c r="H20" s="351">
        <v>23693</v>
      </c>
      <c r="I20" s="351">
        <v>23450</v>
      </c>
      <c r="J20" s="351">
        <v>23207</v>
      </c>
      <c r="K20" s="351">
        <v>22964</v>
      </c>
      <c r="L20" s="351">
        <v>22721</v>
      </c>
      <c r="M20" s="351">
        <v>22478</v>
      </c>
      <c r="N20" s="351">
        <v>22235.27</v>
      </c>
      <c r="O20" s="351">
        <v>21992</v>
      </c>
      <c r="P20" s="351">
        <v>21749.25</v>
      </c>
      <c r="Q20" s="351">
        <v>21506.240000000002</v>
      </c>
      <c r="R20" s="351">
        <v>21263.23</v>
      </c>
      <c r="S20" s="351">
        <f t="shared" si="0"/>
        <v>22599.5825</v>
      </c>
      <c r="T20" s="351"/>
    </row>
    <row r="21" spans="1:20">
      <c r="A21" s="342">
        <v>8</v>
      </c>
      <c r="B21" s="342">
        <v>189091</v>
      </c>
      <c r="C21" s="339" t="s">
        <v>939</v>
      </c>
      <c r="D21" s="363">
        <v>43472</v>
      </c>
      <c r="E21" s="363">
        <v>54528</v>
      </c>
      <c r="F21" s="346">
        <v>4.2500000000000003E-2</v>
      </c>
      <c r="G21" s="357">
        <v>41605</v>
      </c>
      <c r="H21" s="357">
        <v>41484</v>
      </c>
      <c r="I21" s="357">
        <v>41362</v>
      </c>
      <c r="J21" s="357">
        <v>41240</v>
      </c>
      <c r="K21" s="357">
        <v>41118</v>
      </c>
      <c r="L21" s="357">
        <v>40996</v>
      </c>
      <c r="M21" s="357">
        <v>40875</v>
      </c>
      <c r="N21" s="357">
        <v>40753</v>
      </c>
      <c r="O21" s="357">
        <v>40631</v>
      </c>
      <c r="P21" s="357">
        <v>40509.15</v>
      </c>
      <c r="Q21" s="357">
        <v>40387.32</v>
      </c>
      <c r="R21" s="357">
        <v>40265.49</v>
      </c>
      <c r="S21" s="357">
        <f t="shared" si="0"/>
        <v>40935.496666666666</v>
      </c>
      <c r="T21" s="351"/>
    </row>
    <row r="22" spans="1:20">
      <c r="A22" s="342">
        <v>9</v>
      </c>
      <c r="B22" s="342"/>
      <c r="C22" s="339" t="s">
        <v>835</v>
      </c>
      <c r="G22" s="351">
        <f t="shared" ref="G22:S22" si="1">SUM(G14:G21)</f>
        <v>4433364</v>
      </c>
      <c r="H22" s="351">
        <f t="shared" si="1"/>
        <v>4394330.04</v>
      </c>
      <c r="I22" s="351">
        <f t="shared" si="1"/>
        <v>4355295.0500000007</v>
      </c>
      <c r="J22" s="351">
        <f t="shared" si="1"/>
        <v>4316260.09</v>
      </c>
      <c r="K22" s="351">
        <f t="shared" si="1"/>
        <v>4277225.0999999996</v>
      </c>
      <c r="L22" s="351">
        <f t="shared" si="1"/>
        <v>4238190.1399999997</v>
      </c>
      <c r="M22" s="351">
        <f t="shared" si="1"/>
        <v>4199156.1500000004</v>
      </c>
      <c r="N22" s="351">
        <f t="shared" si="1"/>
        <v>4160121.4599999995</v>
      </c>
      <c r="O22" s="351">
        <f t="shared" si="1"/>
        <v>4121086.2</v>
      </c>
      <c r="P22" s="351">
        <f t="shared" si="1"/>
        <v>4082051.64</v>
      </c>
      <c r="Q22" s="351">
        <f t="shared" si="1"/>
        <v>4043016.81</v>
      </c>
      <c r="R22" s="351">
        <f t="shared" si="1"/>
        <v>4003982.0100000002</v>
      </c>
      <c r="S22" s="351">
        <f t="shared" si="1"/>
        <v>4218673.2241666671</v>
      </c>
      <c r="T22" s="351"/>
    </row>
    <row r="23" spans="1:20">
      <c r="A23" s="342"/>
      <c r="B23" s="342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</row>
    <row r="24" spans="1:20">
      <c r="A24" s="342"/>
      <c r="B24" s="342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</row>
    <row r="25" spans="1:20">
      <c r="A25" s="342"/>
      <c r="B25" s="342"/>
      <c r="C25" s="362" t="s">
        <v>836</v>
      </c>
      <c r="D25" s="342"/>
      <c r="E25" s="342"/>
      <c r="F25" s="342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</row>
    <row r="26" spans="1:20">
      <c r="A26" s="342">
        <v>10</v>
      </c>
      <c r="B26" s="342">
        <v>189013</v>
      </c>
      <c r="C26" s="339" t="s">
        <v>837</v>
      </c>
      <c r="D26" s="366" t="s">
        <v>894</v>
      </c>
      <c r="E26" s="366" t="s">
        <v>940</v>
      </c>
      <c r="F26" s="342" t="s">
        <v>840</v>
      </c>
      <c r="G26" s="351">
        <v>91882.17</v>
      </c>
      <c r="H26" s="351">
        <v>89840.34</v>
      </c>
      <c r="I26" s="351">
        <v>87798.51</v>
      </c>
      <c r="J26" s="351">
        <v>85756.68</v>
      </c>
      <c r="K26" s="351">
        <v>83714.850000000006</v>
      </c>
      <c r="L26" s="351">
        <v>81673.02</v>
      </c>
      <c r="M26" s="351">
        <v>79631.19</v>
      </c>
      <c r="N26" s="351">
        <v>77589.36</v>
      </c>
      <c r="O26" s="351">
        <v>75547.53</v>
      </c>
      <c r="P26" s="351">
        <v>73505.7</v>
      </c>
      <c r="Q26" s="351">
        <v>71463.87</v>
      </c>
      <c r="R26" s="351">
        <v>69422.05</v>
      </c>
      <c r="S26" s="351">
        <f>SUM(G26:R26)/12</f>
        <v>80652.105833333335</v>
      </c>
      <c r="T26" s="351"/>
    </row>
    <row r="27" spans="1:20">
      <c r="A27" s="342">
        <v>11</v>
      </c>
      <c r="B27" s="342">
        <v>189017</v>
      </c>
      <c r="C27" s="339" t="s">
        <v>941</v>
      </c>
      <c r="D27" s="378">
        <v>39630</v>
      </c>
      <c r="E27" s="378">
        <v>45108</v>
      </c>
      <c r="F27" s="342" t="s">
        <v>840</v>
      </c>
      <c r="G27" s="357">
        <v>107858.9</v>
      </c>
      <c r="H27" s="357">
        <v>103864.13</v>
      </c>
      <c r="I27" s="357">
        <v>99869.36</v>
      </c>
      <c r="J27" s="357">
        <v>95874.59</v>
      </c>
      <c r="K27" s="357">
        <v>91879.82</v>
      </c>
      <c r="L27" s="357">
        <v>87885.05</v>
      </c>
      <c r="M27" s="357">
        <v>83890.28</v>
      </c>
      <c r="N27" s="357">
        <v>79895.5</v>
      </c>
      <c r="O27" s="357">
        <v>75900.73</v>
      </c>
      <c r="P27" s="357">
        <v>71905.95</v>
      </c>
      <c r="Q27" s="357">
        <v>67911.179999999993</v>
      </c>
      <c r="R27" s="357">
        <v>63916.4</v>
      </c>
      <c r="S27" s="357">
        <f>SUM(G27:R27)/12</f>
        <v>85887.657500000001</v>
      </c>
      <c r="T27" s="351"/>
    </row>
    <row r="28" spans="1:20">
      <c r="A28" s="342">
        <v>12</v>
      </c>
      <c r="C28" s="339" t="s">
        <v>860</v>
      </c>
      <c r="G28" s="351">
        <f t="shared" ref="G28:S28" si="2">SUM(G26:G27)</f>
        <v>199741.07</v>
      </c>
      <c r="H28" s="351">
        <f t="shared" si="2"/>
        <v>193704.47</v>
      </c>
      <c r="I28" s="351">
        <f t="shared" si="2"/>
        <v>187667.87</v>
      </c>
      <c r="J28" s="351">
        <f t="shared" si="2"/>
        <v>181631.27</v>
      </c>
      <c r="K28" s="351">
        <f t="shared" si="2"/>
        <v>175594.67</v>
      </c>
      <c r="L28" s="351">
        <f t="shared" si="2"/>
        <v>169558.07</v>
      </c>
      <c r="M28" s="351">
        <f t="shared" si="2"/>
        <v>163521.47</v>
      </c>
      <c r="N28" s="351">
        <f t="shared" si="2"/>
        <v>157484.85999999999</v>
      </c>
      <c r="O28" s="351">
        <f t="shared" si="2"/>
        <v>151448.26</v>
      </c>
      <c r="P28" s="351">
        <f t="shared" si="2"/>
        <v>145411.65</v>
      </c>
      <c r="Q28" s="351">
        <f t="shared" si="2"/>
        <v>139375.04999999999</v>
      </c>
      <c r="R28" s="351">
        <f t="shared" si="2"/>
        <v>133338.45000000001</v>
      </c>
      <c r="S28" s="351">
        <f t="shared" si="2"/>
        <v>166539.76333333334</v>
      </c>
      <c r="T28" s="351"/>
    </row>
    <row r="29" spans="1:20">
      <c r="A29" s="342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</row>
    <row r="30" spans="1:20">
      <c r="A30" s="342"/>
      <c r="C30" s="362" t="s">
        <v>861</v>
      </c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</row>
    <row r="31" spans="1:20">
      <c r="A31" s="342">
        <v>13</v>
      </c>
      <c r="B31" s="342">
        <v>189065</v>
      </c>
      <c r="C31" s="339" t="s">
        <v>942</v>
      </c>
      <c r="D31" s="370">
        <v>37295</v>
      </c>
      <c r="E31" s="370">
        <v>48212</v>
      </c>
      <c r="F31" s="346">
        <v>6.7500000000000004E-2</v>
      </c>
      <c r="G31" s="351">
        <v>1155904.55</v>
      </c>
      <c r="H31" s="351">
        <v>1147080.8500000001</v>
      </c>
      <c r="I31" s="351">
        <v>1138257.1499999999</v>
      </c>
      <c r="J31" s="351">
        <v>1129433.45</v>
      </c>
      <c r="K31" s="351">
        <v>1120609.75</v>
      </c>
      <c r="L31" s="351">
        <v>1111786.05</v>
      </c>
      <c r="M31" s="351">
        <v>1102962.3500000001</v>
      </c>
      <c r="N31" s="351">
        <v>1094138.6499999999</v>
      </c>
      <c r="O31" s="351">
        <v>1085314.95</v>
      </c>
      <c r="P31" s="351">
        <v>1076491.25</v>
      </c>
      <c r="Q31" s="351">
        <v>1067667.55</v>
      </c>
      <c r="R31" s="351">
        <v>1058843.8500000001</v>
      </c>
      <c r="S31" s="351">
        <f>SUM(G31:R31)/12</f>
        <v>1107374.2</v>
      </c>
      <c r="T31" s="351"/>
    </row>
    <row r="32" spans="1:20">
      <c r="A32" s="342">
        <v>14</v>
      </c>
      <c r="B32" s="342">
        <v>189082</v>
      </c>
      <c r="C32" s="339" t="s">
        <v>823</v>
      </c>
      <c r="D32" s="370">
        <v>41732</v>
      </c>
      <c r="E32" s="370">
        <v>45580</v>
      </c>
      <c r="F32" s="346">
        <v>3.5000000000000003E-2</v>
      </c>
      <c r="G32" s="351">
        <v>802521.94</v>
      </c>
      <c r="H32" s="351">
        <v>784487.74</v>
      </c>
      <c r="I32" s="351">
        <v>766453.54</v>
      </c>
      <c r="J32" s="351">
        <v>748419.34</v>
      </c>
      <c r="K32" s="351">
        <v>730385.14</v>
      </c>
      <c r="L32" s="351">
        <v>712350.94</v>
      </c>
      <c r="M32" s="351">
        <v>694316.74</v>
      </c>
      <c r="N32" s="351">
        <v>676282.54</v>
      </c>
      <c r="O32" s="351">
        <v>658248.34</v>
      </c>
      <c r="P32" s="351">
        <v>640214.14</v>
      </c>
      <c r="Q32" s="351">
        <v>622179.93999999994</v>
      </c>
      <c r="R32" s="351">
        <v>604145.74</v>
      </c>
      <c r="S32" s="351">
        <f>SUM(G32:R32)/12</f>
        <v>703333.84</v>
      </c>
      <c r="T32" s="351"/>
    </row>
    <row r="33" spans="1:20">
      <c r="A33" s="342">
        <v>15</v>
      </c>
      <c r="B33" s="342">
        <v>189083</v>
      </c>
      <c r="C33" s="339" t="s">
        <v>824</v>
      </c>
      <c r="D33" s="370">
        <v>41732</v>
      </c>
      <c r="E33" s="370">
        <v>52885</v>
      </c>
      <c r="F33" s="346">
        <v>4.3999999999999997E-2</v>
      </c>
      <c r="G33" s="357">
        <v>2347072.37</v>
      </c>
      <c r="H33" s="357">
        <v>2338822.5499999998</v>
      </c>
      <c r="I33" s="357">
        <v>2330572.7400000002</v>
      </c>
      <c r="J33" s="357">
        <v>2322322.92</v>
      </c>
      <c r="K33" s="357">
        <v>2314073.11</v>
      </c>
      <c r="L33" s="357">
        <v>2305823.29</v>
      </c>
      <c r="M33" s="357">
        <v>2297573.48</v>
      </c>
      <c r="N33" s="357">
        <v>2289323.66</v>
      </c>
      <c r="O33" s="357">
        <v>2281073.85</v>
      </c>
      <c r="P33" s="357">
        <v>2272824.0299999998</v>
      </c>
      <c r="Q33" s="357">
        <v>2264574.2200000002</v>
      </c>
      <c r="R33" s="357">
        <v>2256324.4</v>
      </c>
      <c r="S33" s="357">
        <f>SUM(G33:R33)/12</f>
        <v>2301698.3850000002</v>
      </c>
      <c r="T33" s="351"/>
    </row>
    <row r="34" spans="1:20">
      <c r="A34" s="342">
        <v>16</v>
      </c>
      <c r="B34" s="342"/>
      <c r="C34" s="339" t="s">
        <v>943</v>
      </c>
      <c r="G34" s="351">
        <f t="shared" ref="G34:S34" si="3">SUM(G31:G33)</f>
        <v>4305498.8600000003</v>
      </c>
      <c r="H34" s="351">
        <f t="shared" si="3"/>
        <v>4270391.1399999997</v>
      </c>
      <c r="I34" s="351">
        <f t="shared" si="3"/>
        <v>4235283.43</v>
      </c>
      <c r="J34" s="351">
        <f t="shared" si="3"/>
        <v>4200175.71</v>
      </c>
      <c r="K34" s="351">
        <f t="shared" si="3"/>
        <v>4165068</v>
      </c>
      <c r="L34" s="351">
        <f t="shared" si="3"/>
        <v>4129960.2800000003</v>
      </c>
      <c r="M34" s="351">
        <f t="shared" si="3"/>
        <v>4094852.5700000003</v>
      </c>
      <c r="N34" s="351">
        <f t="shared" si="3"/>
        <v>4059744.85</v>
      </c>
      <c r="O34" s="351">
        <f t="shared" si="3"/>
        <v>4024637.14</v>
      </c>
      <c r="P34" s="351">
        <f t="shared" si="3"/>
        <v>3989529.42</v>
      </c>
      <c r="Q34" s="351">
        <f t="shared" si="3"/>
        <v>3954421.71</v>
      </c>
      <c r="R34" s="351">
        <f t="shared" si="3"/>
        <v>3919313.99</v>
      </c>
      <c r="S34" s="351">
        <f t="shared" si="3"/>
        <v>4112406.4250000003</v>
      </c>
      <c r="T34" s="351"/>
    </row>
    <row r="35" spans="1:20">
      <c r="A35" s="342"/>
      <c r="B35" s="342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</row>
    <row r="36" spans="1:20">
      <c r="A36" s="342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</row>
    <row r="37" spans="1:20">
      <c r="A37" s="342"/>
      <c r="C37" s="362" t="s">
        <v>352</v>
      </c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</row>
    <row r="38" spans="1:20">
      <c r="A38" s="342">
        <v>17</v>
      </c>
      <c r="C38" s="339" t="s">
        <v>882</v>
      </c>
      <c r="D38" s="366"/>
      <c r="E38" s="366"/>
      <c r="F38" s="342"/>
      <c r="G38" s="351">
        <f>H38+'7.45%B'!$G$23</f>
        <v>19294.351114649697</v>
      </c>
      <c r="H38" s="351">
        <f>I38+'7.45%B'!$G$23</f>
        <v>18522.577070063708</v>
      </c>
      <c r="I38" s="351">
        <f>J38+'7.45%B'!$G$23</f>
        <v>17750.803025477719</v>
      </c>
      <c r="J38" s="351">
        <f>K38+'7.45%B'!$G$23</f>
        <v>16979.02898089173</v>
      </c>
      <c r="K38" s="351">
        <f>L38+'7.45%B'!$G$23</f>
        <v>16207.254936305742</v>
      </c>
      <c r="L38" s="351">
        <f>M38+'7.45%B'!$G$23</f>
        <v>15435.480891719755</v>
      </c>
      <c r="M38" s="351">
        <f>N38+'7.45%B'!$G$23</f>
        <v>14663.706847133768</v>
      </c>
      <c r="N38" s="351">
        <f>O38+'7.45%B'!$G$23</f>
        <v>13891.932802547781</v>
      </c>
      <c r="O38" s="351">
        <f>P38+'7.45%B'!$G$23</f>
        <v>13120.158757961794</v>
      </c>
      <c r="P38" s="351">
        <f>Q38+'7.45%B'!$G$23</f>
        <v>12348.384713375806</v>
      </c>
      <c r="Q38" s="351">
        <f>R38+'7.45%B'!$G$23</f>
        <v>11576.610668789819</v>
      </c>
      <c r="R38" s="379">
        <f>'7.45%B'!G57</f>
        <v>10804.836624203832</v>
      </c>
      <c r="S38" s="351">
        <f>SUM(G38:R38)/12</f>
        <v>15049.593869426762</v>
      </c>
      <c r="T38" s="351"/>
    </row>
    <row r="39" spans="1:20">
      <c r="A39" s="342"/>
      <c r="D39" s="366"/>
      <c r="E39" s="366"/>
      <c r="F39" s="342"/>
      <c r="G39" s="379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</row>
    <row r="40" spans="1:20">
      <c r="A40" s="342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</row>
    <row r="41" spans="1:20">
      <c r="A41" s="342"/>
      <c r="C41" s="362" t="s">
        <v>944</v>
      </c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</row>
    <row r="42" spans="1:20" ht="18">
      <c r="A42" s="342">
        <v>18</v>
      </c>
      <c r="B42" s="342"/>
      <c r="D42" s="370"/>
      <c r="E42" s="370"/>
      <c r="F42" s="346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51"/>
    </row>
    <row r="43" spans="1:20">
      <c r="A43" s="342">
        <v>19</v>
      </c>
      <c r="C43" s="355" t="s">
        <v>913</v>
      </c>
      <c r="G43" s="351">
        <f t="shared" ref="G43:S43" si="4">SUM(G42:G42)</f>
        <v>0</v>
      </c>
      <c r="H43" s="351">
        <f t="shared" si="4"/>
        <v>0</v>
      </c>
      <c r="I43" s="351">
        <f t="shared" ref="I43:M43" si="5">SUM(I42:I42)</f>
        <v>0</v>
      </c>
      <c r="J43" s="351">
        <f t="shared" si="5"/>
        <v>0</v>
      </c>
      <c r="K43" s="351">
        <f t="shared" si="5"/>
        <v>0</v>
      </c>
      <c r="L43" s="351">
        <f t="shared" si="5"/>
        <v>0</v>
      </c>
      <c r="M43" s="351">
        <f t="shared" si="5"/>
        <v>0</v>
      </c>
      <c r="N43" s="351">
        <f t="shared" ref="N43:R43" si="6">SUM(N42:N42)</f>
        <v>0</v>
      </c>
      <c r="O43" s="351">
        <f t="shared" si="6"/>
        <v>0</v>
      </c>
      <c r="P43" s="351">
        <f t="shared" si="6"/>
        <v>0</v>
      </c>
      <c r="Q43" s="351">
        <f t="shared" si="6"/>
        <v>0</v>
      </c>
      <c r="R43" s="351">
        <f t="shared" si="6"/>
        <v>0</v>
      </c>
      <c r="S43" s="351">
        <f t="shared" si="4"/>
        <v>0</v>
      </c>
      <c r="T43" s="351"/>
    </row>
    <row r="44" spans="1:20">
      <c r="A44" s="342"/>
      <c r="C44" s="362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</row>
    <row r="45" spans="1:20">
      <c r="A45" s="342"/>
      <c r="B45" s="342"/>
      <c r="D45" s="366"/>
      <c r="E45" s="366"/>
      <c r="F45" s="342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</row>
    <row r="46" spans="1:20">
      <c r="A46" s="342">
        <v>24</v>
      </c>
      <c r="C46" s="339" t="s">
        <v>945</v>
      </c>
      <c r="G46" s="351">
        <f t="shared" ref="G46:P46" si="7">G22+G28+G34+G38+G43</f>
        <v>8957898.281114649</v>
      </c>
      <c r="H46" s="351">
        <f t="shared" si="7"/>
        <v>8876948.2270700615</v>
      </c>
      <c r="I46" s="351">
        <f t="shared" si="7"/>
        <v>8795997.15302548</v>
      </c>
      <c r="J46" s="351">
        <f t="shared" si="7"/>
        <v>8715046.0989808924</v>
      </c>
      <c r="K46" s="351">
        <f t="shared" si="7"/>
        <v>8634095.0249363054</v>
      </c>
      <c r="L46" s="351">
        <f t="shared" si="7"/>
        <v>8553143.9708917197</v>
      </c>
      <c r="M46" s="351">
        <f t="shared" si="7"/>
        <v>8472193.8968471345</v>
      </c>
      <c r="N46" s="351">
        <f t="shared" si="7"/>
        <v>8391243.1028025486</v>
      </c>
      <c r="O46" s="351">
        <f t="shared" si="7"/>
        <v>8310291.758757961</v>
      </c>
      <c r="P46" s="351">
        <f t="shared" si="7"/>
        <v>8229341.0947133759</v>
      </c>
      <c r="Q46" s="351">
        <f>Q22+Q28+Q34+Q38+Q43</f>
        <v>8148390.1806687899</v>
      </c>
      <c r="R46" s="351">
        <f>R22+R28+R34+R38+R43</f>
        <v>8067439.2866242053</v>
      </c>
      <c r="S46" s="351">
        <f>S22+S28+S34+S38+S43</f>
        <v>8512669.0063694287</v>
      </c>
      <c r="T46" s="351"/>
    </row>
    <row r="47" spans="1:20">
      <c r="A47" s="342"/>
      <c r="C47" s="348" t="s">
        <v>946</v>
      </c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</row>
    <row r="48" spans="1:20">
      <c r="A48" s="342"/>
      <c r="C48" s="348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</row>
    <row r="49" spans="1:20"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</row>
    <row r="50" spans="1:20">
      <c r="A50" s="342"/>
      <c r="B50" s="355" t="s">
        <v>947</v>
      </c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51"/>
      <c r="T50" s="351"/>
    </row>
    <row r="51" spans="1:20">
      <c r="A51" s="342"/>
      <c r="B51" s="355" t="s">
        <v>948</v>
      </c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51"/>
      <c r="T51" s="351"/>
    </row>
    <row r="52" spans="1:20">
      <c r="A52" s="342"/>
      <c r="G52" s="380"/>
      <c r="H52" s="380"/>
      <c r="I52" s="380"/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351"/>
    </row>
    <row r="53" spans="1:20">
      <c r="A53" s="422" t="s">
        <v>876</v>
      </c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</row>
    <row r="54" spans="1:20">
      <c r="A54" s="422" t="s">
        <v>949</v>
      </c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</row>
    <row r="55" spans="1:20"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380"/>
    </row>
    <row r="56" spans="1:20">
      <c r="B56" s="342"/>
      <c r="C56" s="342"/>
      <c r="D56" s="342"/>
      <c r="E56" s="342"/>
      <c r="F56" s="342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</row>
    <row r="57" spans="1:20">
      <c r="A57" s="342"/>
      <c r="B57" s="342"/>
      <c r="D57" s="348"/>
      <c r="E57" s="348"/>
      <c r="F57" s="354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51"/>
    </row>
    <row r="58" spans="1:20">
      <c r="A58" s="342"/>
      <c r="B58" s="342"/>
      <c r="F58" s="354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</row>
    <row r="59" spans="1:20">
      <c r="A59" s="342"/>
      <c r="B59" s="342"/>
      <c r="F59" s="354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</row>
    <row r="60" spans="1:20">
      <c r="A60" s="342"/>
      <c r="B60" s="342"/>
      <c r="F60" s="354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</row>
    <row r="61" spans="1:20">
      <c r="A61" s="342"/>
      <c r="B61" s="342"/>
      <c r="F61" s="354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</row>
    <row r="62" spans="1:20">
      <c r="A62" s="342"/>
      <c r="B62" s="342"/>
      <c r="F62" s="354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</row>
    <row r="63" spans="1:20">
      <c r="A63" s="342"/>
      <c r="B63" s="342"/>
      <c r="F63" s="354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</row>
    <row r="64" spans="1:20">
      <c r="A64" s="342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</row>
    <row r="65" spans="1:19">
      <c r="A65" s="342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</row>
    <row r="66" spans="1:19"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7"/>
      <c r="S66" s="367"/>
    </row>
  </sheetData>
  <mergeCells count="2">
    <mergeCell ref="A53:S53"/>
    <mergeCell ref="A54:S54"/>
  </mergeCells>
  <pageMargins left="0.25" right="0.25" top="0.75" bottom="0.25" header="0.25" footer="0.25"/>
  <pageSetup scale="48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H65"/>
  <sheetViews>
    <sheetView view="pageLayout" zoomScaleNormal="100" workbookViewId="0">
      <selection activeCell="G26" sqref="G26"/>
    </sheetView>
  </sheetViews>
  <sheetFormatPr defaultRowHeight="15.75"/>
  <cols>
    <col min="1" max="1" width="4.7109375" style="339" customWidth="1"/>
    <col min="2" max="2" width="9.28515625" style="339" customWidth="1"/>
    <col min="3" max="3" width="33.28515625" style="339" customWidth="1"/>
    <col min="4" max="4" width="9.28515625" style="339" customWidth="1"/>
    <col min="5" max="5" width="19.7109375" style="339" bestFit="1" customWidth="1"/>
    <col min="6" max="6" width="12" style="339" customWidth="1"/>
    <col min="7" max="7" width="17.85546875" style="339" bestFit="1" customWidth="1"/>
    <col min="8" max="8" width="13.28515625" style="339" customWidth="1"/>
    <col min="9" max="16384" width="9.140625" style="339"/>
  </cols>
  <sheetData>
    <row r="1" spans="1:8">
      <c r="A1" s="339" t="s">
        <v>0</v>
      </c>
    </row>
    <row r="2" spans="1:8">
      <c r="A2" s="339" t="str">
        <f>WACC!A2</f>
        <v>Docket No. NG22-___</v>
      </c>
      <c r="B2" s="341"/>
      <c r="C2" s="341"/>
      <c r="D2" s="341"/>
      <c r="E2" s="341"/>
      <c r="F2" s="341"/>
      <c r="G2" s="341"/>
      <c r="H2" s="341"/>
    </row>
    <row r="3" spans="1:8">
      <c r="A3" s="339" t="s">
        <v>950</v>
      </c>
    </row>
    <row r="4" spans="1:8">
      <c r="A4" s="350" t="str">
        <f>WACC!A4</f>
        <v>Twelve Months Ending December 31, 2021</v>
      </c>
    </row>
    <row r="5" spans="1:8">
      <c r="B5" s="338"/>
      <c r="C5" s="338"/>
      <c r="D5" s="338"/>
      <c r="E5" s="338"/>
      <c r="F5" s="338"/>
      <c r="G5" s="338"/>
      <c r="H5" s="338"/>
    </row>
    <row r="6" spans="1:8">
      <c r="A6" s="342"/>
    </row>
    <row r="7" spans="1:8">
      <c r="E7" s="338" t="s">
        <v>817</v>
      </c>
      <c r="G7" s="342"/>
    </row>
    <row r="8" spans="1:8">
      <c r="A8" s="339" t="s">
        <v>4</v>
      </c>
      <c r="E8" s="342" t="s">
        <v>676</v>
      </c>
      <c r="F8" s="342" t="s">
        <v>128</v>
      </c>
      <c r="G8" s="342" t="s">
        <v>128</v>
      </c>
    </row>
    <row r="9" spans="1:8">
      <c r="A9" s="343" t="s">
        <v>5</v>
      </c>
      <c r="B9" s="343" t="s">
        <v>356</v>
      </c>
      <c r="C9" s="344" t="s">
        <v>818</v>
      </c>
      <c r="D9" s="343"/>
      <c r="E9" s="344" t="s">
        <v>951</v>
      </c>
      <c r="F9" s="344" t="s">
        <v>272</v>
      </c>
      <c r="G9" s="344" t="s">
        <v>146</v>
      </c>
      <c r="H9" s="342"/>
    </row>
    <row r="10" spans="1:8">
      <c r="B10" s="342" t="s">
        <v>53</v>
      </c>
      <c r="C10" s="342" t="s">
        <v>54</v>
      </c>
      <c r="E10" s="342" t="s">
        <v>97</v>
      </c>
      <c r="F10" s="342" t="s">
        <v>98</v>
      </c>
      <c r="G10" s="342" t="s">
        <v>99</v>
      </c>
    </row>
    <row r="11" spans="1:8">
      <c r="A11" s="342"/>
      <c r="B11" s="342"/>
      <c r="E11" s="367"/>
      <c r="F11" s="381"/>
    </row>
    <row r="12" spans="1:8">
      <c r="A12" s="342"/>
      <c r="B12" s="342"/>
      <c r="E12" s="367"/>
      <c r="F12" s="381"/>
    </row>
    <row r="13" spans="1:8">
      <c r="A13" s="342"/>
      <c r="B13" s="342"/>
      <c r="C13" s="362" t="s">
        <v>820</v>
      </c>
      <c r="F13" s="381"/>
    </row>
    <row r="14" spans="1:8">
      <c r="A14" s="342">
        <v>1</v>
      </c>
      <c r="B14" s="342">
        <v>427079</v>
      </c>
      <c r="C14" s="355" t="s">
        <v>821</v>
      </c>
      <c r="E14" s="385">
        <v>250000000</v>
      </c>
      <c r="F14" s="364">
        <v>3.6999999999999998E-2</v>
      </c>
      <c r="G14" s="351">
        <f>E14*F14</f>
        <v>9250000</v>
      </c>
    </row>
    <row r="15" spans="1:8">
      <c r="A15" s="342">
        <v>2</v>
      </c>
      <c r="B15" s="342">
        <v>427080</v>
      </c>
      <c r="C15" s="355" t="s">
        <v>822</v>
      </c>
      <c r="E15" s="385">
        <v>350000000</v>
      </c>
      <c r="F15" s="364">
        <v>4.8000000000000001E-2</v>
      </c>
      <c r="G15" s="351">
        <f t="shared" ref="G15:G26" si="0">E15*F15</f>
        <v>16800000</v>
      </c>
    </row>
    <row r="16" spans="1:8">
      <c r="A16" s="342">
        <v>3</v>
      </c>
      <c r="B16" s="342">
        <v>427082</v>
      </c>
      <c r="C16" s="355" t="s">
        <v>823</v>
      </c>
      <c r="E16" s="385">
        <v>300000000</v>
      </c>
      <c r="F16" s="364">
        <v>3.5000000000000003E-2</v>
      </c>
      <c r="G16" s="351">
        <f t="shared" si="0"/>
        <v>10500000.000000002</v>
      </c>
    </row>
    <row r="17" spans="1:8">
      <c r="A17" s="342">
        <v>4</v>
      </c>
      <c r="B17" s="342">
        <v>427083</v>
      </c>
      <c r="C17" s="355" t="s">
        <v>824</v>
      </c>
      <c r="E17" s="385">
        <v>400000000</v>
      </c>
      <c r="F17" s="364">
        <v>4.3999999999999997E-2</v>
      </c>
      <c r="G17" s="351">
        <f t="shared" si="0"/>
        <v>17600000</v>
      </c>
    </row>
    <row r="18" spans="1:8">
      <c r="A18" s="342">
        <v>5</v>
      </c>
      <c r="B18" s="342">
        <v>427084</v>
      </c>
      <c r="C18" s="355" t="s">
        <v>823</v>
      </c>
      <c r="E18" s="385">
        <v>200000000</v>
      </c>
      <c r="F18" s="364">
        <v>3.5000000000000003E-2</v>
      </c>
      <c r="G18" s="351">
        <f t="shared" si="0"/>
        <v>7000000.0000000009</v>
      </c>
    </row>
    <row r="19" spans="1:8">
      <c r="A19" s="342">
        <v>6</v>
      </c>
      <c r="B19" s="342">
        <v>427085</v>
      </c>
      <c r="C19" s="355" t="s">
        <v>826</v>
      </c>
      <c r="E19" s="385">
        <v>450000000</v>
      </c>
      <c r="F19" s="364">
        <v>4.2500000000000003E-2</v>
      </c>
      <c r="G19" s="351">
        <f t="shared" si="0"/>
        <v>19125000</v>
      </c>
    </row>
    <row r="20" spans="1:8">
      <c r="A20" s="342">
        <v>7</v>
      </c>
      <c r="B20" s="342">
        <v>427087</v>
      </c>
      <c r="C20" s="355" t="s">
        <v>827</v>
      </c>
      <c r="E20" s="385">
        <v>375000000</v>
      </c>
      <c r="F20" s="364">
        <v>3.1E-2</v>
      </c>
      <c r="G20" s="351">
        <f t="shared" si="0"/>
        <v>11625000</v>
      </c>
    </row>
    <row r="21" spans="1:8">
      <c r="A21" s="342">
        <v>8</v>
      </c>
      <c r="B21" s="342">
        <v>427088</v>
      </c>
      <c r="C21" s="355" t="s">
        <v>828</v>
      </c>
      <c r="E21" s="385">
        <v>475000000</v>
      </c>
      <c r="F21" s="364">
        <v>3.95E-2</v>
      </c>
      <c r="G21" s="351">
        <f t="shared" si="0"/>
        <v>18762500</v>
      </c>
    </row>
    <row r="22" spans="1:8">
      <c r="A22" s="342">
        <v>9</v>
      </c>
      <c r="B22" s="342">
        <v>427089</v>
      </c>
      <c r="C22" s="355" t="s">
        <v>829</v>
      </c>
      <c r="E22" s="385">
        <v>700000000</v>
      </c>
      <c r="F22" s="364">
        <v>3.6499999999999998E-2</v>
      </c>
      <c r="G22" s="351">
        <f t="shared" si="0"/>
        <v>25550000</v>
      </c>
    </row>
    <row r="23" spans="1:8">
      <c r="A23" s="342">
        <v>10</v>
      </c>
      <c r="B23" s="342">
        <v>427090</v>
      </c>
      <c r="C23" s="355" t="s">
        <v>830</v>
      </c>
      <c r="E23" s="385">
        <v>600000000</v>
      </c>
      <c r="F23" s="364">
        <v>3.6499999999999998E-2</v>
      </c>
      <c r="G23" s="351">
        <f t="shared" si="0"/>
        <v>21900000</v>
      </c>
    </row>
    <row r="24" spans="1:8">
      <c r="A24" s="342">
        <v>11</v>
      </c>
      <c r="B24" s="342">
        <v>427091</v>
      </c>
      <c r="C24" s="355" t="s">
        <v>952</v>
      </c>
      <c r="E24" s="385">
        <v>900000000</v>
      </c>
      <c r="F24" s="364">
        <v>4.2500000000000003E-2</v>
      </c>
      <c r="G24" s="351">
        <f t="shared" si="0"/>
        <v>38250000</v>
      </c>
    </row>
    <row r="25" spans="1:8">
      <c r="A25" s="342">
        <v>12</v>
      </c>
      <c r="B25" s="342">
        <v>427092</v>
      </c>
      <c r="C25" s="355" t="s">
        <v>891</v>
      </c>
      <c r="E25" s="385">
        <v>600000000</v>
      </c>
      <c r="F25" s="364">
        <v>3.15E-2</v>
      </c>
      <c r="G25" s="351">
        <f t="shared" si="0"/>
        <v>18900000</v>
      </c>
    </row>
    <row r="26" spans="1:8">
      <c r="A26" s="342">
        <v>13</v>
      </c>
      <c r="B26" s="342">
        <v>427093</v>
      </c>
      <c r="C26" s="355" t="s">
        <v>830</v>
      </c>
      <c r="E26" s="385">
        <v>250000000</v>
      </c>
      <c r="F26" s="364">
        <v>3.6499999999999998E-2</v>
      </c>
      <c r="G26" s="351">
        <f t="shared" si="0"/>
        <v>9125000</v>
      </c>
    </row>
    <row r="27" spans="1:8">
      <c r="A27" s="342">
        <v>14</v>
      </c>
      <c r="B27" s="342">
        <v>427094</v>
      </c>
      <c r="C27" s="355" t="s">
        <v>892</v>
      </c>
      <c r="E27" s="386">
        <f>'LT Debt'!S25</f>
        <v>250000000</v>
      </c>
      <c r="F27" s="364">
        <v>2.7E-2</v>
      </c>
      <c r="G27" s="357">
        <v>5962500</v>
      </c>
    </row>
    <row r="28" spans="1:8">
      <c r="A28" s="342">
        <v>15</v>
      </c>
      <c r="B28" s="342"/>
      <c r="C28" s="355" t="s">
        <v>835</v>
      </c>
      <c r="E28" s="385">
        <f>SUM(E14:E27)</f>
        <v>6100000000</v>
      </c>
      <c r="F28" s="381"/>
      <c r="G28" s="351">
        <f>SUM(G14:G27)</f>
        <v>230350000</v>
      </c>
    </row>
    <row r="29" spans="1:8">
      <c r="A29" s="342"/>
      <c r="B29" s="342"/>
      <c r="C29" s="355"/>
      <c r="E29" s="367"/>
      <c r="F29" s="381"/>
      <c r="G29" s="351"/>
    </row>
    <row r="30" spans="1:8">
      <c r="A30" s="342"/>
      <c r="B30" s="342"/>
      <c r="F30" s="381"/>
      <c r="G30" s="351"/>
    </row>
    <row r="31" spans="1:8">
      <c r="A31" s="342"/>
      <c r="B31" s="342"/>
      <c r="C31" s="362" t="s">
        <v>836</v>
      </c>
      <c r="F31" s="381"/>
    </row>
    <row r="32" spans="1:8">
      <c r="A32" s="342">
        <v>16</v>
      </c>
      <c r="B32" s="342">
        <v>427013</v>
      </c>
      <c r="C32" s="339" t="s">
        <v>837</v>
      </c>
      <c r="E32" s="351">
        <f>'LT Debt'!S30</f>
        <v>34900000</v>
      </c>
      <c r="F32" s="382" t="s">
        <v>840</v>
      </c>
      <c r="G32" s="351">
        <v>25032.42</v>
      </c>
      <c r="H32" s="367"/>
    </row>
    <row r="33" spans="1:8">
      <c r="A33" s="342">
        <f>A32+1</f>
        <v>17</v>
      </c>
      <c r="B33" s="342">
        <v>427017</v>
      </c>
      <c r="C33" s="339" t="s">
        <v>841</v>
      </c>
      <c r="E33" s="351">
        <f>'LT Debt'!S31</f>
        <v>33400000</v>
      </c>
      <c r="F33" s="382" t="s">
        <v>840</v>
      </c>
      <c r="G33" s="351">
        <v>22162.89</v>
      </c>
      <c r="H33" s="367"/>
    </row>
    <row r="34" spans="1:8">
      <c r="A34" s="342">
        <f t="shared" ref="A34:A40" si="1">A33+1</f>
        <v>18</v>
      </c>
      <c r="B34" s="342">
        <v>427019</v>
      </c>
      <c r="C34" s="339" t="s">
        <v>844</v>
      </c>
      <c r="E34" s="351">
        <f>'LT Debt'!S32</f>
        <v>30000000</v>
      </c>
      <c r="F34" s="382" t="s">
        <v>840</v>
      </c>
      <c r="G34" s="351">
        <v>30534.27</v>
      </c>
      <c r="H34" s="367"/>
    </row>
    <row r="35" spans="1:8">
      <c r="A35" s="342">
        <f t="shared" si="1"/>
        <v>19</v>
      </c>
      <c r="B35" s="342">
        <v>427020</v>
      </c>
      <c r="C35" s="339" t="s">
        <v>844</v>
      </c>
      <c r="E35" s="351">
        <f>'LT Debt'!S33</f>
        <v>150000000</v>
      </c>
      <c r="F35" s="382" t="s">
        <v>840</v>
      </c>
      <c r="G35" s="351">
        <v>139027.37</v>
      </c>
      <c r="H35" s="367"/>
    </row>
    <row r="36" spans="1:8">
      <c r="A36" s="342">
        <f t="shared" si="1"/>
        <v>20</v>
      </c>
      <c r="B36" s="342">
        <v>427041</v>
      </c>
      <c r="C36" s="339" t="s">
        <v>850</v>
      </c>
      <c r="E36" s="351">
        <f>'LT Debt'!S34</f>
        <v>6850000</v>
      </c>
      <c r="F36" s="382" t="s">
        <v>840</v>
      </c>
      <c r="G36" s="351">
        <v>4930.13</v>
      </c>
      <c r="H36" s="367"/>
    </row>
    <row r="37" spans="1:8">
      <c r="A37" s="342">
        <f t="shared" si="1"/>
        <v>21</v>
      </c>
      <c r="B37" s="342">
        <v>427042</v>
      </c>
      <c r="C37" s="339" t="s">
        <v>853</v>
      </c>
      <c r="E37" s="351">
        <f>'LT Debt'!S35</f>
        <v>12750000</v>
      </c>
      <c r="F37" s="382" t="s">
        <v>840</v>
      </c>
      <c r="G37" s="351">
        <v>9176.4699999999993</v>
      </c>
      <c r="H37" s="367"/>
    </row>
    <row r="38" spans="1:8">
      <c r="A38" s="342">
        <f t="shared" si="1"/>
        <v>22</v>
      </c>
      <c r="B38" s="342">
        <v>427076</v>
      </c>
      <c r="C38" s="339" t="s">
        <v>856</v>
      </c>
      <c r="E38" s="351">
        <f>'LT Debt'!S36</f>
        <v>45100000</v>
      </c>
      <c r="F38" s="382" t="s">
        <v>840</v>
      </c>
      <c r="G38" s="351">
        <v>45903.13</v>
      </c>
      <c r="H38" s="367"/>
    </row>
    <row r="39" spans="1:8">
      <c r="A39" s="342">
        <f t="shared" si="1"/>
        <v>23</v>
      </c>
      <c r="B39" s="342">
        <v>427077</v>
      </c>
      <c r="C39" s="339" t="s">
        <v>858</v>
      </c>
      <c r="E39" s="357">
        <f>'LT Debt'!S37</f>
        <v>57325000</v>
      </c>
      <c r="F39" s="382" t="s">
        <v>840</v>
      </c>
      <c r="G39" s="357">
        <v>38038.730000000003</v>
      </c>
      <c r="H39" s="367"/>
    </row>
    <row r="40" spans="1:8">
      <c r="A40" s="342">
        <f t="shared" si="1"/>
        <v>24</v>
      </c>
      <c r="B40" s="342"/>
      <c r="C40" s="339" t="s">
        <v>860</v>
      </c>
      <c r="E40" s="351">
        <f>SUM(E32:E39)</f>
        <v>370325000</v>
      </c>
      <c r="F40" s="381"/>
      <c r="G40" s="351">
        <f>SUM(G32:G39)</f>
        <v>314805.40999999997</v>
      </c>
      <c r="H40" s="367"/>
    </row>
    <row r="41" spans="1:8">
      <c r="B41" s="342"/>
      <c r="E41" s="351"/>
      <c r="F41" s="381"/>
      <c r="G41" s="351"/>
    </row>
    <row r="42" spans="1:8">
      <c r="B42" s="342"/>
      <c r="E42" s="351"/>
      <c r="F42" s="381"/>
      <c r="G42" s="351"/>
    </row>
    <row r="43" spans="1:8">
      <c r="B43" s="342"/>
      <c r="C43" s="362" t="s">
        <v>861</v>
      </c>
      <c r="E43" s="351"/>
      <c r="F43" s="381"/>
      <c r="G43" s="351"/>
    </row>
    <row r="44" spans="1:8">
      <c r="A44" s="342">
        <f>A40+1</f>
        <v>25</v>
      </c>
      <c r="B44" s="342">
        <v>427065</v>
      </c>
      <c r="C44" s="339" t="s">
        <v>953</v>
      </c>
      <c r="E44" s="351">
        <v>400000000</v>
      </c>
      <c r="F44" s="382">
        <v>6.7500000000000004E-2</v>
      </c>
      <c r="G44" s="351">
        <f t="shared" ref="G44:G46" si="2">E44*F44</f>
        <v>27000000</v>
      </c>
      <c r="H44" s="367"/>
    </row>
    <row r="45" spans="1:8">
      <c r="A45" s="342">
        <f>A44+1</f>
        <v>26</v>
      </c>
      <c r="B45" s="342">
        <v>427069</v>
      </c>
      <c r="C45" s="339" t="s">
        <v>863</v>
      </c>
      <c r="E45" s="351">
        <v>300000000</v>
      </c>
      <c r="F45" s="382">
        <v>5.7500000000000002E-2</v>
      </c>
      <c r="G45" s="351">
        <f t="shared" si="2"/>
        <v>17250000</v>
      </c>
      <c r="H45" s="367"/>
    </row>
    <row r="46" spans="1:8">
      <c r="A46" s="342">
        <f t="shared" ref="A46:A52" si="3">A45+1</f>
        <v>27</v>
      </c>
      <c r="B46" s="342">
        <v>427072</v>
      </c>
      <c r="C46" s="339" t="s">
        <v>954</v>
      </c>
      <c r="D46" s="370"/>
      <c r="E46" s="351">
        <v>350000000</v>
      </c>
      <c r="F46" s="382">
        <v>5.8000000000000003E-2</v>
      </c>
      <c r="G46" s="351">
        <f t="shared" si="2"/>
        <v>20300000</v>
      </c>
      <c r="H46" s="367"/>
    </row>
    <row r="47" spans="1:8">
      <c r="A47" s="342">
        <f t="shared" si="3"/>
        <v>28</v>
      </c>
      <c r="B47" s="342" t="s">
        <v>955</v>
      </c>
      <c r="C47" s="339" t="s">
        <v>865</v>
      </c>
      <c r="D47" s="370"/>
      <c r="E47" s="351">
        <f>'LT Debt'!S45</f>
        <v>1326433.5</v>
      </c>
      <c r="F47" s="382">
        <v>6.6199999999999995E-2</v>
      </c>
      <c r="G47" s="351">
        <v>0</v>
      </c>
      <c r="H47" s="367"/>
    </row>
    <row r="48" spans="1:8">
      <c r="A48" s="342">
        <f t="shared" si="3"/>
        <v>29</v>
      </c>
      <c r="B48" s="342" t="s">
        <v>955</v>
      </c>
      <c r="C48" s="339" t="s">
        <v>866</v>
      </c>
      <c r="D48" s="370"/>
      <c r="E48" s="351">
        <f>'LT Debt'!S46</f>
        <v>21224730.5</v>
      </c>
      <c r="F48" s="382">
        <v>6.6199999999999995E-2</v>
      </c>
      <c r="G48" s="351">
        <v>0</v>
      </c>
      <c r="H48" s="367"/>
    </row>
    <row r="49" spans="1:8">
      <c r="A49" s="342">
        <f t="shared" si="3"/>
        <v>30</v>
      </c>
      <c r="B49" s="342" t="s">
        <v>955</v>
      </c>
      <c r="C49" s="339" t="s">
        <v>867</v>
      </c>
      <c r="D49" s="370"/>
      <c r="E49" s="351">
        <f>'LT Debt'!S47</f>
        <v>153680.75</v>
      </c>
      <c r="F49" s="382">
        <v>7.9159999999999994E-2</v>
      </c>
      <c r="G49" s="351">
        <v>0</v>
      </c>
      <c r="H49" s="367"/>
    </row>
    <row r="50" spans="1:8">
      <c r="A50" s="342">
        <f t="shared" si="3"/>
        <v>31</v>
      </c>
      <c r="B50" s="342" t="s">
        <v>955</v>
      </c>
      <c r="C50" s="339" t="s">
        <v>911</v>
      </c>
      <c r="D50" s="370"/>
      <c r="E50" s="351">
        <f>'LT Debt'!S48</f>
        <v>2834857.5</v>
      </c>
      <c r="F50" s="382">
        <v>4.4490000000000002E-2</v>
      </c>
      <c r="G50" s="351">
        <v>0</v>
      </c>
      <c r="H50" s="367"/>
    </row>
    <row r="51" spans="1:8">
      <c r="A51" s="342">
        <f t="shared" si="3"/>
        <v>32</v>
      </c>
      <c r="B51" s="342" t="s">
        <v>955</v>
      </c>
      <c r="C51" s="339" t="s">
        <v>912</v>
      </c>
      <c r="D51" s="370"/>
      <c r="E51" s="357">
        <f>'LT Debt'!S49</f>
        <v>2187040</v>
      </c>
      <c r="F51" s="382">
        <v>3.4200000000000001E-2</v>
      </c>
      <c r="G51" s="357">
        <v>0</v>
      </c>
      <c r="H51" s="367"/>
    </row>
    <row r="52" spans="1:8">
      <c r="A52" s="342">
        <f t="shared" si="3"/>
        <v>33</v>
      </c>
      <c r="B52" s="342"/>
      <c r="C52" s="339" t="s">
        <v>870</v>
      </c>
      <c r="E52" s="351">
        <f>SUM(E44:E51)</f>
        <v>1077726742.25</v>
      </c>
      <c r="F52" s="382"/>
      <c r="G52" s="351">
        <f>SUM(G44:G51)</f>
        <v>64550000</v>
      </c>
      <c r="H52" s="367"/>
    </row>
    <row r="53" spans="1:8">
      <c r="A53" s="342"/>
      <c r="B53" s="342"/>
      <c r="E53" s="351"/>
      <c r="F53" s="383"/>
      <c r="G53" s="351"/>
    </row>
    <row r="54" spans="1:8">
      <c r="A54" s="342"/>
      <c r="B54" s="342"/>
      <c r="E54" s="351"/>
      <c r="F54" s="383"/>
      <c r="G54" s="351"/>
    </row>
    <row r="55" spans="1:8">
      <c r="A55" s="342"/>
      <c r="B55" s="342"/>
      <c r="C55" s="362" t="s">
        <v>871</v>
      </c>
      <c r="E55" s="351"/>
      <c r="F55" s="383"/>
      <c r="G55" s="351"/>
    </row>
    <row r="56" spans="1:8">
      <c r="A56" s="342">
        <f>A52+1</f>
        <v>34</v>
      </c>
      <c r="B56" s="342"/>
      <c r="E56" s="351"/>
      <c r="F56" s="382"/>
      <c r="G56" s="351"/>
    </row>
    <row r="57" spans="1:8" ht="18">
      <c r="A57" s="342">
        <f t="shared" ref="A57:A58" si="4">A56+1</f>
        <v>35</v>
      </c>
      <c r="B57" s="342"/>
      <c r="E57" s="365"/>
      <c r="F57" s="382"/>
      <c r="G57" s="352"/>
    </row>
    <row r="58" spans="1:8">
      <c r="A58" s="342">
        <f t="shared" si="4"/>
        <v>36</v>
      </c>
      <c r="B58" s="342"/>
      <c r="C58" s="339" t="s">
        <v>956</v>
      </c>
      <c r="E58" s="351">
        <f>SUM(E56:E57)</f>
        <v>0</v>
      </c>
      <c r="F58" s="381"/>
      <c r="G58" s="351">
        <f>SUM(G56:G57)</f>
        <v>0</v>
      </c>
    </row>
    <row r="59" spans="1:8">
      <c r="A59" s="342"/>
      <c r="B59" s="342"/>
      <c r="E59" s="351"/>
      <c r="F59" s="381"/>
      <c r="G59" s="351"/>
    </row>
    <row r="60" spans="1:8">
      <c r="A60" s="342"/>
      <c r="B60" s="342"/>
      <c r="E60" s="351"/>
      <c r="F60" s="381"/>
      <c r="G60" s="351"/>
    </row>
    <row r="61" spans="1:8">
      <c r="A61" s="342">
        <f>A58+1</f>
        <v>37</v>
      </c>
      <c r="B61" s="342"/>
      <c r="C61" s="339" t="s">
        <v>957</v>
      </c>
      <c r="E61" s="351">
        <f>E28+E40+E52+E58</f>
        <v>7548051742.25</v>
      </c>
      <c r="F61" s="354"/>
      <c r="G61" s="351">
        <f>G28+G40+G52+G58</f>
        <v>295214805.40999997</v>
      </c>
      <c r="H61" s="367"/>
    </row>
    <row r="62" spans="1:8">
      <c r="F62" s="367"/>
    </row>
    <row r="63" spans="1:8">
      <c r="B63" s="339" t="s">
        <v>958</v>
      </c>
    </row>
    <row r="64" spans="1:8">
      <c r="C64" s="348"/>
    </row>
    <row r="65" spans="2:2">
      <c r="B65" s="384"/>
    </row>
  </sheetData>
  <pageMargins left="0.75" right="0.75" top="1" bottom="1" header="0.5" footer="0.5"/>
  <pageSetup scale="76" orientation="portrait" horizontalDpi="4294967293" r:id="rId1"/>
  <headerFooter alignWithMargins="0">
    <oddFooter>&amp;CExhibit BGM 1.1, Schedule 26                  
Page 8 of 18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H61"/>
  <sheetViews>
    <sheetView zoomScaleNormal="100" workbookViewId="0">
      <selection activeCell="D15" sqref="D15"/>
    </sheetView>
  </sheetViews>
  <sheetFormatPr defaultRowHeight="15.75"/>
  <cols>
    <col min="1" max="2" width="9.140625" style="339"/>
    <col min="3" max="3" width="42.28515625" style="339" bestFit="1" customWidth="1"/>
    <col min="4" max="4" width="14.7109375" style="339" customWidth="1"/>
    <col min="5" max="16384" width="9.140625" style="339"/>
  </cols>
  <sheetData>
    <row r="1" spans="1:8">
      <c r="A1" s="339" t="s">
        <v>0</v>
      </c>
      <c r="B1" s="341"/>
    </row>
    <row r="2" spans="1:8">
      <c r="A2" s="339" t="str">
        <f>WACC!A2</f>
        <v>Docket No. NG22-___</v>
      </c>
      <c r="B2" s="341"/>
      <c r="C2" s="341"/>
      <c r="D2" s="341"/>
      <c r="E2" s="341"/>
      <c r="F2" s="341"/>
      <c r="G2" s="341"/>
      <c r="H2" s="341"/>
    </row>
    <row r="3" spans="1:8">
      <c r="A3" s="339" t="s">
        <v>959</v>
      </c>
    </row>
    <row r="4" spans="1:8">
      <c r="A4" s="350" t="str">
        <f>WACC!A4</f>
        <v>Twelve Months Ending December 31, 2021</v>
      </c>
      <c r="B4" s="350"/>
    </row>
    <row r="7" spans="1:8">
      <c r="C7" s="342"/>
      <c r="D7" s="342" t="s">
        <v>960</v>
      </c>
    </row>
    <row r="8" spans="1:8">
      <c r="A8" s="339" t="s">
        <v>4</v>
      </c>
      <c r="D8" s="342" t="s">
        <v>961</v>
      </c>
    </row>
    <row r="9" spans="1:8">
      <c r="A9" s="343" t="s">
        <v>5</v>
      </c>
      <c r="B9" s="343" t="s">
        <v>356</v>
      </c>
      <c r="C9" s="344" t="s">
        <v>962</v>
      </c>
      <c r="D9" s="344" t="s">
        <v>963</v>
      </c>
    </row>
    <row r="10" spans="1:8">
      <c r="B10" s="342" t="s">
        <v>53</v>
      </c>
      <c r="C10" s="342" t="s">
        <v>54</v>
      </c>
      <c r="D10" s="342" t="s">
        <v>97</v>
      </c>
    </row>
    <row r="11" spans="1:8">
      <c r="C11" s="362" t="s">
        <v>818</v>
      </c>
    </row>
    <row r="13" spans="1:8">
      <c r="D13" s="351"/>
    </row>
    <row r="14" spans="1:8">
      <c r="C14" s="362" t="s">
        <v>820</v>
      </c>
      <c r="D14" s="351"/>
    </row>
    <row r="15" spans="1:8">
      <c r="A15" s="342">
        <v>1</v>
      </c>
      <c r="B15" s="342">
        <v>428001</v>
      </c>
      <c r="C15" s="355" t="s">
        <v>891</v>
      </c>
      <c r="D15" s="385">
        <v>114711.84</v>
      </c>
    </row>
    <row r="16" spans="1:8">
      <c r="A16" s="342">
        <v>2</v>
      </c>
      <c r="B16" s="342">
        <v>428002</v>
      </c>
      <c r="C16" s="355" t="s">
        <v>823</v>
      </c>
      <c r="D16" s="385">
        <v>139240.57999999999</v>
      </c>
    </row>
    <row r="17" spans="1:4">
      <c r="A17" s="342">
        <v>3</v>
      </c>
      <c r="B17" s="342">
        <v>428003</v>
      </c>
      <c r="C17" s="355" t="s">
        <v>824</v>
      </c>
      <c r="D17" s="385">
        <v>78726.48</v>
      </c>
    </row>
    <row r="18" spans="1:4">
      <c r="A18" s="342">
        <v>4</v>
      </c>
      <c r="B18" s="342">
        <v>428004</v>
      </c>
      <c r="C18" s="355" t="s">
        <v>826</v>
      </c>
      <c r="D18" s="385">
        <v>20332.86</v>
      </c>
    </row>
    <row r="19" spans="1:4">
      <c r="A19" s="342">
        <v>5</v>
      </c>
      <c r="B19" s="342">
        <v>428005</v>
      </c>
      <c r="C19" s="355" t="s">
        <v>829</v>
      </c>
      <c r="D19" s="385">
        <v>200360.64</v>
      </c>
    </row>
    <row r="20" spans="1:4">
      <c r="A20" s="342">
        <v>6</v>
      </c>
      <c r="B20" s="342">
        <v>428006</v>
      </c>
      <c r="C20" s="355" t="s">
        <v>827</v>
      </c>
      <c r="D20" s="385">
        <v>21959.040000000001</v>
      </c>
    </row>
    <row r="21" spans="1:4">
      <c r="A21" s="342">
        <v>7</v>
      </c>
      <c r="B21" s="342">
        <v>428007</v>
      </c>
      <c r="C21" s="355" t="s">
        <v>964</v>
      </c>
      <c r="D21" s="385">
        <v>11707.32</v>
      </c>
    </row>
    <row r="22" spans="1:4">
      <c r="A22" s="342">
        <v>8</v>
      </c>
      <c r="B22" s="342">
        <v>428009</v>
      </c>
      <c r="C22" s="355" t="s">
        <v>821</v>
      </c>
      <c r="D22" s="385">
        <v>82569.06</v>
      </c>
    </row>
    <row r="23" spans="1:4">
      <c r="A23" s="342">
        <v>9</v>
      </c>
      <c r="B23" s="342">
        <v>428010</v>
      </c>
      <c r="C23" s="355" t="s">
        <v>822</v>
      </c>
      <c r="D23" s="385">
        <v>55081.98</v>
      </c>
    </row>
    <row r="24" spans="1:4">
      <c r="A24" s="342">
        <v>10</v>
      </c>
      <c r="B24" s="342">
        <v>428011</v>
      </c>
      <c r="C24" s="339" t="s">
        <v>952</v>
      </c>
      <c r="D24" s="385">
        <v>684872.16</v>
      </c>
    </row>
    <row r="25" spans="1:4">
      <c r="A25" s="342">
        <v>11</v>
      </c>
      <c r="B25" s="342">
        <v>428014</v>
      </c>
      <c r="C25" s="339" t="s">
        <v>892</v>
      </c>
      <c r="D25" s="385">
        <v>52286</v>
      </c>
    </row>
    <row r="26" spans="1:4">
      <c r="A26" s="342">
        <v>12</v>
      </c>
      <c r="B26" s="342">
        <v>428016</v>
      </c>
      <c r="C26" s="355" t="s">
        <v>830</v>
      </c>
      <c r="D26" s="386">
        <v>740845.02</v>
      </c>
    </row>
    <row r="27" spans="1:4">
      <c r="A27" s="342">
        <v>13</v>
      </c>
      <c r="B27" s="342"/>
      <c r="C27" s="355" t="s">
        <v>835</v>
      </c>
      <c r="D27" s="385">
        <f>SUM(D15:D26)</f>
        <v>2202692.98</v>
      </c>
    </row>
    <row r="28" spans="1:4">
      <c r="A28" s="342"/>
      <c r="B28" s="342"/>
      <c r="C28" s="355"/>
      <c r="D28" s="385"/>
    </row>
    <row r="29" spans="1:4">
      <c r="A29" s="342"/>
      <c r="D29" s="385"/>
    </row>
    <row r="30" spans="1:4">
      <c r="A30" s="342"/>
      <c r="C30" s="362" t="s">
        <v>836</v>
      </c>
      <c r="D30" s="385"/>
    </row>
    <row r="31" spans="1:4">
      <c r="A31" s="342">
        <f>A27+1</f>
        <v>14</v>
      </c>
      <c r="B31" s="342"/>
      <c r="C31" s="339" t="s">
        <v>965</v>
      </c>
      <c r="D31" s="385"/>
    </row>
    <row r="32" spans="1:4">
      <c r="A32" s="342">
        <f>A31+1</f>
        <v>15</v>
      </c>
      <c r="B32" s="342"/>
      <c r="C32" s="339" t="s">
        <v>966</v>
      </c>
      <c r="D32" s="385"/>
    </row>
    <row r="33" spans="1:4">
      <c r="A33" s="342">
        <f t="shared" ref="A33:A39" si="0">A32+1</f>
        <v>16</v>
      </c>
      <c r="B33" s="342"/>
      <c r="C33" s="339" t="s">
        <v>899</v>
      </c>
      <c r="D33" s="385"/>
    </row>
    <row r="34" spans="1:4">
      <c r="A34" s="342">
        <f t="shared" si="0"/>
        <v>17</v>
      </c>
      <c r="B34" s="342"/>
      <c r="C34" s="339" t="s">
        <v>902</v>
      </c>
      <c r="D34" s="385"/>
    </row>
    <row r="35" spans="1:4">
      <c r="A35" s="342">
        <f t="shared" si="0"/>
        <v>18</v>
      </c>
      <c r="B35" s="342"/>
      <c r="C35" s="339" t="s">
        <v>967</v>
      </c>
      <c r="D35" s="385"/>
    </row>
    <row r="36" spans="1:4">
      <c r="A36" s="342">
        <f t="shared" si="0"/>
        <v>19</v>
      </c>
      <c r="B36" s="342"/>
      <c r="C36" s="339" t="s">
        <v>968</v>
      </c>
      <c r="D36" s="385"/>
    </row>
    <row r="37" spans="1:4">
      <c r="A37" s="342">
        <f t="shared" si="0"/>
        <v>20</v>
      </c>
      <c r="B37" s="342"/>
      <c r="C37" s="339" t="s">
        <v>969</v>
      </c>
      <c r="D37" s="385"/>
    </row>
    <row r="38" spans="1:4" ht="18">
      <c r="A38" s="342">
        <f t="shared" si="0"/>
        <v>21</v>
      </c>
      <c r="B38" s="342"/>
      <c r="C38" s="339" t="s">
        <v>970</v>
      </c>
      <c r="D38" s="388"/>
    </row>
    <row r="39" spans="1:4">
      <c r="A39" s="342">
        <f t="shared" si="0"/>
        <v>22</v>
      </c>
      <c r="B39" s="342"/>
      <c r="C39" s="339" t="s">
        <v>860</v>
      </c>
      <c r="D39" s="385"/>
    </row>
    <row r="40" spans="1:4">
      <c r="B40" s="342"/>
      <c r="D40" s="385"/>
    </row>
    <row r="41" spans="1:4">
      <c r="B41" s="342"/>
      <c r="D41" s="385"/>
    </row>
    <row r="42" spans="1:4">
      <c r="B42" s="342"/>
      <c r="C42" s="362" t="s">
        <v>861</v>
      </c>
      <c r="D42" s="385"/>
    </row>
    <row r="43" spans="1:4">
      <c r="A43" s="342">
        <f>A39+1</f>
        <v>23</v>
      </c>
      <c r="B43" s="342">
        <v>428022</v>
      </c>
      <c r="C43" s="339" t="s">
        <v>971</v>
      </c>
      <c r="D43" s="385">
        <v>18649.38</v>
      </c>
    </row>
    <row r="44" spans="1:4">
      <c r="A44" s="342">
        <f>A43+1</f>
        <v>24</v>
      </c>
      <c r="B44" s="342">
        <v>428039</v>
      </c>
      <c r="C44" s="339" t="s">
        <v>920</v>
      </c>
      <c r="D44" s="385">
        <v>168163.38</v>
      </c>
    </row>
    <row r="45" spans="1:4">
      <c r="A45" s="342">
        <f t="shared" ref="A45:A51" si="1">A44+1</f>
        <v>25</v>
      </c>
      <c r="B45" s="342">
        <v>428049</v>
      </c>
      <c r="C45" s="339" t="s">
        <v>863</v>
      </c>
      <c r="D45" s="385">
        <v>8599.98</v>
      </c>
    </row>
    <row r="46" spans="1:4">
      <c r="A46" s="342">
        <f t="shared" si="1"/>
        <v>26</v>
      </c>
      <c r="B46" s="342">
        <v>428075</v>
      </c>
      <c r="C46" s="339" t="s">
        <v>972</v>
      </c>
      <c r="D46" s="385">
        <v>90519.039999999994</v>
      </c>
    </row>
    <row r="47" spans="1:4">
      <c r="A47" s="342">
        <f t="shared" si="1"/>
        <v>27</v>
      </c>
      <c r="B47" s="342">
        <v>428076</v>
      </c>
      <c r="C47" s="339" t="s">
        <v>973</v>
      </c>
      <c r="D47" s="385">
        <v>679250.53</v>
      </c>
    </row>
    <row r="48" spans="1:4">
      <c r="A48" s="342">
        <f t="shared" si="1"/>
        <v>28</v>
      </c>
      <c r="B48" s="342">
        <v>428077</v>
      </c>
      <c r="C48" s="339" t="s">
        <v>974</v>
      </c>
      <c r="D48" s="385">
        <v>6290.71</v>
      </c>
    </row>
    <row r="49" spans="1:4">
      <c r="A49" s="342">
        <f t="shared" si="1"/>
        <v>29</v>
      </c>
      <c r="B49" s="342">
        <v>428084</v>
      </c>
      <c r="C49" s="339" t="s">
        <v>868</v>
      </c>
      <c r="D49" s="385">
        <v>94289.8</v>
      </c>
    </row>
    <row r="50" spans="1:4">
      <c r="A50" s="342">
        <f t="shared" si="1"/>
        <v>30</v>
      </c>
      <c r="B50" s="342">
        <v>428086</v>
      </c>
      <c r="C50" s="339" t="s">
        <v>869</v>
      </c>
      <c r="D50" s="386">
        <v>57971.61</v>
      </c>
    </row>
    <row r="51" spans="1:4">
      <c r="A51" s="342">
        <f t="shared" si="1"/>
        <v>31</v>
      </c>
      <c r="B51" s="342"/>
      <c r="C51" s="339" t="s">
        <v>870</v>
      </c>
      <c r="D51" s="385">
        <f>SUM(D43:D50)</f>
        <v>1123734.4300000002</v>
      </c>
    </row>
    <row r="52" spans="1:4">
      <c r="A52" s="342"/>
      <c r="B52" s="342"/>
      <c r="D52" s="385"/>
    </row>
    <row r="53" spans="1:4">
      <c r="A53" s="342"/>
      <c r="B53" s="342"/>
      <c r="D53" s="385"/>
    </row>
    <row r="54" spans="1:4">
      <c r="A54" s="342"/>
      <c r="B54" s="342"/>
      <c r="C54" s="362" t="s">
        <v>975</v>
      </c>
      <c r="D54" s="385"/>
    </row>
    <row r="55" spans="1:4">
      <c r="A55" s="342">
        <v>32</v>
      </c>
      <c r="B55" s="342"/>
      <c r="D55" s="385"/>
    </row>
    <row r="56" spans="1:4">
      <c r="A56" s="342"/>
      <c r="B56" s="342"/>
      <c r="D56" s="385"/>
    </row>
    <row r="57" spans="1:4">
      <c r="A57" s="342"/>
      <c r="B57" s="342"/>
      <c r="D57" s="385"/>
    </row>
    <row r="58" spans="1:4">
      <c r="A58" s="342">
        <v>33</v>
      </c>
      <c r="B58" s="342"/>
      <c r="C58" s="339" t="s">
        <v>884</v>
      </c>
      <c r="D58" s="385">
        <f>D27+D39+D51+D55</f>
        <v>3326427.41</v>
      </c>
    </row>
    <row r="59" spans="1:4">
      <c r="A59" s="342"/>
      <c r="B59" s="342"/>
      <c r="D59" s="351"/>
    </row>
    <row r="60" spans="1:4">
      <c r="A60" s="342"/>
    </row>
    <row r="61" spans="1:4">
      <c r="B61" s="355" t="s">
        <v>976</v>
      </c>
    </row>
  </sheetData>
  <pageMargins left="0.75" right="0.75" top="1" bottom="1" header="0.5" footer="0.5"/>
  <pageSetup scale="80" orientation="portrait" horizontalDpi="4294967293" r:id="rId1"/>
  <headerFooter alignWithMargins="0">
    <oddFooter>&amp;CExhibit BGM 1.1, Schedule 26               
Page 9 of 18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D60"/>
  <sheetViews>
    <sheetView topLeftCell="A44" zoomScaleNormal="100" workbookViewId="0">
      <selection activeCell="C9" sqref="C9"/>
    </sheetView>
  </sheetViews>
  <sheetFormatPr defaultRowHeight="15.75"/>
  <cols>
    <col min="1" max="2" width="9.140625" style="339"/>
    <col min="3" max="3" width="35.7109375" style="339" customWidth="1"/>
    <col min="4" max="4" width="14.7109375" style="339" customWidth="1"/>
    <col min="5" max="16384" width="9.140625" style="339"/>
  </cols>
  <sheetData>
    <row r="1" spans="1:4">
      <c r="A1" s="355" t="s">
        <v>0</v>
      </c>
    </row>
    <row r="2" spans="1:4">
      <c r="A2" s="355" t="str">
        <f>WACC!A2</f>
        <v>Docket No. NG22-___</v>
      </c>
    </row>
    <row r="3" spans="1:4">
      <c r="A3" s="355" t="s">
        <v>977</v>
      </c>
    </row>
    <row r="4" spans="1:4">
      <c r="A4" s="387" t="str">
        <f>WACC!A4</f>
        <v>Twelve Months Ending December 31, 2021</v>
      </c>
    </row>
    <row r="7" spans="1:4">
      <c r="C7" s="372"/>
      <c r="D7" s="342" t="s">
        <v>960</v>
      </c>
    </row>
    <row r="8" spans="1:4">
      <c r="A8" s="339" t="s">
        <v>4</v>
      </c>
      <c r="D8" s="342" t="s">
        <v>961</v>
      </c>
    </row>
    <row r="9" spans="1:4">
      <c r="A9" s="343" t="s">
        <v>5</v>
      </c>
      <c r="B9" s="343" t="s">
        <v>356</v>
      </c>
      <c r="C9" s="344" t="s">
        <v>962</v>
      </c>
      <c r="D9" s="344" t="s">
        <v>146</v>
      </c>
    </row>
    <row r="10" spans="1:4">
      <c r="B10" s="342" t="s">
        <v>53</v>
      </c>
      <c r="C10" s="342" t="s">
        <v>54</v>
      </c>
      <c r="D10" s="342" t="s">
        <v>97</v>
      </c>
    </row>
    <row r="11" spans="1:4">
      <c r="C11" s="362" t="s">
        <v>818</v>
      </c>
    </row>
    <row r="13" spans="1:4">
      <c r="C13" s="362"/>
    </row>
    <row r="14" spans="1:4">
      <c r="C14" s="362" t="s">
        <v>820</v>
      </c>
    </row>
    <row r="15" spans="1:4">
      <c r="A15" s="342">
        <v>1</v>
      </c>
      <c r="B15" s="342">
        <v>428072</v>
      </c>
      <c r="C15" s="355" t="s">
        <v>823</v>
      </c>
      <c r="D15" s="385">
        <v>224620.92</v>
      </c>
    </row>
    <row r="16" spans="1:4">
      <c r="A16" s="342">
        <v>2</v>
      </c>
      <c r="B16" s="342">
        <v>428073</v>
      </c>
      <c r="C16" s="355" t="s">
        <v>824</v>
      </c>
      <c r="D16" s="385">
        <v>132119.1</v>
      </c>
    </row>
    <row r="17" spans="1:4">
      <c r="A17" s="342">
        <v>3</v>
      </c>
      <c r="B17" s="342">
        <v>428074</v>
      </c>
      <c r="C17" s="355" t="s">
        <v>823</v>
      </c>
      <c r="D17" s="385">
        <v>189913.2</v>
      </c>
    </row>
    <row r="18" spans="1:4">
      <c r="A18" s="342">
        <v>4</v>
      </c>
      <c r="B18" s="342">
        <v>428083</v>
      </c>
      <c r="C18" s="355" t="s">
        <v>828</v>
      </c>
      <c r="D18" s="385">
        <v>158853.35999999999</v>
      </c>
    </row>
    <row r="19" spans="1:4">
      <c r="A19" s="342">
        <v>5</v>
      </c>
      <c r="B19" s="342">
        <v>428085</v>
      </c>
      <c r="C19" s="355" t="s">
        <v>826</v>
      </c>
      <c r="D19" s="385">
        <v>162810.84</v>
      </c>
    </row>
    <row r="20" spans="1:4">
      <c r="A20" s="342">
        <v>6</v>
      </c>
      <c r="B20" s="342">
        <v>428087</v>
      </c>
      <c r="C20" s="355" t="s">
        <v>978</v>
      </c>
      <c r="D20" s="385">
        <v>302938.44</v>
      </c>
    </row>
    <row r="21" spans="1:4">
      <c r="A21" s="342">
        <v>7</v>
      </c>
      <c r="B21" s="342">
        <v>428089</v>
      </c>
      <c r="C21" s="355" t="s">
        <v>821</v>
      </c>
      <c r="D21" s="385">
        <v>189382.5</v>
      </c>
    </row>
    <row r="22" spans="1:4">
      <c r="A22" s="342">
        <v>8</v>
      </c>
      <c r="B22" s="342">
        <v>428090</v>
      </c>
      <c r="C22" s="355" t="s">
        <v>822</v>
      </c>
      <c r="D22" s="385">
        <v>111565.68</v>
      </c>
    </row>
    <row r="23" spans="1:4">
      <c r="A23" s="342">
        <v>9</v>
      </c>
      <c r="B23" s="342">
        <v>428091</v>
      </c>
      <c r="C23" s="355" t="s">
        <v>952</v>
      </c>
      <c r="D23" s="385">
        <v>262348.92</v>
      </c>
    </row>
    <row r="24" spans="1:4">
      <c r="A24" s="342">
        <v>10</v>
      </c>
      <c r="B24" s="342">
        <v>428092</v>
      </c>
      <c r="C24" s="355" t="s">
        <v>891</v>
      </c>
      <c r="D24" s="385">
        <v>181899.12</v>
      </c>
    </row>
    <row r="25" spans="1:4">
      <c r="A25" s="342">
        <v>11</v>
      </c>
      <c r="B25" s="342">
        <v>428093</v>
      </c>
      <c r="C25" s="355" t="s">
        <v>830</v>
      </c>
      <c r="D25" s="385">
        <v>149821.79999999999</v>
      </c>
    </row>
    <row r="26" spans="1:4">
      <c r="A26" s="342">
        <v>12</v>
      </c>
      <c r="B26" s="342">
        <v>428094</v>
      </c>
      <c r="C26" s="355" t="s">
        <v>892</v>
      </c>
      <c r="D26" s="385">
        <v>68252.460000000006</v>
      </c>
    </row>
    <row r="27" spans="1:4">
      <c r="A27" s="342">
        <v>13</v>
      </c>
      <c r="B27" s="342">
        <v>428098</v>
      </c>
      <c r="C27" s="355" t="s">
        <v>829</v>
      </c>
      <c r="D27" s="385">
        <v>214182.72</v>
      </c>
    </row>
    <row r="28" spans="1:4">
      <c r="A28" s="342">
        <v>14</v>
      </c>
      <c r="B28" s="342">
        <v>428030</v>
      </c>
      <c r="C28" s="355" t="s">
        <v>830</v>
      </c>
      <c r="D28" s="386">
        <v>329458.56</v>
      </c>
    </row>
    <row r="29" spans="1:4">
      <c r="A29" s="342">
        <v>15</v>
      </c>
      <c r="C29" s="339" t="s">
        <v>835</v>
      </c>
      <c r="D29" s="385">
        <f>SUM(D15:D28)</f>
        <v>2678167.62</v>
      </c>
    </row>
    <row r="30" spans="1:4">
      <c r="A30" s="342"/>
      <c r="D30" s="385"/>
    </row>
    <row r="31" spans="1:4">
      <c r="A31" s="342"/>
      <c r="D31" s="385"/>
    </row>
    <row r="32" spans="1:4">
      <c r="A32" s="342"/>
      <c r="C32" s="362" t="s">
        <v>836</v>
      </c>
      <c r="D32" s="385"/>
    </row>
    <row r="33" spans="1:4">
      <c r="A33" s="342">
        <f>A29+1</f>
        <v>16</v>
      </c>
      <c r="B33" s="342">
        <v>428017</v>
      </c>
      <c r="C33" s="339" t="s">
        <v>979</v>
      </c>
      <c r="D33" s="385">
        <v>22037.040000000001</v>
      </c>
    </row>
    <row r="34" spans="1:4">
      <c r="A34" s="342">
        <f>A33+1</f>
        <v>17</v>
      </c>
      <c r="B34" s="342">
        <v>428019</v>
      </c>
      <c r="C34" s="355" t="s">
        <v>844</v>
      </c>
      <c r="D34" s="385">
        <v>17002.68</v>
      </c>
    </row>
    <row r="35" spans="1:4">
      <c r="A35" s="342">
        <f t="shared" ref="A35:A41" si="0">A34+1</f>
        <v>18</v>
      </c>
      <c r="B35" s="342">
        <v>428020</v>
      </c>
      <c r="C35" s="339" t="s">
        <v>847</v>
      </c>
      <c r="D35" s="385">
        <v>34437.360000000001</v>
      </c>
    </row>
    <row r="36" spans="1:4">
      <c r="A36" s="342">
        <f t="shared" si="0"/>
        <v>19</v>
      </c>
      <c r="B36" s="342">
        <v>428026</v>
      </c>
      <c r="C36" s="339" t="s">
        <v>969</v>
      </c>
      <c r="D36" s="385">
        <v>12589.56</v>
      </c>
    </row>
    <row r="37" spans="1:4">
      <c r="A37" s="342">
        <f t="shared" si="0"/>
        <v>20</v>
      </c>
      <c r="B37" s="342">
        <v>428027</v>
      </c>
      <c r="C37" s="339" t="s">
        <v>970</v>
      </c>
      <c r="D37" s="385">
        <v>23235.9</v>
      </c>
    </row>
    <row r="38" spans="1:4">
      <c r="A38" s="342">
        <f t="shared" si="0"/>
        <v>21</v>
      </c>
      <c r="B38" s="342">
        <v>428063</v>
      </c>
      <c r="C38" s="339" t="s">
        <v>965</v>
      </c>
      <c r="D38" s="385">
        <v>8547.06</v>
      </c>
    </row>
    <row r="39" spans="1:4">
      <c r="A39" s="342">
        <f t="shared" si="0"/>
        <v>22</v>
      </c>
      <c r="B39" s="342">
        <v>428081</v>
      </c>
      <c r="C39" s="339" t="s">
        <v>967</v>
      </c>
      <c r="D39" s="385">
        <v>5934.78</v>
      </c>
    </row>
    <row r="40" spans="1:4">
      <c r="A40" s="342">
        <f t="shared" si="0"/>
        <v>23</v>
      </c>
      <c r="B40" s="342">
        <v>428082</v>
      </c>
      <c r="C40" s="339" t="s">
        <v>968</v>
      </c>
      <c r="D40" s="386">
        <v>6404.52</v>
      </c>
    </row>
    <row r="41" spans="1:4">
      <c r="A41" s="342">
        <f t="shared" si="0"/>
        <v>24</v>
      </c>
      <c r="B41" s="342"/>
      <c r="C41" s="339" t="s">
        <v>860</v>
      </c>
      <c r="D41" s="385">
        <f>SUM(D33:D40)</f>
        <v>130188.90000000001</v>
      </c>
    </row>
    <row r="42" spans="1:4">
      <c r="B42" s="342"/>
      <c r="D42" s="385"/>
    </row>
    <row r="43" spans="1:4">
      <c r="B43" s="342"/>
      <c r="D43" s="385"/>
    </row>
    <row r="44" spans="1:4">
      <c r="B44" s="342"/>
      <c r="C44" s="362" t="s">
        <v>861</v>
      </c>
      <c r="D44" s="385"/>
    </row>
    <row r="45" spans="1:4">
      <c r="A45" s="342">
        <f>A41+1</f>
        <v>25</v>
      </c>
      <c r="B45" s="342">
        <v>428012</v>
      </c>
      <c r="C45" s="339" t="s">
        <v>980</v>
      </c>
      <c r="D45" s="385">
        <v>110484.42</v>
      </c>
    </row>
    <row r="46" spans="1:4">
      <c r="A46" s="342">
        <f>A45+1</f>
        <v>26</v>
      </c>
      <c r="B46" s="342">
        <v>428095</v>
      </c>
      <c r="C46" s="339" t="s">
        <v>920</v>
      </c>
      <c r="D46" s="385">
        <v>128112.84</v>
      </c>
    </row>
    <row r="47" spans="1:4">
      <c r="A47" s="342">
        <f t="shared" ref="A47:A48" si="1">A46+1</f>
        <v>27</v>
      </c>
      <c r="B47" s="342">
        <v>428099</v>
      </c>
      <c r="C47" s="339" t="s">
        <v>981</v>
      </c>
      <c r="D47" s="386">
        <v>109609.14</v>
      </c>
    </row>
    <row r="48" spans="1:4">
      <c r="A48" s="342">
        <f t="shared" si="1"/>
        <v>28</v>
      </c>
      <c r="B48" s="342"/>
      <c r="C48" s="339" t="s">
        <v>870</v>
      </c>
      <c r="D48" s="385">
        <f>SUM(D45:D47)</f>
        <v>348206.4</v>
      </c>
    </row>
    <row r="49" spans="1:4">
      <c r="A49" s="342"/>
      <c r="B49" s="342"/>
      <c r="D49" s="385"/>
    </row>
    <row r="50" spans="1:4">
      <c r="A50" s="342"/>
      <c r="B50" s="342"/>
      <c r="D50" s="385"/>
    </row>
    <row r="51" spans="1:4">
      <c r="A51" s="342"/>
      <c r="B51" s="342"/>
      <c r="C51" s="362" t="s">
        <v>975</v>
      </c>
      <c r="D51" s="385"/>
    </row>
    <row r="52" spans="1:4">
      <c r="A52" s="342">
        <v>29</v>
      </c>
      <c r="B52" s="342"/>
      <c r="D52" s="385"/>
    </row>
    <row r="53" spans="1:4">
      <c r="A53" s="342"/>
      <c r="B53" s="342"/>
      <c r="D53" s="385"/>
    </row>
    <row r="54" spans="1:4">
      <c r="A54" s="342"/>
      <c r="B54" s="342"/>
      <c r="D54" s="385"/>
    </row>
    <row r="55" spans="1:4">
      <c r="A55" s="342"/>
      <c r="B55" s="342"/>
      <c r="D55" s="385"/>
    </row>
    <row r="56" spans="1:4">
      <c r="A56" s="342">
        <v>30</v>
      </c>
      <c r="B56" s="342"/>
      <c r="C56" s="339" t="s">
        <v>884</v>
      </c>
      <c r="D56" s="385">
        <f>D29+D41+D48+D52</f>
        <v>3156562.92</v>
      </c>
    </row>
    <row r="57" spans="1:4">
      <c r="A57" s="342"/>
      <c r="B57" s="342"/>
      <c r="D57" s="351"/>
    </row>
    <row r="59" spans="1:4">
      <c r="B59" s="355" t="s">
        <v>976</v>
      </c>
    </row>
    <row r="60" spans="1:4">
      <c r="B60" s="340"/>
    </row>
  </sheetData>
  <pageMargins left="0.75" right="0.75" top="1" bottom="1" header="0.5" footer="0.5"/>
  <pageSetup scale="82" orientation="portrait" r:id="rId1"/>
  <headerFooter alignWithMargins="0">
    <oddFooter>&amp;CExhibit BGM 1.1, Schedule 26               
Page 10 of 18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52"/>
  <sheetViews>
    <sheetView view="pageLayout" topLeftCell="A10" zoomScaleNormal="100" workbookViewId="0">
      <selection activeCell="D36" sqref="D36"/>
    </sheetView>
  </sheetViews>
  <sheetFormatPr defaultRowHeight="15.75"/>
  <cols>
    <col min="1" max="2" width="9.140625" style="339"/>
    <col min="3" max="3" width="40" style="339" bestFit="1" customWidth="1"/>
    <col min="4" max="4" width="15.7109375" style="339" customWidth="1"/>
    <col min="5" max="5" width="9.140625" style="339"/>
    <col min="6" max="6" width="12.85546875" style="339" bestFit="1" customWidth="1"/>
    <col min="7" max="7" width="10.28515625" style="339" bestFit="1" customWidth="1"/>
    <col min="8" max="8" width="9.140625" style="339"/>
    <col min="9" max="9" width="10.28515625" style="339" bestFit="1" customWidth="1"/>
    <col min="10" max="16384" width="9.140625" style="339"/>
  </cols>
  <sheetData>
    <row r="1" spans="1:8">
      <c r="A1" s="339" t="s">
        <v>0</v>
      </c>
      <c r="B1" s="341"/>
    </row>
    <row r="2" spans="1:8">
      <c r="A2" s="339" t="str">
        <f>WACC!A2</f>
        <v>Docket No. NG22-___</v>
      </c>
      <c r="B2" s="341"/>
      <c r="C2" s="341"/>
      <c r="D2" s="341"/>
      <c r="E2" s="341"/>
      <c r="F2" s="341"/>
      <c r="G2" s="341"/>
      <c r="H2" s="341"/>
    </row>
    <row r="3" spans="1:8">
      <c r="A3" s="339" t="s">
        <v>982</v>
      </c>
    </row>
    <row r="4" spans="1:8">
      <c r="A4" s="350" t="str">
        <f>WACC!A4</f>
        <v>Twelve Months Ending December 31, 2021</v>
      </c>
      <c r="B4" s="350"/>
    </row>
    <row r="7" spans="1:8">
      <c r="C7" s="342"/>
      <c r="D7" s="342" t="s">
        <v>960</v>
      </c>
    </row>
    <row r="8" spans="1:8">
      <c r="A8" s="339" t="s">
        <v>4</v>
      </c>
      <c r="D8" s="342" t="s">
        <v>983</v>
      </c>
    </row>
    <row r="9" spans="1:8">
      <c r="A9" s="343" t="s">
        <v>5</v>
      </c>
      <c r="B9" s="343"/>
      <c r="C9" s="344" t="s">
        <v>962</v>
      </c>
      <c r="D9" s="344" t="s">
        <v>984</v>
      </c>
    </row>
    <row r="10" spans="1:8">
      <c r="B10" s="342" t="s">
        <v>53</v>
      </c>
      <c r="C10" s="342" t="s">
        <v>54</v>
      </c>
      <c r="D10" s="342" t="s">
        <v>97</v>
      </c>
    </row>
    <row r="11" spans="1:8">
      <c r="C11" s="362" t="s">
        <v>818</v>
      </c>
    </row>
    <row r="13" spans="1:8">
      <c r="D13" s="351"/>
    </row>
    <row r="14" spans="1:8">
      <c r="D14" s="351"/>
    </row>
    <row r="15" spans="1:8">
      <c r="C15" s="362" t="s">
        <v>820</v>
      </c>
      <c r="D15" s="351"/>
    </row>
    <row r="16" spans="1:8">
      <c r="A16" s="342">
        <v>1</v>
      </c>
      <c r="B16" s="342">
        <v>428148</v>
      </c>
      <c r="C16" s="339" t="s">
        <v>985</v>
      </c>
      <c r="D16" s="351">
        <v>6718.98</v>
      </c>
    </row>
    <row r="17" spans="1:4">
      <c r="A17" s="342">
        <v>2</v>
      </c>
      <c r="B17" s="342">
        <v>428150</v>
      </c>
      <c r="C17" s="339" t="s">
        <v>986</v>
      </c>
      <c r="D17" s="351">
        <v>5236.1400000000003</v>
      </c>
    </row>
    <row r="18" spans="1:4">
      <c r="A18" s="342">
        <v>3</v>
      </c>
      <c r="B18" s="342">
        <v>428151</v>
      </c>
      <c r="C18" s="339" t="s">
        <v>987</v>
      </c>
      <c r="D18" s="351">
        <v>42494.22</v>
      </c>
    </row>
    <row r="19" spans="1:4">
      <c r="A19" s="342">
        <v>4</v>
      </c>
      <c r="B19" s="342">
        <v>428156</v>
      </c>
      <c r="C19" s="339" t="s">
        <v>988</v>
      </c>
      <c r="D19" s="351">
        <v>102702.78</v>
      </c>
    </row>
    <row r="20" spans="1:4">
      <c r="A20" s="342">
        <v>5</v>
      </c>
      <c r="B20" s="342">
        <v>428187</v>
      </c>
      <c r="C20" s="339" t="s">
        <v>978</v>
      </c>
      <c r="D20" s="351">
        <v>215599.62</v>
      </c>
    </row>
    <row r="21" spans="1:4">
      <c r="A21" s="342">
        <v>6</v>
      </c>
      <c r="B21" s="342">
        <v>428188</v>
      </c>
      <c r="C21" s="339" t="s">
        <v>828</v>
      </c>
      <c r="D21" s="351">
        <v>91287.96</v>
      </c>
    </row>
    <row r="22" spans="1:4">
      <c r="A22" s="342">
        <v>7</v>
      </c>
      <c r="B22" s="342">
        <v>428190</v>
      </c>
      <c r="C22" s="339" t="s">
        <v>989</v>
      </c>
      <c r="D22" s="351">
        <v>2916.12</v>
      </c>
    </row>
    <row r="23" spans="1:4">
      <c r="A23" s="342">
        <v>8</v>
      </c>
      <c r="B23" s="342">
        <v>428191</v>
      </c>
      <c r="C23" s="339" t="s">
        <v>990</v>
      </c>
      <c r="D23" s="351">
        <v>1461.96</v>
      </c>
    </row>
    <row r="24" spans="1:4">
      <c r="A24" s="342">
        <v>9</v>
      </c>
      <c r="B24" s="342"/>
      <c r="C24" s="339" t="s">
        <v>991</v>
      </c>
      <c r="D24" s="351">
        <f>SUM(D16:D23)</f>
        <v>468417.78</v>
      </c>
    </row>
    <row r="25" spans="1:4">
      <c r="A25" s="342"/>
      <c r="B25" s="342"/>
      <c r="D25" s="351"/>
    </row>
    <row r="26" spans="1:4">
      <c r="D26" s="351"/>
    </row>
    <row r="27" spans="1:4">
      <c r="C27" s="362" t="s">
        <v>836</v>
      </c>
      <c r="D27" s="351"/>
    </row>
    <row r="28" spans="1:4">
      <c r="A28" s="342">
        <f>A24+1</f>
        <v>10</v>
      </c>
      <c r="B28" s="342">
        <v>428113</v>
      </c>
      <c r="C28" s="339" t="s">
        <v>965</v>
      </c>
      <c r="D28" s="351">
        <v>24501.95</v>
      </c>
    </row>
    <row r="29" spans="1:4">
      <c r="A29" s="342">
        <f>A28+1</f>
        <v>11</v>
      </c>
      <c r="B29" s="342">
        <v>428117</v>
      </c>
      <c r="C29" s="339" t="s">
        <v>970</v>
      </c>
      <c r="D29" s="357">
        <v>47937.27</v>
      </c>
    </row>
    <row r="30" spans="1:4">
      <c r="A30" s="342">
        <f>A29+1</f>
        <v>12</v>
      </c>
      <c r="B30" s="342"/>
      <c r="C30" s="339" t="s">
        <v>860</v>
      </c>
      <c r="D30" s="351">
        <f>SUM(D28:D29)</f>
        <v>72439.22</v>
      </c>
    </row>
    <row r="31" spans="1:4">
      <c r="A31" s="342"/>
      <c r="B31" s="342"/>
      <c r="D31" s="351"/>
    </row>
    <row r="32" spans="1:4">
      <c r="A32" s="342"/>
      <c r="B32" s="342"/>
      <c r="D32" s="351"/>
    </row>
    <row r="33" spans="1:9">
      <c r="A33" s="342"/>
      <c r="B33" s="342"/>
      <c r="C33" s="362" t="s">
        <v>861</v>
      </c>
      <c r="D33" s="351"/>
    </row>
    <row r="34" spans="1:9">
      <c r="A34" s="342">
        <f>A30+1</f>
        <v>13</v>
      </c>
      <c r="B34" s="342">
        <v>428165</v>
      </c>
      <c r="C34" s="355" t="s">
        <v>920</v>
      </c>
      <c r="D34" s="351">
        <v>105884.4</v>
      </c>
    </row>
    <row r="35" spans="1:9">
      <c r="A35" s="342">
        <f>A34+1</f>
        <v>14</v>
      </c>
      <c r="B35" s="342">
        <v>428182</v>
      </c>
      <c r="C35" s="355" t="s">
        <v>823</v>
      </c>
      <c r="D35" s="351">
        <v>216410.4</v>
      </c>
      <c r="I35" s="351"/>
    </row>
    <row r="36" spans="1:9">
      <c r="A36" s="342">
        <f t="shared" ref="A36:A37" si="0">A35+1</f>
        <v>15</v>
      </c>
      <c r="B36" s="342">
        <v>428183</v>
      </c>
      <c r="C36" s="355" t="s">
        <v>824</v>
      </c>
      <c r="D36" s="357">
        <v>98997.78</v>
      </c>
      <c r="I36" s="351"/>
    </row>
    <row r="37" spans="1:9">
      <c r="A37" s="342">
        <f t="shared" si="0"/>
        <v>16</v>
      </c>
      <c r="B37" s="342"/>
      <c r="C37" s="355" t="s">
        <v>992</v>
      </c>
      <c r="D37" s="351">
        <f>SUM(D34:D36)</f>
        <v>421292.57999999996</v>
      </c>
    </row>
    <row r="38" spans="1:9">
      <c r="A38" s="342"/>
      <c r="B38" s="342"/>
      <c r="C38" s="355"/>
      <c r="D38" s="351"/>
    </row>
    <row r="39" spans="1:9">
      <c r="A39" s="342"/>
      <c r="B39" s="342"/>
      <c r="D39" s="351"/>
    </row>
    <row r="40" spans="1:9">
      <c r="A40" s="342"/>
      <c r="B40" s="342"/>
      <c r="C40" s="362" t="s">
        <v>975</v>
      </c>
      <c r="D40" s="351"/>
    </row>
    <row r="41" spans="1:9">
      <c r="A41" s="342"/>
      <c r="B41" s="342"/>
      <c r="C41" s="355"/>
      <c r="D41" s="351"/>
    </row>
    <row r="42" spans="1:9">
      <c r="A42" s="342"/>
      <c r="B42" s="342"/>
      <c r="C42" s="362" t="s">
        <v>352</v>
      </c>
      <c r="D42" s="351"/>
    </row>
    <row r="43" spans="1:9">
      <c r="A43" s="342">
        <v>17</v>
      </c>
      <c r="B43" s="342"/>
      <c r="C43" s="339" t="s">
        <v>882</v>
      </c>
      <c r="D43" s="379">
        <f>'7.45%B'!G26</f>
        <v>9261.2885350318465</v>
      </c>
    </row>
    <row r="44" spans="1:9">
      <c r="A44" s="342"/>
      <c r="B44" s="342"/>
      <c r="D44" s="351"/>
    </row>
    <row r="45" spans="1:9">
      <c r="A45" s="342"/>
      <c r="B45" s="342"/>
      <c r="D45" s="351"/>
    </row>
    <row r="46" spans="1:9">
      <c r="A46" s="342"/>
      <c r="B46" s="342"/>
      <c r="D46" s="351"/>
    </row>
    <row r="47" spans="1:9">
      <c r="A47" s="342">
        <v>18</v>
      </c>
      <c r="B47" s="342"/>
      <c r="C47" s="339" t="s">
        <v>884</v>
      </c>
      <c r="D47" s="351">
        <f>D24+D30+D37+D43</f>
        <v>971410.8685350318</v>
      </c>
      <c r="F47" s="353"/>
      <c r="G47" s="351"/>
    </row>
    <row r="48" spans="1:9">
      <c r="A48" s="342"/>
      <c r="B48" s="342"/>
      <c r="D48" s="351"/>
      <c r="F48" s="353"/>
      <c r="G48" s="351"/>
    </row>
    <row r="49" spans="2:6">
      <c r="D49" s="351"/>
      <c r="F49" s="353"/>
    </row>
    <row r="50" spans="2:6">
      <c r="B50" s="355" t="s">
        <v>993</v>
      </c>
      <c r="D50" s="351"/>
      <c r="F50" s="353"/>
    </row>
    <row r="51" spans="2:6">
      <c r="B51" s="355" t="s">
        <v>994</v>
      </c>
    </row>
    <row r="52" spans="2:6">
      <c r="B52" s="355"/>
    </row>
  </sheetData>
  <pageMargins left="0.75" right="0.75" top="1" bottom="1" header="0.5" footer="0.5"/>
  <pageSetup scale="78" orientation="portrait" horizontalDpi="4294967293" r:id="rId1"/>
  <headerFooter alignWithMargins="0">
    <oddFooter>&amp;CExhibit BGM 1.1, Schedule 26               
Page 11 of 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39"/>
  <sheetViews>
    <sheetView topLeftCell="Q6" zoomScaleNormal="100" workbookViewId="0">
      <selection activeCell="Y24" sqref="Y24"/>
    </sheetView>
  </sheetViews>
  <sheetFormatPr defaultColWidth="9.140625" defaultRowHeight="15.75"/>
  <cols>
    <col min="1" max="1" width="3.85546875" style="17" customWidth="1"/>
    <col min="2" max="2" width="0.85546875" style="17" customWidth="1"/>
    <col min="3" max="3" width="33.42578125" style="17" customWidth="1"/>
    <col min="4" max="4" width="1" style="17" customWidth="1"/>
    <col min="5" max="5" width="13.7109375" style="17" customWidth="1"/>
    <col min="6" max="6" width="0.85546875" style="17" customWidth="1"/>
    <col min="7" max="7" width="13.7109375" style="17" customWidth="1"/>
    <col min="8" max="8" width="0.85546875" style="17" customWidth="1"/>
    <col min="9" max="9" width="13.7109375" style="17" customWidth="1"/>
    <col min="10" max="10" width="0.85546875" style="17" customWidth="1"/>
    <col min="11" max="11" width="13.7109375" style="17" customWidth="1"/>
    <col min="12" max="12" width="0.85546875" style="17" customWidth="1"/>
    <col min="13" max="13" width="13.7109375" style="17" customWidth="1"/>
    <col min="14" max="14" width="0.85546875" style="17" customWidth="1"/>
    <col min="15" max="15" width="13.7109375" style="17" customWidth="1"/>
    <col min="16" max="16" width="0.85546875" style="17" customWidth="1"/>
    <col min="17" max="17" width="13.7109375" style="17" customWidth="1"/>
    <col min="18" max="18" width="0.85546875" style="17" customWidth="1"/>
    <col min="19" max="19" width="13.7109375" style="17" customWidth="1"/>
    <col min="20" max="20" width="0.85546875" style="17" customWidth="1"/>
    <col min="21" max="21" width="13.7109375" style="17" customWidth="1"/>
    <col min="22" max="22" width="0.85546875" style="17" customWidth="1"/>
    <col min="23" max="23" width="13.7109375" style="17" customWidth="1"/>
    <col min="24" max="24" width="0.85546875" style="17" customWidth="1"/>
    <col min="25" max="25" width="13.7109375" style="17" customWidth="1"/>
    <col min="26" max="26" width="0.85546875" style="17" customWidth="1"/>
    <col min="27" max="27" width="13.7109375" style="17" customWidth="1"/>
    <col min="28" max="28" width="0.85546875" style="17" customWidth="1"/>
    <col min="29" max="29" width="13.7109375" style="17" customWidth="1"/>
    <col min="30" max="30" width="0.85546875" style="17" customWidth="1"/>
    <col min="31" max="31" width="13.7109375" style="17" customWidth="1"/>
    <col min="32" max="32" width="0.85546875" style="17" customWidth="1"/>
    <col min="33" max="33" width="13.7109375" style="17" customWidth="1"/>
    <col min="34" max="34" width="0.85546875" style="17" customWidth="1"/>
    <col min="35" max="35" width="13.7109375" style="17" hidden="1" customWidth="1"/>
    <col min="36" max="36" width="0.85546875" style="17" customWidth="1"/>
    <col min="37" max="16384" width="9.140625" style="17"/>
  </cols>
  <sheetData>
    <row r="1" spans="1:35">
      <c r="A1" s="17" t="s">
        <v>0</v>
      </c>
    </row>
    <row r="2" spans="1:35">
      <c r="A2" s="17" t="str">
        <f>RevReq!A2</f>
        <v>Docket No. NG22-___</v>
      </c>
    </row>
    <row r="3" spans="1:35">
      <c r="A3" s="17" t="s">
        <v>124</v>
      </c>
    </row>
    <row r="4" spans="1:35">
      <c r="A4" s="17" t="s">
        <v>125</v>
      </c>
      <c r="E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35">
      <c r="A5" s="17" t="str">
        <f>RevReq!A4</f>
        <v>Test Year Ended December 31, 2021</v>
      </c>
      <c r="E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31"/>
      <c r="S5" s="19"/>
      <c r="U5" s="19"/>
    </row>
    <row r="6" spans="1:35">
      <c r="A6" s="18" t="s">
        <v>49</v>
      </c>
      <c r="E6" s="19"/>
      <c r="G6" s="19"/>
      <c r="H6" s="19"/>
      <c r="I6" s="19"/>
      <c r="J6" s="19"/>
      <c r="K6" s="31"/>
      <c r="L6" s="19"/>
      <c r="M6" s="19"/>
      <c r="N6" s="19"/>
      <c r="O6" s="19"/>
      <c r="P6" s="19"/>
      <c r="Q6" s="31"/>
      <c r="S6" s="19"/>
      <c r="U6" s="19"/>
      <c r="W6" s="19"/>
      <c r="Y6" s="19"/>
      <c r="AA6" s="19"/>
      <c r="AC6" s="19"/>
      <c r="AE6" s="19"/>
      <c r="AG6" s="19"/>
    </row>
    <row r="7" spans="1:35">
      <c r="E7" s="19"/>
      <c r="G7" s="19"/>
      <c r="H7" s="19"/>
      <c r="I7" s="19"/>
      <c r="J7" s="19"/>
      <c r="K7" s="31"/>
      <c r="L7" s="19"/>
      <c r="M7" s="19"/>
      <c r="N7" s="19"/>
      <c r="O7" s="19"/>
      <c r="P7" s="19"/>
      <c r="S7" s="19"/>
      <c r="U7" s="19"/>
      <c r="W7" s="19"/>
      <c r="AA7" s="19"/>
      <c r="AC7" s="19"/>
      <c r="AE7" s="19"/>
      <c r="AG7" s="19"/>
    </row>
    <row r="8" spans="1:35">
      <c r="E8" s="19"/>
      <c r="G8" s="19"/>
      <c r="H8" s="19"/>
      <c r="I8" s="19"/>
      <c r="J8" s="19"/>
      <c r="K8" s="19"/>
      <c r="L8" s="19"/>
      <c r="M8" s="19"/>
      <c r="N8" s="19"/>
      <c r="P8" s="19"/>
      <c r="S8" s="19" t="s">
        <v>126</v>
      </c>
      <c r="U8" s="19"/>
      <c r="W8" s="19" t="s">
        <v>127</v>
      </c>
      <c r="Y8" s="19"/>
      <c r="AA8" s="19"/>
      <c r="AE8" s="19"/>
      <c r="AG8" s="19"/>
    </row>
    <row r="9" spans="1:35">
      <c r="A9" s="17" t="s">
        <v>4</v>
      </c>
      <c r="E9" s="19"/>
      <c r="G9" s="19" t="s">
        <v>128</v>
      </c>
      <c r="H9" s="19"/>
      <c r="I9" s="19" t="s">
        <v>129</v>
      </c>
      <c r="J9" s="19"/>
      <c r="K9" s="19" t="s">
        <v>130</v>
      </c>
      <c r="L9" s="19"/>
      <c r="M9" s="19" t="s">
        <v>131</v>
      </c>
      <c r="N9" s="19"/>
      <c r="O9" s="19" t="s">
        <v>132</v>
      </c>
      <c r="P9" s="19"/>
      <c r="Q9" s="19" t="s">
        <v>133</v>
      </c>
      <c r="S9" s="19" t="s">
        <v>134</v>
      </c>
      <c r="U9" s="19" t="s">
        <v>135</v>
      </c>
      <c r="W9" s="19" t="s">
        <v>136</v>
      </c>
      <c r="Y9" s="32" t="s">
        <v>137</v>
      </c>
      <c r="AA9" s="19" t="s">
        <v>138</v>
      </c>
      <c r="AC9" s="19" t="s">
        <v>139</v>
      </c>
      <c r="AE9" s="19" t="s">
        <v>140</v>
      </c>
      <c r="AG9" s="19" t="s">
        <v>93</v>
      </c>
      <c r="AI9" s="19" t="s">
        <v>93</v>
      </c>
    </row>
    <row r="10" spans="1:35">
      <c r="A10" s="107" t="s">
        <v>5</v>
      </c>
      <c r="C10" s="22" t="s">
        <v>6</v>
      </c>
      <c r="E10" s="21" t="s">
        <v>88</v>
      </c>
      <c r="G10" s="21" t="s">
        <v>141</v>
      </c>
      <c r="H10" s="19"/>
      <c r="I10" s="21" t="s">
        <v>96</v>
      </c>
      <c r="J10" s="19"/>
      <c r="K10" s="21" t="s">
        <v>142</v>
      </c>
      <c r="L10" s="19"/>
      <c r="M10" s="21" t="s">
        <v>143</v>
      </c>
      <c r="N10" s="19"/>
      <c r="O10" s="21" t="s">
        <v>95</v>
      </c>
      <c r="P10" s="19"/>
      <c r="Q10" s="21" t="s">
        <v>144</v>
      </c>
      <c r="S10" s="21" t="s">
        <v>145</v>
      </c>
      <c r="U10" s="33" t="s">
        <v>146</v>
      </c>
      <c r="W10" s="33" t="s">
        <v>147</v>
      </c>
      <c r="Y10" s="33" t="s">
        <v>148</v>
      </c>
      <c r="AA10" s="33" t="s">
        <v>95</v>
      </c>
      <c r="AC10" s="33" t="s">
        <v>149</v>
      </c>
      <c r="AE10" s="33" t="s">
        <v>150</v>
      </c>
      <c r="AG10" s="33" t="s">
        <v>151</v>
      </c>
      <c r="AI10" s="33" t="s">
        <v>151</v>
      </c>
    </row>
    <row r="11" spans="1:35">
      <c r="C11" s="19" t="s">
        <v>53</v>
      </c>
      <c r="E11" s="19" t="s">
        <v>54</v>
      </c>
      <c r="F11" s="19"/>
      <c r="G11" s="19" t="s">
        <v>97</v>
      </c>
      <c r="H11" s="19"/>
      <c r="I11" s="19" t="s">
        <v>98</v>
      </c>
      <c r="K11" s="19" t="s">
        <v>99</v>
      </c>
      <c r="L11" s="19"/>
      <c r="M11" s="34" t="s">
        <v>100</v>
      </c>
      <c r="N11" s="19"/>
      <c r="O11" s="34" t="s">
        <v>152</v>
      </c>
      <c r="P11" s="19"/>
      <c r="Q11" s="34" t="s">
        <v>153</v>
      </c>
      <c r="R11" s="19"/>
      <c r="S11" s="34" t="s">
        <v>154</v>
      </c>
      <c r="U11" s="34" t="s">
        <v>155</v>
      </c>
      <c r="W11" s="34" t="s">
        <v>156</v>
      </c>
      <c r="Y11" s="34" t="s">
        <v>157</v>
      </c>
      <c r="AA11" s="34" t="s">
        <v>158</v>
      </c>
      <c r="AC11" s="34" t="s">
        <v>159</v>
      </c>
      <c r="AE11" s="34" t="s">
        <v>160</v>
      </c>
      <c r="AG11" s="34" t="s">
        <v>161</v>
      </c>
      <c r="AI11" s="34" t="s">
        <v>162</v>
      </c>
    </row>
    <row r="13" spans="1:35">
      <c r="A13" s="108">
        <v>1</v>
      </c>
      <c r="C13" s="17" t="s">
        <v>163</v>
      </c>
    </row>
    <row r="14" spans="1:35">
      <c r="A14" s="108">
        <f>+A13+1</f>
        <v>2</v>
      </c>
      <c r="C14" s="17" t="s">
        <v>164</v>
      </c>
      <c r="E14" s="35">
        <f>SUM(G14:AJ14)</f>
        <v>-79186.945995144197</v>
      </c>
      <c r="F14" s="35"/>
      <c r="G14" s="35"/>
      <c r="H14" s="35"/>
      <c r="I14" s="35"/>
      <c r="J14" s="35"/>
      <c r="K14" s="35">
        <f>(+'Pro Formas'!E60/1000)</f>
        <v>894.94799999999998</v>
      </c>
      <c r="L14" s="35"/>
      <c r="M14" s="35"/>
      <c r="N14" s="35"/>
      <c r="O14" s="35"/>
      <c r="P14" s="35"/>
      <c r="Q14" s="35">
        <f>(+'Pro Formas'!E126/1000)</f>
        <v>390.71271485581713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>
        <f>(+'Pro Formas'!E259/1000)</f>
        <v>-80455.035000000003</v>
      </c>
      <c r="AD14" s="35"/>
      <c r="AE14" s="35"/>
      <c r="AF14" s="35"/>
      <c r="AG14" s="35">
        <f>'Pro Formas'!E311/1000</f>
        <v>-17.571709999999999</v>
      </c>
      <c r="AH14" s="35"/>
      <c r="AI14" s="35"/>
    </row>
    <row r="15" spans="1:35">
      <c r="A15" s="108">
        <f>+A14+1</f>
        <v>3</v>
      </c>
      <c r="C15" s="17" t="s">
        <v>165</v>
      </c>
      <c r="E15" s="35">
        <f>SUM(G15:AJ15)</f>
        <v>-104.62429</v>
      </c>
      <c r="F15" s="35"/>
      <c r="G15" s="35"/>
      <c r="H15" s="35"/>
      <c r="I15" s="36"/>
      <c r="J15" s="35"/>
      <c r="K15" s="35"/>
      <c r="L15" s="35"/>
      <c r="M15" s="36"/>
      <c r="N15" s="35"/>
      <c r="O15" s="35"/>
      <c r="P15" s="35"/>
      <c r="Q15" s="35"/>
      <c r="R15" s="35"/>
      <c r="S15" s="35"/>
      <c r="T15" s="35"/>
      <c r="U15" s="35"/>
      <c r="V15" s="35"/>
      <c r="W15" s="35">
        <f>(+'Pro Formas'!E190/1000)</f>
        <v>-122.196</v>
      </c>
      <c r="X15" s="35"/>
      <c r="Y15" s="35"/>
      <c r="Z15" s="35"/>
      <c r="AA15" s="35"/>
      <c r="AB15" s="35"/>
      <c r="AC15" s="35"/>
      <c r="AD15" s="35"/>
      <c r="AE15" s="35"/>
      <c r="AF15" s="35"/>
      <c r="AG15" s="35">
        <f>-AG14</f>
        <v>17.571709999999999</v>
      </c>
      <c r="AH15" s="35"/>
      <c r="AI15" s="35"/>
    </row>
    <row r="16" spans="1:35">
      <c r="A16" s="108">
        <f>+A15+1</f>
        <v>4</v>
      </c>
      <c r="C16" s="17" t="s">
        <v>104</v>
      </c>
      <c r="E16" s="37">
        <f>+E14+E15</f>
        <v>-79291.570285144204</v>
      </c>
      <c r="F16" s="35"/>
      <c r="G16" s="37">
        <f>+G14+G15</f>
        <v>0</v>
      </c>
      <c r="H16" s="35"/>
      <c r="I16" s="37">
        <f>+I14+I15</f>
        <v>0</v>
      </c>
      <c r="J16" s="35"/>
      <c r="K16" s="37">
        <f>+K14+K15</f>
        <v>894.94799999999998</v>
      </c>
      <c r="L16" s="35"/>
      <c r="M16" s="37">
        <f>+M14+M15</f>
        <v>0</v>
      </c>
      <c r="N16" s="35"/>
      <c r="O16" s="37">
        <f>+O14+O15</f>
        <v>0</v>
      </c>
      <c r="P16" s="35"/>
      <c r="Q16" s="37">
        <f>+Q14+Q15</f>
        <v>390.71271485581713</v>
      </c>
      <c r="R16" s="35"/>
      <c r="S16" s="37">
        <f>+S14+S15</f>
        <v>0</v>
      </c>
      <c r="T16" s="35"/>
      <c r="U16" s="37">
        <f>+U14+U15</f>
        <v>0</v>
      </c>
      <c r="V16" s="35"/>
      <c r="W16" s="37">
        <f>+W14+W15</f>
        <v>-122.196</v>
      </c>
      <c r="X16" s="35"/>
      <c r="Y16" s="37">
        <f>+Y14+Y15</f>
        <v>0</v>
      </c>
      <c r="Z16" s="35"/>
      <c r="AA16" s="37">
        <f>+AA14+AA15</f>
        <v>0</v>
      </c>
      <c r="AB16" s="35"/>
      <c r="AC16" s="37">
        <f>+AC14+AC15</f>
        <v>-80455.035000000003</v>
      </c>
      <c r="AD16" s="35"/>
      <c r="AE16" s="37">
        <f>+AE14+AE15</f>
        <v>0</v>
      </c>
      <c r="AF16" s="35"/>
      <c r="AG16" s="37">
        <f>+AG14+AG15</f>
        <v>0</v>
      </c>
      <c r="AH16" s="35"/>
      <c r="AI16" s="37"/>
    </row>
    <row r="17" spans="1:35">
      <c r="A17" s="10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</row>
    <row r="18" spans="1:35">
      <c r="A18" s="108">
        <f>+A16+1</f>
        <v>5</v>
      </c>
      <c r="C18" s="17" t="s">
        <v>166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</row>
    <row r="19" spans="1:35">
      <c r="A19" s="108">
        <f t="shared" ref="A19:A28" si="0">+A18+1</f>
        <v>6</v>
      </c>
      <c r="C19" s="17" t="s">
        <v>167</v>
      </c>
      <c r="E19" s="35">
        <f t="shared" ref="E19:E26" si="1">SUM(G19:AJ19)</f>
        <v>-80436.964999999997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>
        <f>(+'Pro Formas'!E263/1000)</f>
        <v>-80436.964999999997</v>
      </c>
      <c r="AD19" s="35"/>
      <c r="AE19" s="35"/>
      <c r="AF19" s="35"/>
      <c r="AG19" s="35"/>
      <c r="AH19" s="35"/>
      <c r="AI19" s="35"/>
    </row>
    <row r="20" spans="1:35">
      <c r="A20" s="108">
        <f t="shared" si="0"/>
        <v>7</v>
      </c>
      <c r="C20" s="17" t="s">
        <v>168</v>
      </c>
      <c r="E20" s="35">
        <f t="shared" si="1"/>
        <v>1210.4182205596444</v>
      </c>
      <c r="F20" s="35"/>
      <c r="G20" s="35"/>
      <c r="H20" s="35"/>
      <c r="I20" s="35">
        <f>(+'Pro Formas'!E34/1000)</f>
        <v>284.15894301176689</v>
      </c>
      <c r="J20" s="35"/>
      <c r="K20" s="35"/>
      <c r="L20" s="35"/>
      <c r="M20" s="35">
        <f>(+'Pro Formas'!E82/1000)</f>
        <v>143.95627754787779</v>
      </c>
      <c r="N20" s="35"/>
      <c r="P20" s="35"/>
      <c r="Q20" s="35"/>
      <c r="R20" s="35"/>
      <c r="S20" s="35">
        <f>(+'Pro Formas'!E146/1000)</f>
        <v>952.51400000000001</v>
      </c>
      <c r="T20" s="35"/>
      <c r="U20" s="35">
        <f>(+'Pro Formas'!E167/1000)</f>
        <v>65.8</v>
      </c>
      <c r="V20" s="35"/>
      <c r="W20" s="35"/>
      <c r="X20" s="35"/>
      <c r="Y20" s="35">
        <f>(+'Pro Formas'!E212/1000)</f>
        <v>-179.429</v>
      </c>
      <c r="Z20" s="35"/>
      <c r="AA20" s="35"/>
      <c r="AB20" s="35"/>
      <c r="AC20" s="35">
        <f>(-'Pro Formas'!E264/1000)</f>
        <v>22.916</v>
      </c>
      <c r="AD20" s="35"/>
      <c r="AE20" s="35">
        <f>(+'Pro Formas'!E290/1000)</f>
        <v>-79.498000000000005</v>
      </c>
      <c r="AF20" s="35"/>
      <c r="AG20" s="35"/>
      <c r="AH20" s="35"/>
      <c r="AI20" s="35"/>
    </row>
    <row r="21" spans="1:35">
      <c r="A21" s="108">
        <f t="shared" si="0"/>
        <v>8</v>
      </c>
      <c r="C21" s="17" t="s">
        <v>169</v>
      </c>
      <c r="E21" s="35">
        <f t="shared" si="1"/>
        <v>1043.0308436159776</v>
      </c>
      <c r="F21" s="35"/>
      <c r="G21" s="35"/>
      <c r="H21" s="35"/>
      <c r="I21" s="35"/>
      <c r="J21" s="35"/>
      <c r="K21" s="35"/>
      <c r="L21" s="35"/>
      <c r="M21" s="35"/>
      <c r="N21" s="35"/>
      <c r="O21" s="35">
        <f>(+'Pro Formas'!E104/1000)</f>
        <v>1043.0308436159776</v>
      </c>
      <c r="P21" s="35"/>
      <c r="Q21" s="35"/>
      <c r="R21" s="35"/>
      <c r="S21" s="35"/>
      <c r="T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</row>
    <row r="22" spans="1:35">
      <c r="A22" s="108">
        <f t="shared" si="0"/>
        <v>9</v>
      </c>
      <c r="C22" s="17" t="s">
        <v>170</v>
      </c>
      <c r="E22" s="35">
        <f t="shared" si="1"/>
        <v>-69.055236382156139</v>
      </c>
      <c r="F22" s="35"/>
      <c r="G22" s="35"/>
      <c r="H22" s="35"/>
      <c r="I22" s="35">
        <f>(+'Pro Formas'!E37/1000)</f>
        <v>22.734763617843864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>
        <f>(+'Pro Formas'!E235/1000)</f>
        <v>-50.804000000000002</v>
      </c>
      <c r="AB22" s="35"/>
      <c r="AC22" s="35">
        <f>(+'Pro Formas'!E265/1000)</f>
        <v>-40.985999999999997</v>
      </c>
      <c r="AD22" s="35"/>
      <c r="AE22" s="35"/>
      <c r="AF22" s="35"/>
      <c r="AG22" s="35"/>
      <c r="AH22" s="35"/>
      <c r="AI22" s="35"/>
    </row>
    <row r="23" spans="1:35">
      <c r="A23" s="108">
        <f t="shared" si="0"/>
        <v>10</v>
      </c>
      <c r="C23" s="17" t="s">
        <v>171</v>
      </c>
      <c r="E23" s="35">
        <f t="shared" si="1"/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</row>
    <row r="24" spans="1:35">
      <c r="A24" s="108">
        <f>+A23+1</f>
        <v>11</v>
      </c>
      <c r="C24" s="17" t="s">
        <v>172</v>
      </c>
      <c r="E24" s="35">
        <f t="shared" si="1"/>
        <v>-292.98539281001638</v>
      </c>
      <c r="F24" s="35"/>
      <c r="G24" s="35">
        <f>(+'Pro Formas'!E15/1000)</f>
        <v>-75.228562810015958</v>
      </c>
      <c r="H24" s="35"/>
      <c r="I24" s="35">
        <f>(+'Pro Formas'!E39/1000)</f>
        <v>-64.447999999999993</v>
      </c>
      <c r="J24" s="35"/>
      <c r="K24" s="35">
        <f>(+'Pro Formas'!E62/1000)</f>
        <v>187.93899999999999</v>
      </c>
      <c r="L24" s="35"/>
      <c r="M24" s="35">
        <f>(+'Pro Formas'!E84/1000)</f>
        <v>-30.231000000000002</v>
      </c>
      <c r="N24" s="35"/>
      <c r="O24" s="35">
        <f>(+'Pro Formas'!E106/1000)</f>
        <v>-219.036</v>
      </c>
      <c r="P24" s="35"/>
      <c r="Q24" s="35">
        <f>(+'Pro Formas'!E128/1000)</f>
        <v>82.05</v>
      </c>
      <c r="R24" s="35"/>
      <c r="S24" s="35">
        <f>(+'Pro Formas'!E148/1000)</f>
        <v>-200.02799999999999</v>
      </c>
      <c r="T24" s="35"/>
      <c r="U24" s="35">
        <f>(+'Pro Formas'!E169/1000)</f>
        <v>-13.818</v>
      </c>
      <c r="V24" s="35"/>
      <c r="W24" s="35">
        <f>(+'Pro Formas'!E192/1000)</f>
        <v>-25.661000000000001</v>
      </c>
      <c r="X24" s="35"/>
      <c r="Y24" s="35">
        <f>(+'Pro Formas'!E214/1000)</f>
        <v>37.68</v>
      </c>
      <c r="Z24" s="35"/>
      <c r="AA24" s="35">
        <f>(+'Pro Formas'!E239/1000)</f>
        <v>11.101169999999552</v>
      </c>
      <c r="AB24" s="35"/>
      <c r="AC24" s="35">
        <f>(+'Pro Formas'!E268/1000)</f>
        <v>0</v>
      </c>
      <c r="AD24" s="35"/>
      <c r="AE24" s="35">
        <f>(+'Pro Formas'!E292/1000)</f>
        <v>16.695</v>
      </c>
      <c r="AF24" s="35"/>
      <c r="AG24" s="35"/>
      <c r="AH24" s="35"/>
      <c r="AI24" s="35"/>
    </row>
    <row r="25" spans="1:35">
      <c r="A25" s="108">
        <f t="shared" si="0"/>
        <v>12</v>
      </c>
      <c r="C25" s="17" t="s">
        <v>173</v>
      </c>
      <c r="E25" s="35">
        <f t="shared" si="1"/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</row>
    <row r="26" spans="1:35">
      <c r="A26" s="108">
        <f t="shared" si="0"/>
        <v>13</v>
      </c>
      <c r="C26" s="17" t="s">
        <v>174</v>
      </c>
      <c r="E26" s="36">
        <f t="shared" si="1"/>
        <v>0</v>
      </c>
      <c r="F26" s="35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35"/>
      <c r="W26" s="36"/>
      <c r="X26" s="35"/>
      <c r="Y26" s="36"/>
      <c r="Z26" s="35"/>
      <c r="AA26" s="36"/>
      <c r="AB26" s="35"/>
      <c r="AC26" s="36"/>
      <c r="AD26" s="35"/>
      <c r="AE26" s="36"/>
      <c r="AF26" s="35"/>
      <c r="AG26" s="36"/>
      <c r="AH26" s="35"/>
      <c r="AI26" s="36"/>
    </row>
    <row r="27" spans="1:35">
      <c r="A27" s="108">
        <f t="shared" si="0"/>
        <v>14</v>
      </c>
      <c r="C27" s="17" t="s">
        <v>113</v>
      </c>
      <c r="E27" s="35">
        <f>SUM(E19:E26)</f>
        <v>-78545.556565016552</v>
      </c>
      <c r="F27" s="35"/>
      <c r="G27" s="35">
        <f>SUM(G19:G26)</f>
        <v>-75.228562810015958</v>
      </c>
      <c r="H27" s="35"/>
      <c r="I27" s="35">
        <f>SUM(I19:I26)</f>
        <v>242.44570662961075</v>
      </c>
      <c r="J27" s="35"/>
      <c r="K27" s="35">
        <f>SUM(K19:K26)</f>
        <v>187.93899999999999</v>
      </c>
      <c r="L27" s="35"/>
      <c r="M27" s="35">
        <f>SUM(M19:M26)</f>
        <v>113.72527754787779</v>
      </c>
      <c r="N27" s="35"/>
      <c r="O27" s="35">
        <f>SUM(O19:O26)</f>
        <v>823.99484361597752</v>
      </c>
      <c r="P27" s="35"/>
      <c r="Q27" s="35">
        <f>SUM(Q19:Q26)</f>
        <v>82.05</v>
      </c>
      <c r="R27" s="35"/>
      <c r="S27" s="35">
        <f>SUM(S19:S26)</f>
        <v>752.48599999999999</v>
      </c>
      <c r="T27" s="35"/>
      <c r="U27" s="35">
        <f>SUM(U19:U26)</f>
        <v>51.981999999999999</v>
      </c>
      <c r="V27" s="35"/>
      <c r="W27" s="35">
        <f>SUM(W19:W26)</f>
        <v>-25.661000000000001</v>
      </c>
      <c r="X27" s="35"/>
      <c r="Y27" s="35">
        <f>SUM(Y19:Y26)</f>
        <v>-141.749</v>
      </c>
      <c r="Z27" s="35"/>
      <c r="AA27" s="35">
        <f>SUM(AA19:AA26)</f>
        <v>-39.702830000000446</v>
      </c>
      <c r="AB27" s="35"/>
      <c r="AC27" s="35">
        <f>SUM(AC19:AC26)</f>
        <v>-80455.035000000003</v>
      </c>
      <c r="AD27" s="35"/>
      <c r="AE27" s="35">
        <f>SUM(AE19:AE26)</f>
        <v>-62.803000000000004</v>
      </c>
      <c r="AF27" s="35"/>
      <c r="AG27" s="35">
        <f>SUM(AG19:AG26)</f>
        <v>0</v>
      </c>
      <c r="AH27" s="35"/>
      <c r="AI27" s="35"/>
    </row>
    <row r="28" spans="1:35" ht="16.5" thickBot="1">
      <c r="A28" s="108">
        <f t="shared" si="0"/>
        <v>15</v>
      </c>
      <c r="C28" s="17" t="s">
        <v>175</v>
      </c>
      <c r="E28" s="38">
        <f>+E16-E27</f>
        <v>-746.01372012765205</v>
      </c>
      <c r="F28" s="35"/>
      <c r="G28" s="38">
        <f>+G16-G27</f>
        <v>75.228562810015958</v>
      </c>
      <c r="H28" s="35"/>
      <c r="I28" s="38">
        <f>+I16-I27</f>
        <v>-242.44570662961075</v>
      </c>
      <c r="J28" s="35"/>
      <c r="K28" s="38">
        <f>+K16-K27</f>
        <v>707.00900000000001</v>
      </c>
      <c r="L28" s="35"/>
      <c r="M28" s="38">
        <f>+M16-M27</f>
        <v>-113.72527754787779</v>
      </c>
      <c r="N28" s="35"/>
      <c r="O28" s="38">
        <f>+O16-O27</f>
        <v>-823.99484361597752</v>
      </c>
      <c r="P28" s="35"/>
      <c r="Q28" s="38">
        <f>+Q16-Q27</f>
        <v>308.66271485581711</v>
      </c>
      <c r="R28" s="35"/>
      <c r="S28" s="38">
        <f>+S16-S27</f>
        <v>-752.48599999999999</v>
      </c>
      <c r="T28" s="35"/>
      <c r="U28" s="38">
        <f>+U16-U27</f>
        <v>-51.981999999999999</v>
      </c>
      <c r="V28" s="35"/>
      <c r="W28" s="38">
        <f>+W16-W27</f>
        <v>-96.534999999999997</v>
      </c>
      <c r="X28" s="35"/>
      <c r="Y28" s="38">
        <f>+Y16-Y27</f>
        <v>141.749</v>
      </c>
      <c r="Z28" s="35"/>
      <c r="AA28" s="38">
        <f>+AA16-AA27</f>
        <v>39.702830000000446</v>
      </c>
      <c r="AB28" s="35"/>
      <c r="AC28" s="38">
        <f>+AC16-AC27</f>
        <v>0</v>
      </c>
      <c r="AD28" s="35"/>
      <c r="AE28" s="38">
        <f>+AE16-AE27</f>
        <v>62.803000000000004</v>
      </c>
      <c r="AF28" s="35"/>
      <c r="AG28" s="38">
        <f>+AG16-AG27</f>
        <v>0</v>
      </c>
      <c r="AH28" s="35"/>
      <c r="AI28" s="38"/>
    </row>
    <row r="29" spans="1:35" ht="16.5" thickTop="1"/>
    <row r="31" spans="1:35">
      <c r="C31" s="17" t="s">
        <v>115</v>
      </c>
      <c r="E31" s="19"/>
      <c r="G31" s="19" t="s">
        <v>176</v>
      </c>
      <c r="H31" s="19"/>
      <c r="I31" s="19" t="s">
        <v>177</v>
      </c>
      <c r="K31" s="19" t="s">
        <v>178</v>
      </c>
      <c r="L31" s="19"/>
      <c r="M31" s="19" t="s">
        <v>179</v>
      </c>
      <c r="N31" s="19"/>
      <c r="O31" s="19" t="s">
        <v>180</v>
      </c>
      <c r="P31" s="19"/>
      <c r="Q31" s="19" t="s">
        <v>181</v>
      </c>
      <c r="R31" s="19"/>
      <c r="S31" s="19" t="s">
        <v>182</v>
      </c>
      <c r="T31" s="19"/>
      <c r="U31" s="19" t="s">
        <v>183</v>
      </c>
      <c r="V31" s="19"/>
      <c r="W31" s="19" t="s">
        <v>184</v>
      </c>
      <c r="X31" s="19"/>
      <c r="Y31" s="19" t="s">
        <v>185</v>
      </c>
      <c r="Z31" s="19"/>
      <c r="AA31" s="19" t="s">
        <v>186</v>
      </c>
      <c r="AB31" s="19"/>
      <c r="AC31" s="19" t="s">
        <v>187</v>
      </c>
      <c r="AD31" s="19"/>
      <c r="AE31" s="19" t="s">
        <v>188</v>
      </c>
      <c r="AF31" s="19"/>
      <c r="AG31" s="19" t="s">
        <v>189</v>
      </c>
      <c r="AH31" s="19"/>
      <c r="AI31" s="19" t="s">
        <v>190</v>
      </c>
    </row>
    <row r="33" spans="3:3">
      <c r="C33" s="30"/>
    </row>
    <row r="34" spans="3:3">
      <c r="C34" s="30"/>
    </row>
    <row r="35" spans="3:3">
      <c r="C35" s="30"/>
    </row>
    <row r="36" spans="3:3">
      <c r="C36" s="30"/>
    </row>
    <row r="37" spans="3:3">
      <c r="C37" s="30"/>
    </row>
    <row r="38" spans="3:3">
      <c r="C38" s="30"/>
    </row>
    <row r="39" spans="3:3">
      <c r="C39" s="30"/>
    </row>
  </sheetData>
  <phoneticPr fontId="9" type="noConversion"/>
  <pageMargins left="0.75" right="0.75" top="1" bottom="1" header="0.5" footer="0.5"/>
  <pageSetup scale="95" fitToWidth="0" orientation="landscape" r:id="rId1"/>
  <headerFooter alignWithMargins="0">
    <oddFooter xml:space="preserve">&amp;CExhibit BMG 1.1, Schedule 3
Page &amp;P of &amp;N&amp;R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24"/>
  <sheetViews>
    <sheetView zoomScaleNormal="100" workbookViewId="0">
      <selection activeCell="D7" sqref="D7:D9"/>
    </sheetView>
  </sheetViews>
  <sheetFormatPr defaultRowHeight="15.75"/>
  <cols>
    <col min="1" max="1" width="9.140625" style="339"/>
    <col min="2" max="2" width="11.85546875" style="339" customWidth="1"/>
    <col min="3" max="3" width="27.42578125" style="339" bestFit="1" customWidth="1"/>
    <col min="4" max="4" width="21.28515625" style="339" customWidth="1"/>
    <col min="5" max="5" width="5.28515625" style="339" customWidth="1"/>
    <col min="6" max="6" width="6.42578125" style="339" customWidth="1"/>
    <col min="7" max="7" width="7.28515625" style="339" customWidth="1"/>
    <col min="8" max="8" width="5.85546875" style="339" customWidth="1"/>
    <col min="9" max="16384" width="9.140625" style="339"/>
  </cols>
  <sheetData>
    <row r="1" spans="1:8">
      <c r="A1" s="339" t="s">
        <v>0</v>
      </c>
      <c r="B1" s="341"/>
    </row>
    <row r="2" spans="1:8">
      <c r="A2" s="339" t="str">
        <f>WACC!A2</f>
        <v>Docket No. NG22-___</v>
      </c>
      <c r="B2" s="341"/>
      <c r="C2" s="341"/>
      <c r="D2" s="341"/>
      <c r="E2" s="341"/>
      <c r="F2" s="341"/>
      <c r="G2" s="341"/>
      <c r="H2" s="341"/>
    </row>
    <row r="3" spans="1:8">
      <c r="A3" s="339" t="s">
        <v>995</v>
      </c>
    </row>
    <row r="4" spans="1:8">
      <c r="A4" s="350" t="str">
        <f>WACC!A4</f>
        <v>Twelve Months Ending December 31, 2021</v>
      </c>
      <c r="B4" s="350"/>
    </row>
    <row r="7" spans="1:8">
      <c r="C7" s="342"/>
      <c r="D7" s="342" t="s">
        <v>996</v>
      </c>
    </row>
    <row r="8" spans="1:8">
      <c r="A8" s="339" t="s">
        <v>4</v>
      </c>
      <c r="D8" s="342" t="s">
        <v>997</v>
      </c>
    </row>
    <row r="9" spans="1:8">
      <c r="A9" s="343" t="s">
        <v>5</v>
      </c>
      <c r="B9" s="344" t="s">
        <v>356</v>
      </c>
      <c r="C9" s="344" t="s">
        <v>962</v>
      </c>
      <c r="D9" s="344" t="s">
        <v>998</v>
      </c>
    </row>
    <row r="10" spans="1:8">
      <c r="B10" s="342" t="s">
        <v>53</v>
      </c>
      <c r="C10" s="342" t="s">
        <v>54</v>
      </c>
      <c r="D10" s="342" t="s">
        <v>97</v>
      </c>
    </row>
    <row r="11" spans="1:8">
      <c r="C11" s="362" t="s">
        <v>818</v>
      </c>
    </row>
    <row r="13" spans="1:8">
      <c r="A13" s="342">
        <v>1</v>
      </c>
      <c r="B13" s="342">
        <v>429002</v>
      </c>
      <c r="C13" s="355" t="s">
        <v>999</v>
      </c>
      <c r="D13" s="351">
        <v>-746222.22</v>
      </c>
    </row>
    <row r="14" spans="1:8">
      <c r="A14" s="342">
        <v>2</v>
      </c>
      <c r="B14" s="342">
        <v>429003</v>
      </c>
      <c r="C14" s="339" t="s">
        <v>938</v>
      </c>
      <c r="D14" s="351">
        <v>-2710263.12</v>
      </c>
    </row>
    <row r="16" spans="1:8">
      <c r="D16" s="341"/>
    </row>
    <row r="17" spans="1:5">
      <c r="A17" s="342">
        <v>3</v>
      </c>
      <c r="B17" s="342"/>
      <c r="C17" s="339" t="s">
        <v>88</v>
      </c>
      <c r="D17" s="351">
        <f>SUM(D13:D14)</f>
        <v>-3456485.34</v>
      </c>
      <c r="E17" s="364"/>
    </row>
    <row r="18" spans="1:5">
      <c r="C18" s="363"/>
      <c r="D18" s="363"/>
      <c r="E18" s="364"/>
    </row>
    <row r="19" spans="1:5">
      <c r="C19" s="363"/>
      <c r="D19" s="363"/>
      <c r="E19" s="364"/>
    </row>
    <row r="20" spans="1:5">
      <c r="C20" s="363"/>
      <c r="D20" s="363"/>
      <c r="E20" s="364"/>
    </row>
    <row r="21" spans="1:5">
      <c r="B21" s="339" t="s">
        <v>976</v>
      </c>
    </row>
    <row r="24" spans="1:5">
      <c r="D24" s="378"/>
    </row>
  </sheetData>
  <pageMargins left="0.7" right="0.7" top="0.75" bottom="0.75" header="0.3" footer="0.3"/>
  <pageSetup orientation="portrait" r:id="rId1"/>
  <headerFooter>
    <oddFooter>&amp;CExhibit BGM 1.1, Schedule 26               
Page 12 of 18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L61"/>
  <sheetViews>
    <sheetView topLeftCell="A49" zoomScale="80" zoomScaleNormal="80" workbookViewId="0">
      <selection activeCell="G58" sqref="G58"/>
    </sheetView>
  </sheetViews>
  <sheetFormatPr defaultRowHeight="15.75"/>
  <cols>
    <col min="1" max="1" width="6.28515625" style="339" customWidth="1"/>
    <col min="2" max="2" width="12.85546875" style="339" customWidth="1"/>
    <col min="3" max="3" width="9.140625" style="339"/>
    <col min="4" max="4" width="15.5703125" style="339" bestFit="1" customWidth="1"/>
    <col min="5" max="5" width="11.85546875" style="339" bestFit="1" customWidth="1"/>
    <col min="6" max="6" width="7" style="339" customWidth="1"/>
    <col min="7" max="7" width="16.7109375" style="339" bestFit="1" customWidth="1"/>
    <col min="8" max="8" width="11.85546875" style="339" bestFit="1" customWidth="1"/>
    <col min="9" max="16384" width="9.140625" style="339"/>
  </cols>
  <sheetData>
    <row r="1" spans="1:9">
      <c r="A1" s="339" t="s">
        <v>0</v>
      </c>
    </row>
    <row r="2" spans="1:9">
      <c r="A2" s="339" t="str">
        <f>WACC!A2</f>
        <v>Docket No. NG22-___</v>
      </c>
      <c r="B2" s="341"/>
      <c r="C2" s="341"/>
      <c r="D2" s="341"/>
      <c r="E2" s="341"/>
      <c r="F2" s="341"/>
      <c r="G2" s="341"/>
      <c r="H2" s="341"/>
      <c r="I2" s="341"/>
    </row>
    <row r="3" spans="1:9">
      <c r="A3" s="339" t="s">
        <v>982</v>
      </c>
    </row>
    <row r="4" spans="1:9">
      <c r="A4" s="350" t="str">
        <f>WACC!A4</f>
        <v>Twelve Months Ending December 31, 2021</v>
      </c>
    </row>
    <row r="5" spans="1:9">
      <c r="A5" s="338"/>
      <c r="B5" s="338"/>
      <c r="C5" s="338"/>
      <c r="D5" s="338"/>
      <c r="E5" s="338"/>
      <c r="F5" s="338"/>
      <c r="G5" s="338"/>
      <c r="H5" s="338"/>
      <c r="I5" s="338"/>
    </row>
    <row r="6" spans="1:9">
      <c r="D6" s="342" t="s">
        <v>1000</v>
      </c>
      <c r="G6" s="342" t="s">
        <v>1001</v>
      </c>
    </row>
    <row r="7" spans="1:9">
      <c r="A7" s="339" t="s">
        <v>4</v>
      </c>
      <c r="C7" s="342" t="s">
        <v>1002</v>
      </c>
      <c r="D7" s="342" t="s">
        <v>1003</v>
      </c>
      <c r="G7" s="342" t="s">
        <v>1004</v>
      </c>
    </row>
    <row r="8" spans="1:9">
      <c r="A8" s="343" t="s">
        <v>5</v>
      </c>
      <c r="B8" s="220" t="s">
        <v>6</v>
      </c>
      <c r="C8" s="344" t="s">
        <v>1005</v>
      </c>
      <c r="D8" s="344" t="s">
        <v>1006</v>
      </c>
      <c r="E8" s="220" t="s">
        <v>6</v>
      </c>
      <c r="F8" s="343"/>
      <c r="G8" s="344" t="s">
        <v>1007</v>
      </c>
      <c r="H8" s="220" t="s">
        <v>6</v>
      </c>
    </row>
    <row r="9" spans="1:9">
      <c r="B9" s="342" t="s">
        <v>53</v>
      </c>
      <c r="C9" s="342" t="s">
        <v>54</v>
      </c>
      <c r="D9" s="342" t="s">
        <v>97</v>
      </c>
      <c r="E9" s="342" t="s">
        <v>98</v>
      </c>
      <c r="F9" s="342"/>
      <c r="G9" s="342" t="s">
        <v>99</v>
      </c>
      <c r="H9" s="342" t="s">
        <v>100</v>
      </c>
    </row>
    <row r="11" spans="1:9">
      <c r="B11" s="389" t="s">
        <v>1008</v>
      </c>
    </row>
    <row r="14" spans="1:9">
      <c r="A14" s="342">
        <v>1</v>
      </c>
      <c r="B14" s="339" t="s">
        <v>1009</v>
      </c>
      <c r="G14" s="399">
        <v>205047.01</v>
      </c>
    </row>
    <row r="15" spans="1:9">
      <c r="A15" s="342">
        <v>2</v>
      </c>
      <c r="B15" s="339" t="s">
        <v>1010</v>
      </c>
      <c r="G15" s="385">
        <v>82278.039999999994</v>
      </c>
    </row>
    <row r="16" spans="1:9">
      <c r="A16" s="342">
        <v>3</v>
      </c>
      <c r="B16" s="339" t="s">
        <v>1011</v>
      </c>
      <c r="G16" s="385">
        <v>0</v>
      </c>
    </row>
    <row r="17" spans="1:12">
      <c r="A17" s="342">
        <v>4</v>
      </c>
      <c r="B17" s="339" t="s">
        <v>1012</v>
      </c>
      <c r="G17" s="386">
        <v>44988</v>
      </c>
    </row>
    <row r="18" spans="1:12">
      <c r="A18" s="342">
        <v>5</v>
      </c>
      <c r="B18" s="339" t="s">
        <v>1013</v>
      </c>
      <c r="G18" s="385">
        <f>G14+G15+G16-G17</f>
        <v>242337.05</v>
      </c>
    </row>
    <row r="19" spans="1:12">
      <c r="A19" s="342">
        <v>6</v>
      </c>
      <c r="B19" s="339" t="s">
        <v>1014</v>
      </c>
      <c r="G19" s="385">
        <f>G18*(1-0.4157)</f>
        <v>141597.53831500001</v>
      </c>
    </row>
    <row r="20" spans="1:12">
      <c r="A20" s="342"/>
    </row>
    <row r="21" spans="1:12">
      <c r="A21" s="342">
        <v>7</v>
      </c>
      <c r="B21" s="339" t="s">
        <v>1015</v>
      </c>
      <c r="G21" s="339">
        <v>314</v>
      </c>
      <c r="H21" s="339" t="s">
        <v>1003</v>
      </c>
    </row>
    <row r="22" spans="1:12">
      <c r="A22" s="342"/>
    </row>
    <row r="23" spans="1:12">
      <c r="A23" s="342">
        <v>8</v>
      </c>
      <c r="B23" s="339" t="s">
        <v>1016</v>
      </c>
      <c r="G23" s="351">
        <f>G18/G21</f>
        <v>771.77404458598721</v>
      </c>
    </row>
    <row r="24" spans="1:12">
      <c r="A24" s="342">
        <v>9</v>
      </c>
      <c r="B24" s="339" t="s">
        <v>1017</v>
      </c>
      <c r="G24" s="351">
        <f>G19/G21</f>
        <v>450.94757425159241</v>
      </c>
    </row>
    <row r="25" spans="1:12">
      <c r="A25" s="342"/>
      <c r="G25" s="351"/>
    </row>
    <row r="26" spans="1:12">
      <c r="A26" s="342">
        <v>10</v>
      </c>
      <c r="B26" s="339" t="s">
        <v>1018</v>
      </c>
      <c r="G26" s="395">
        <f>+G23*12</f>
        <v>9261.2885350318465</v>
      </c>
    </row>
    <row r="27" spans="1:12">
      <c r="A27" s="342"/>
    </row>
    <row r="28" spans="1:12">
      <c r="A28" s="342">
        <v>11</v>
      </c>
      <c r="B28" s="339" t="s">
        <v>1019</v>
      </c>
    </row>
    <row r="29" spans="1:12">
      <c r="A29" s="342">
        <f>A28+1</f>
        <v>12</v>
      </c>
      <c r="C29" s="339">
        <v>1996</v>
      </c>
      <c r="D29" s="339">
        <v>0</v>
      </c>
      <c r="E29" s="339" t="s">
        <v>1003</v>
      </c>
    </row>
    <row r="30" spans="1:12">
      <c r="A30" s="342">
        <f t="shared" ref="A30:A55" si="0">A29+1</f>
        <v>13</v>
      </c>
      <c r="C30" s="339">
        <v>1997</v>
      </c>
      <c r="D30" s="339">
        <v>12</v>
      </c>
      <c r="E30" s="339" t="s">
        <v>1003</v>
      </c>
    </row>
    <row r="31" spans="1:12">
      <c r="A31" s="342">
        <f t="shared" si="0"/>
        <v>14</v>
      </c>
      <c r="C31" s="339">
        <v>1998</v>
      </c>
      <c r="D31" s="339">
        <v>12</v>
      </c>
      <c r="E31" s="339" t="s">
        <v>1003</v>
      </c>
    </row>
    <row r="32" spans="1:12">
      <c r="A32" s="342">
        <f t="shared" si="0"/>
        <v>15</v>
      </c>
      <c r="C32" s="339">
        <v>1999</v>
      </c>
      <c r="D32" s="339">
        <v>12</v>
      </c>
      <c r="E32" s="339" t="s">
        <v>1003</v>
      </c>
      <c r="L32" s="391"/>
    </row>
    <row r="33" spans="1:5">
      <c r="A33" s="342">
        <f t="shared" si="0"/>
        <v>16</v>
      </c>
      <c r="C33" s="339">
        <v>2000</v>
      </c>
      <c r="D33" s="339">
        <v>12</v>
      </c>
      <c r="E33" s="339" t="s">
        <v>1003</v>
      </c>
    </row>
    <row r="34" spans="1:5">
      <c r="A34" s="342">
        <f t="shared" si="0"/>
        <v>17</v>
      </c>
      <c r="C34" s="339">
        <v>2001</v>
      </c>
      <c r="D34" s="339">
        <v>12</v>
      </c>
      <c r="E34" s="339" t="s">
        <v>1003</v>
      </c>
    </row>
    <row r="35" spans="1:5">
      <c r="A35" s="342">
        <f t="shared" si="0"/>
        <v>18</v>
      </c>
      <c r="C35" s="339">
        <v>2002</v>
      </c>
      <c r="D35" s="339">
        <v>12</v>
      </c>
      <c r="E35" s="339" t="s">
        <v>1003</v>
      </c>
    </row>
    <row r="36" spans="1:5">
      <c r="A36" s="342">
        <f t="shared" si="0"/>
        <v>19</v>
      </c>
      <c r="C36" s="339">
        <v>2003</v>
      </c>
      <c r="D36" s="339">
        <v>12</v>
      </c>
      <c r="E36" s="339" t="s">
        <v>1003</v>
      </c>
    </row>
    <row r="37" spans="1:5">
      <c r="A37" s="342">
        <f t="shared" si="0"/>
        <v>20</v>
      </c>
      <c r="C37" s="339">
        <v>2004</v>
      </c>
      <c r="D37" s="339">
        <v>12</v>
      </c>
      <c r="E37" s="339" t="s">
        <v>1003</v>
      </c>
    </row>
    <row r="38" spans="1:5">
      <c r="A38" s="342">
        <f t="shared" si="0"/>
        <v>21</v>
      </c>
      <c r="C38" s="339">
        <v>2005</v>
      </c>
      <c r="D38" s="339">
        <v>12</v>
      </c>
      <c r="E38" s="339" t="s">
        <v>1003</v>
      </c>
    </row>
    <row r="39" spans="1:5">
      <c r="A39" s="342">
        <f t="shared" si="0"/>
        <v>22</v>
      </c>
      <c r="C39" s="339">
        <v>2006</v>
      </c>
      <c r="D39" s="339">
        <v>12</v>
      </c>
      <c r="E39" s="339" t="s">
        <v>1003</v>
      </c>
    </row>
    <row r="40" spans="1:5">
      <c r="A40" s="342">
        <f t="shared" si="0"/>
        <v>23</v>
      </c>
      <c r="C40" s="339">
        <v>2007</v>
      </c>
      <c r="D40" s="339">
        <v>12</v>
      </c>
      <c r="E40" s="339" t="s">
        <v>1003</v>
      </c>
    </row>
    <row r="41" spans="1:5">
      <c r="A41" s="342">
        <f t="shared" si="0"/>
        <v>24</v>
      </c>
      <c r="C41" s="339">
        <v>2008</v>
      </c>
      <c r="D41" s="339">
        <v>12</v>
      </c>
      <c r="E41" s="339" t="s">
        <v>1003</v>
      </c>
    </row>
    <row r="42" spans="1:5">
      <c r="A42" s="342">
        <f t="shared" si="0"/>
        <v>25</v>
      </c>
      <c r="C42" s="339">
        <v>2009</v>
      </c>
      <c r="D42" s="339">
        <v>12</v>
      </c>
      <c r="E42" s="339" t="s">
        <v>1003</v>
      </c>
    </row>
    <row r="43" spans="1:5">
      <c r="A43" s="342">
        <f t="shared" si="0"/>
        <v>26</v>
      </c>
      <c r="C43" s="339">
        <v>2010</v>
      </c>
      <c r="D43" s="339">
        <v>12</v>
      </c>
      <c r="E43" s="339" t="s">
        <v>1003</v>
      </c>
    </row>
    <row r="44" spans="1:5">
      <c r="A44" s="342">
        <f t="shared" si="0"/>
        <v>27</v>
      </c>
      <c r="C44" s="339">
        <v>2011</v>
      </c>
      <c r="D44" s="339">
        <v>12</v>
      </c>
      <c r="E44" s="339" t="s">
        <v>1003</v>
      </c>
    </row>
    <row r="45" spans="1:5">
      <c r="A45" s="342">
        <f t="shared" si="0"/>
        <v>28</v>
      </c>
      <c r="C45" s="339">
        <v>2012</v>
      </c>
      <c r="D45" s="339">
        <v>12</v>
      </c>
      <c r="E45" s="339" t="s">
        <v>1003</v>
      </c>
    </row>
    <row r="46" spans="1:5">
      <c r="A46" s="342">
        <f t="shared" si="0"/>
        <v>29</v>
      </c>
      <c r="C46" s="339">
        <v>2013</v>
      </c>
      <c r="D46" s="339">
        <v>12</v>
      </c>
      <c r="E46" s="339" t="s">
        <v>1003</v>
      </c>
    </row>
    <row r="47" spans="1:5">
      <c r="A47" s="342">
        <f t="shared" si="0"/>
        <v>30</v>
      </c>
      <c r="C47" s="339">
        <v>2014</v>
      </c>
      <c r="D47" s="339">
        <v>12</v>
      </c>
      <c r="E47" s="339" t="s">
        <v>1003</v>
      </c>
    </row>
    <row r="48" spans="1:5">
      <c r="A48" s="342">
        <f t="shared" si="0"/>
        <v>31</v>
      </c>
      <c r="C48" s="339">
        <v>2015</v>
      </c>
      <c r="D48" s="339">
        <v>12</v>
      </c>
      <c r="E48" s="339" t="s">
        <v>1003</v>
      </c>
    </row>
    <row r="49" spans="1:7">
      <c r="A49" s="342">
        <f t="shared" si="0"/>
        <v>32</v>
      </c>
      <c r="C49" s="339">
        <v>2016</v>
      </c>
      <c r="D49" s="339">
        <v>12</v>
      </c>
      <c r="E49" s="339" t="s">
        <v>1003</v>
      </c>
    </row>
    <row r="50" spans="1:7">
      <c r="A50" s="342">
        <f t="shared" si="0"/>
        <v>33</v>
      </c>
      <c r="C50" s="339">
        <v>2017</v>
      </c>
      <c r="D50" s="339">
        <v>12</v>
      </c>
      <c r="E50" s="339" t="s">
        <v>1003</v>
      </c>
    </row>
    <row r="51" spans="1:7">
      <c r="A51" s="342">
        <f t="shared" si="0"/>
        <v>34</v>
      </c>
      <c r="C51" s="339">
        <v>2018</v>
      </c>
      <c r="D51" s="339">
        <v>12</v>
      </c>
      <c r="E51" s="339" t="s">
        <v>1003</v>
      </c>
    </row>
    <row r="52" spans="1:7">
      <c r="A52" s="342">
        <f t="shared" si="0"/>
        <v>35</v>
      </c>
      <c r="C52" s="339">
        <v>2019</v>
      </c>
      <c r="D52" s="339">
        <v>12</v>
      </c>
      <c r="E52" s="339" t="s">
        <v>1003</v>
      </c>
    </row>
    <row r="53" spans="1:7">
      <c r="A53" s="342">
        <f t="shared" si="0"/>
        <v>36</v>
      </c>
      <c r="C53" s="339">
        <v>2020</v>
      </c>
      <c r="D53" s="339">
        <v>12</v>
      </c>
      <c r="E53" s="339" t="s">
        <v>1003</v>
      </c>
    </row>
    <row r="54" spans="1:7">
      <c r="A54" s="342">
        <f t="shared" si="0"/>
        <v>37</v>
      </c>
      <c r="C54" s="339">
        <v>2021</v>
      </c>
      <c r="D54" s="397">
        <v>12</v>
      </c>
      <c r="E54" s="339" t="s">
        <v>1003</v>
      </c>
    </row>
    <row r="55" spans="1:7">
      <c r="A55" s="342">
        <f t="shared" si="0"/>
        <v>38</v>
      </c>
      <c r="C55" s="340" t="s">
        <v>88</v>
      </c>
      <c r="D55" s="339">
        <f>SUM(D29:D54)</f>
        <v>300</v>
      </c>
      <c r="E55" s="339" t="s">
        <v>1003</v>
      </c>
      <c r="G55" s="385">
        <f>D55*G23</f>
        <v>231532.21337579616</v>
      </c>
    </row>
    <row r="56" spans="1:7">
      <c r="A56" s="342"/>
      <c r="G56" s="385"/>
    </row>
    <row r="57" spans="1:7">
      <c r="A57" s="342">
        <v>39</v>
      </c>
      <c r="B57" s="339" t="str">
        <f>'7.45%A'!B58</f>
        <v>Implied Unamortized Balance @ December 31, 2021</v>
      </c>
      <c r="G57" s="385">
        <f>(G18)-(G55)</f>
        <v>10804.836624203832</v>
      </c>
    </row>
    <row r="58" spans="1:7">
      <c r="A58" s="342">
        <v>40</v>
      </c>
      <c r="B58" s="339" t="str">
        <f>'7.45%A'!B59</f>
        <v>Implied Unamortized After-Tax Bal. @ December  31, 2021</v>
      </c>
      <c r="G58" s="399">
        <f>G19-(G24*D55)</f>
        <v>6313.2660395222774</v>
      </c>
    </row>
    <row r="59" spans="1:7">
      <c r="A59" s="342"/>
      <c r="G59" s="390"/>
    </row>
    <row r="61" spans="1:7">
      <c r="A61" s="339" t="s">
        <v>1020</v>
      </c>
    </row>
  </sheetData>
  <pageMargins left="0.75" right="0.75" top="1" bottom="1" header="0.5" footer="0.5"/>
  <pageSetup scale="79" orientation="portrait" r:id="rId1"/>
  <headerFooter alignWithMargins="0">
    <oddFooter>&amp;CExhibit BGM 1.1, Schedule 26               
Page 13 of 18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H56"/>
  <sheetViews>
    <sheetView topLeftCell="A5" zoomScale="75" zoomScaleNormal="75" workbookViewId="0">
      <selection activeCell="D18" sqref="D18"/>
    </sheetView>
  </sheetViews>
  <sheetFormatPr defaultRowHeight="15.75"/>
  <cols>
    <col min="1" max="2" width="9.140625" style="339"/>
    <col min="3" max="3" width="32.5703125" style="339" bestFit="1" customWidth="1"/>
    <col min="4" max="4" width="19.28515625" style="339" customWidth="1"/>
    <col min="5" max="16384" width="9.140625" style="339"/>
  </cols>
  <sheetData>
    <row r="1" spans="1:8">
      <c r="A1" s="339" t="s">
        <v>0</v>
      </c>
      <c r="B1" s="341"/>
    </row>
    <row r="2" spans="1:8">
      <c r="A2" s="339" t="str">
        <f>WACC!A2</f>
        <v>Docket No. NG22-___</v>
      </c>
      <c r="B2" s="341"/>
      <c r="C2" s="341"/>
      <c r="D2" s="341"/>
      <c r="E2" s="341"/>
      <c r="F2" s="341"/>
      <c r="G2" s="341"/>
      <c r="H2" s="341"/>
    </row>
    <row r="3" spans="1:8">
      <c r="A3" s="339" t="s">
        <v>1021</v>
      </c>
    </row>
    <row r="4" spans="1:8">
      <c r="A4" s="350" t="str">
        <f>WACC!A4</f>
        <v>Twelve Months Ending December 31, 2021</v>
      </c>
      <c r="B4" s="350"/>
    </row>
    <row r="6" spans="1:8">
      <c r="C6" s="342" t="s">
        <v>53</v>
      </c>
      <c r="D6" s="342" t="s">
        <v>54</v>
      </c>
      <c r="E6" s="342"/>
    </row>
    <row r="7" spans="1:8">
      <c r="C7" s="342"/>
      <c r="D7" s="342" t="s">
        <v>960</v>
      </c>
    </row>
    <row r="8" spans="1:8">
      <c r="A8" s="339" t="s">
        <v>4</v>
      </c>
      <c r="D8" s="342" t="s">
        <v>1022</v>
      </c>
    </row>
    <row r="9" spans="1:8">
      <c r="A9" s="343" t="s">
        <v>5</v>
      </c>
      <c r="B9" s="343"/>
      <c r="C9" s="344" t="s">
        <v>962</v>
      </c>
      <c r="D9" s="344" t="s">
        <v>984</v>
      </c>
    </row>
    <row r="10" spans="1:8">
      <c r="C10" s="342" t="s">
        <v>53</v>
      </c>
      <c r="D10" s="342" t="s">
        <v>54</v>
      </c>
    </row>
    <row r="11" spans="1:8">
      <c r="C11" s="362"/>
    </row>
    <row r="12" spans="1:8">
      <c r="A12" s="342">
        <v>1</v>
      </c>
      <c r="B12" s="342"/>
      <c r="C12" s="339" t="s">
        <v>882</v>
      </c>
      <c r="D12" s="395">
        <f>'7.45%A'!J27</f>
        <v>-1910.56744278567</v>
      </c>
    </row>
    <row r="13" spans="1:8">
      <c r="A13" s="342">
        <v>2</v>
      </c>
      <c r="B13" s="342"/>
      <c r="C13" s="339" t="s">
        <v>883</v>
      </c>
      <c r="D13" s="351">
        <f>'6.95%A'!J27</f>
        <v>-55529.43068065968</v>
      </c>
    </row>
    <row r="14" spans="1:8">
      <c r="A14" s="342">
        <v>3</v>
      </c>
      <c r="B14" s="342"/>
      <c r="C14" s="348" t="s">
        <v>883</v>
      </c>
      <c r="D14" s="351">
        <f>'6.95%B'!G26</f>
        <v>-5390.7892082111439</v>
      </c>
    </row>
    <row r="15" spans="1:8">
      <c r="A15" s="342">
        <v>4</v>
      </c>
      <c r="B15" s="342"/>
      <c r="C15" s="348" t="s">
        <v>883</v>
      </c>
      <c r="D15" s="396">
        <f>'6.95%C'!G26</f>
        <v>-238.40743362831864</v>
      </c>
    </row>
    <row r="16" spans="1:8" ht="18">
      <c r="A16" s="342"/>
      <c r="B16" s="342"/>
      <c r="D16" s="365"/>
    </row>
    <row r="17" spans="1:4" ht="18">
      <c r="A17" s="342"/>
      <c r="B17" s="342"/>
      <c r="D17" s="365"/>
    </row>
    <row r="18" spans="1:4">
      <c r="A18" s="342">
        <v>5</v>
      </c>
      <c r="B18" s="342"/>
      <c r="C18" s="339" t="s">
        <v>884</v>
      </c>
      <c r="D18" s="395">
        <f>SUM(D12:D15)</f>
        <v>-63069.19476528481</v>
      </c>
    </row>
    <row r="19" spans="1:4">
      <c r="D19" s="351"/>
    </row>
    <row r="20" spans="1:4">
      <c r="D20" s="351"/>
    </row>
    <row r="21" spans="1:4">
      <c r="B21" s="355" t="s">
        <v>885</v>
      </c>
      <c r="C21" s="362"/>
      <c r="D21" s="351"/>
    </row>
    <row r="22" spans="1:4">
      <c r="A22" s="342"/>
      <c r="B22" s="355" t="s">
        <v>886</v>
      </c>
      <c r="D22" s="351"/>
    </row>
    <row r="23" spans="1:4">
      <c r="A23" s="342"/>
      <c r="B23" s="355" t="s">
        <v>887</v>
      </c>
      <c r="D23" s="351"/>
    </row>
    <row r="24" spans="1:4">
      <c r="A24" s="342"/>
      <c r="B24" s="355" t="s">
        <v>1023</v>
      </c>
      <c r="D24" s="351"/>
    </row>
    <row r="25" spans="1:4">
      <c r="A25" s="342"/>
      <c r="B25" s="355"/>
      <c r="D25" s="351"/>
    </row>
    <row r="26" spans="1:4">
      <c r="A26" s="342"/>
      <c r="B26" s="342"/>
      <c r="D26" s="351"/>
    </row>
    <row r="27" spans="1:4">
      <c r="A27" s="342"/>
      <c r="B27" s="342"/>
      <c r="D27" s="351"/>
    </row>
    <row r="28" spans="1:4">
      <c r="A28" s="342"/>
      <c r="B28" s="342"/>
      <c r="D28" s="351"/>
    </row>
    <row r="29" spans="1:4">
      <c r="A29" s="342"/>
      <c r="B29" s="342"/>
      <c r="D29" s="351"/>
    </row>
    <row r="30" spans="1:4">
      <c r="A30" s="342"/>
      <c r="B30" s="342"/>
      <c r="D30" s="351"/>
    </row>
    <row r="31" spans="1:4">
      <c r="A31" s="342"/>
      <c r="B31" s="342"/>
      <c r="D31" s="351"/>
    </row>
    <row r="32" spans="1:4">
      <c r="A32" s="342"/>
      <c r="B32" s="342"/>
      <c r="D32" s="351"/>
    </row>
    <row r="33" spans="1:4">
      <c r="A33" s="342"/>
      <c r="B33" s="342"/>
      <c r="D33" s="351"/>
    </row>
    <row r="34" spans="1:4">
      <c r="A34" s="342"/>
      <c r="B34" s="342"/>
      <c r="D34" s="351"/>
    </row>
    <row r="35" spans="1:4">
      <c r="A35" s="342"/>
      <c r="B35" s="342"/>
      <c r="D35" s="351"/>
    </row>
    <row r="36" spans="1:4">
      <c r="A36" s="342"/>
      <c r="B36" s="342"/>
      <c r="D36" s="351"/>
    </row>
    <row r="37" spans="1:4">
      <c r="A37" s="342"/>
      <c r="B37" s="342"/>
      <c r="D37" s="351"/>
    </row>
    <row r="38" spans="1:4" ht="18">
      <c r="A38" s="342"/>
      <c r="B38" s="342"/>
      <c r="D38" s="365"/>
    </row>
    <row r="39" spans="1:4">
      <c r="A39" s="342"/>
      <c r="B39" s="342"/>
      <c r="D39" s="351"/>
    </row>
    <row r="40" spans="1:4">
      <c r="A40" s="342"/>
      <c r="B40" s="342"/>
      <c r="D40" s="351"/>
    </row>
    <row r="41" spans="1:4">
      <c r="D41" s="351"/>
    </row>
    <row r="42" spans="1:4">
      <c r="C42" s="362"/>
      <c r="D42" s="351"/>
    </row>
    <row r="43" spans="1:4">
      <c r="A43" s="342"/>
      <c r="B43" s="342"/>
      <c r="D43" s="351"/>
    </row>
    <row r="44" spans="1:4">
      <c r="A44" s="342"/>
      <c r="B44" s="342"/>
      <c r="D44" s="351"/>
    </row>
    <row r="45" spans="1:4">
      <c r="A45" s="342"/>
      <c r="B45" s="342"/>
      <c r="D45" s="351"/>
    </row>
    <row r="46" spans="1:4">
      <c r="A46" s="342"/>
      <c r="B46" s="342"/>
      <c r="D46" s="351"/>
    </row>
    <row r="47" spans="1:4">
      <c r="A47" s="342"/>
      <c r="B47" s="342"/>
      <c r="D47" s="351"/>
    </row>
    <row r="48" spans="1:4" ht="18">
      <c r="A48" s="342"/>
      <c r="B48" s="342"/>
      <c r="D48" s="365"/>
    </row>
    <row r="49" spans="1:4">
      <c r="A49" s="342"/>
      <c r="B49" s="342"/>
      <c r="D49" s="351"/>
    </row>
    <row r="50" spans="1:4">
      <c r="A50" s="342"/>
      <c r="B50" s="342"/>
      <c r="D50" s="351"/>
    </row>
    <row r="51" spans="1:4">
      <c r="A51" s="342"/>
      <c r="B51" s="342"/>
      <c r="D51" s="351"/>
    </row>
    <row r="52" spans="1:4">
      <c r="A52" s="342"/>
      <c r="B52" s="342"/>
      <c r="D52" s="351"/>
    </row>
    <row r="53" spans="1:4">
      <c r="A53" s="342"/>
      <c r="B53" s="342"/>
      <c r="D53" s="351"/>
    </row>
    <row r="54" spans="1:4">
      <c r="A54" s="342"/>
      <c r="B54" s="342"/>
      <c r="D54" s="351"/>
    </row>
    <row r="55" spans="1:4">
      <c r="A55" s="342"/>
      <c r="B55" s="342"/>
      <c r="D55" s="351"/>
    </row>
    <row r="56" spans="1:4">
      <c r="A56" s="342"/>
      <c r="B56" s="342"/>
      <c r="D56" s="351"/>
    </row>
  </sheetData>
  <pageMargins left="0.75" right="0.75" top="1" bottom="1" header="0.5" footer="0.5"/>
  <pageSetup scale="85" orientation="portrait" r:id="rId1"/>
  <headerFooter alignWithMargins="0">
    <oddFooter>&amp;CExhibit BGM 1.1, Schedule 26               
Page 14 of 18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L62"/>
  <sheetViews>
    <sheetView topLeftCell="A53" zoomScale="75" zoomScaleNormal="75" workbookViewId="0">
      <selection activeCell="J59" sqref="G59:J59"/>
    </sheetView>
  </sheetViews>
  <sheetFormatPr defaultRowHeight="15.75"/>
  <cols>
    <col min="1" max="1" width="6.85546875" style="339" customWidth="1"/>
    <col min="2" max="2" width="14.140625" style="339" customWidth="1"/>
    <col min="3" max="3" width="9.140625" style="339"/>
    <col min="4" max="4" width="18.28515625" style="339" customWidth="1"/>
    <col min="5" max="5" width="11.85546875" style="339" bestFit="1" customWidth="1"/>
    <col min="6" max="6" width="22.85546875" style="339" bestFit="1" customWidth="1"/>
    <col min="7" max="7" width="14.140625" style="339" customWidth="1"/>
    <col min="8" max="8" width="11.85546875" style="339" bestFit="1" customWidth="1"/>
    <col min="9" max="9" width="18.85546875" style="339" bestFit="1" customWidth="1"/>
    <col min="10" max="10" width="12.7109375" style="339" customWidth="1"/>
    <col min="11" max="16384" width="9.140625" style="339"/>
  </cols>
  <sheetData>
    <row r="1" spans="1:10">
      <c r="A1" s="339" t="s">
        <v>0</v>
      </c>
    </row>
    <row r="2" spans="1:10">
      <c r="A2" s="339" t="str">
        <f>WACC!A2</f>
        <v>Docket No. NG22-___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>
      <c r="A3" s="339" t="s">
        <v>1021</v>
      </c>
    </row>
    <row r="4" spans="1:10">
      <c r="A4" s="349" t="str">
        <f>WACC!A4</f>
        <v>Twelve Months Ending December 31, 2021</v>
      </c>
      <c r="B4" s="350"/>
      <c r="C4" s="350"/>
      <c r="D4" s="350"/>
      <c r="E4" s="350"/>
      <c r="F4" s="350"/>
      <c r="G4" s="350"/>
      <c r="H4" s="350"/>
      <c r="I4" s="350"/>
    </row>
    <row r="5" spans="1:10">
      <c r="A5" s="349"/>
      <c r="B5" s="350"/>
      <c r="C5" s="350"/>
      <c r="D5" s="350"/>
      <c r="E5" s="350"/>
      <c r="F5" s="350"/>
      <c r="G5" s="350"/>
      <c r="H5" s="350"/>
      <c r="I5" s="350"/>
    </row>
    <row r="6" spans="1:10">
      <c r="A6" s="338"/>
      <c r="B6" s="338"/>
      <c r="C6" s="338"/>
      <c r="D6" s="338"/>
      <c r="E6" s="338"/>
      <c r="F6" s="342" t="s">
        <v>1000</v>
      </c>
      <c r="G6" s="338"/>
      <c r="H6" s="338"/>
      <c r="I6" s="338"/>
    </row>
    <row r="7" spans="1:10">
      <c r="D7" s="342" t="s">
        <v>1000</v>
      </c>
      <c r="F7" s="342" t="s">
        <v>1024</v>
      </c>
      <c r="I7" s="342" t="s">
        <v>1025</v>
      </c>
      <c r="J7" s="342"/>
    </row>
    <row r="8" spans="1:10">
      <c r="A8" s="339" t="s">
        <v>4</v>
      </c>
      <c r="C8" s="342" t="s">
        <v>1002</v>
      </c>
      <c r="D8" s="342" t="s">
        <v>1024</v>
      </c>
      <c r="F8" s="342" t="s">
        <v>1026</v>
      </c>
      <c r="G8" s="342" t="s">
        <v>1027</v>
      </c>
      <c r="I8" s="342" t="s">
        <v>1028</v>
      </c>
      <c r="J8" s="342"/>
    </row>
    <row r="9" spans="1:10">
      <c r="A9" s="343" t="s">
        <v>5</v>
      </c>
      <c r="B9" s="220" t="s">
        <v>6</v>
      </c>
      <c r="C9" s="344" t="s">
        <v>1005</v>
      </c>
      <c r="D9" s="344" t="s">
        <v>1029</v>
      </c>
      <c r="E9" s="220" t="s">
        <v>6</v>
      </c>
      <c r="F9" s="397" t="s">
        <v>1030</v>
      </c>
      <c r="G9" s="344" t="s">
        <v>963</v>
      </c>
      <c r="H9" s="220" t="s">
        <v>6</v>
      </c>
      <c r="I9" s="344" t="s">
        <v>1031</v>
      </c>
      <c r="J9" s="398" t="s">
        <v>1032</v>
      </c>
    </row>
    <row r="10" spans="1:10">
      <c r="B10" s="342" t="s">
        <v>53</v>
      </c>
      <c r="C10" s="342" t="s">
        <v>54</v>
      </c>
      <c r="D10" s="342" t="s">
        <v>97</v>
      </c>
      <c r="E10" s="342" t="s">
        <v>98</v>
      </c>
      <c r="F10" s="342" t="s">
        <v>99</v>
      </c>
      <c r="G10" s="342" t="s">
        <v>100</v>
      </c>
      <c r="H10" s="342" t="s">
        <v>152</v>
      </c>
      <c r="I10" s="342" t="s">
        <v>153</v>
      </c>
      <c r="J10" s="342" t="s">
        <v>154</v>
      </c>
    </row>
    <row r="12" spans="1:10">
      <c r="B12" s="389" t="s">
        <v>1008</v>
      </c>
    </row>
    <row r="13" spans="1:10">
      <c r="G13" s="340"/>
      <c r="H13" s="340"/>
      <c r="I13" s="340"/>
      <c r="J13" s="340"/>
    </row>
    <row r="14" spans="1:10">
      <c r="G14" s="345"/>
      <c r="H14" s="345"/>
      <c r="I14" s="345"/>
      <c r="J14" s="345"/>
    </row>
    <row r="15" spans="1:10">
      <c r="A15" s="342">
        <v>1</v>
      </c>
      <c r="B15" s="339" t="s">
        <v>1009</v>
      </c>
      <c r="G15" s="399">
        <v>0</v>
      </c>
      <c r="H15" s="399"/>
      <c r="I15" s="399">
        <v>36690.42</v>
      </c>
      <c r="J15" s="399">
        <f t="shared" ref="J15:J20" si="0">G15+I15</f>
        <v>36690.42</v>
      </c>
    </row>
    <row r="16" spans="1:10">
      <c r="A16" s="342">
        <v>2</v>
      </c>
      <c r="B16" s="339" t="s">
        <v>1010</v>
      </c>
      <c r="G16" s="385">
        <v>0</v>
      </c>
      <c r="H16" s="385"/>
      <c r="I16" s="385">
        <v>14722.55</v>
      </c>
      <c r="J16" s="385">
        <f t="shared" si="0"/>
        <v>14722.55</v>
      </c>
    </row>
    <row r="17" spans="1:12">
      <c r="A17" s="342">
        <v>3</v>
      </c>
      <c r="B17" s="339" t="s">
        <v>1011</v>
      </c>
      <c r="G17" s="385">
        <v>0</v>
      </c>
      <c r="H17" s="385"/>
      <c r="I17" s="385">
        <v>0</v>
      </c>
      <c r="J17" s="385">
        <f t="shared" si="0"/>
        <v>0</v>
      </c>
    </row>
    <row r="18" spans="1:12">
      <c r="A18" s="342">
        <v>4</v>
      </c>
      <c r="B18" s="339" t="s">
        <v>1012</v>
      </c>
      <c r="G18" s="386">
        <v>102375</v>
      </c>
      <c r="H18" s="385"/>
      <c r="I18" s="386">
        <v>0</v>
      </c>
      <c r="J18" s="386">
        <f t="shared" si="0"/>
        <v>102375</v>
      </c>
    </row>
    <row r="19" spans="1:12">
      <c r="A19" s="342">
        <v>5</v>
      </c>
      <c r="B19" s="339" t="s">
        <v>1033</v>
      </c>
      <c r="G19" s="385">
        <f>G15+G16+G17-G18</f>
        <v>-102375</v>
      </c>
      <c r="H19" s="385"/>
      <c r="I19" s="385">
        <f>I15+I16+I17-I18</f>
        <v>51412.97</v>
      </c>
      <c r="J19" s="385">
        <f t="shared" si="0"/>
        <v>-50962.03</v>
      </c>
    </row>
    <row r="20" spans="1:12">
      <c r="A20" s="342">
        <v>6</v>
      </c>
      <c r="B20" s="339" t="s">
        <v>1034</v>
      </c>
      <c r="G20" s="385">
        <f>G19*(1-0.4157)</f>
        <v>-59817.712500000001</v>
      </c>
      <c r="H20" s="385"/>
      <c r="I20" s="385">
        <f>I19*(1-0.4157)</f>
        <v>30040.598371000004</v>
      </c>
      <c r="J20" s="385">
        <f t="shared" si="0"/>
        <v>-29777.114128999998</v>
      </c>
    </row>
    <row r="21" spans="1:12">
      <c r="A21" s="342"/>
    </row>
    <row r="22" spans="1:12">
      <c r="A22" s="342">
        <v>7</v>
      </c>
      <c r="B22" s="339" t="s">
        <v>1015</v>
      </c>
      <c r="G22" s="339">
        <v>317</v>
      </c>
      <c r="H22" s="342" t="s">
        <v>1003</v>
      </c>
      <c r="I22" s="339">
        <v>314</v>
      </c>
    </row>
    <row r="23" spans="1:12">
      <c r="A23" s="342"/>
    </row>
    <row r="24" spans="1:12">
      <c r="A24" s="342">
        <v>8</v>
      </c>
      <c r="B24" s="339" t="s">
        <v>1016</v>
      </c>
      <c r="G24" s="351">
        <f>G19/G22</f>
        <v>-322.94952681388014</v>
      </c>
      <c r="H24" s="351"/>
      <c r="I24" s="351">
        <f>I19/I22</f>
        <v>163.73557324840766</v>
      </c>
      <c r="J24" s="351">
        <f>G24+I24</f>
        <v>-159.21395356547248</v>
      </c>
    </row>
    <row r="25" spans="1:12">
      <c r="A25" s="342">
        <v>9</v>
      </c>
      <c r="B25" s="339" t="s">
        <v>1017</v>
      </c>
      <c r="G25" s="351">
        <f>G20/G22</f>
        <v>-188.69940851735015</v>
      </c>
      <c r="H25" s="351"/>
      <c r="I25" s="351">
        <f>I20/I22</f>
        <v>95.670695449044601</v>
      </c>
      <c r="J25" s="351">
        <f>G25+I25</f>
        <v>-93.028713068305549</v>
      </c>
    </row>
    <row r="26" spans="1:12">
      <c r="A26" s="342"/>
      <c r="G26" s="351"/>
      <c r="H26" s="351"/>
      <c r="I26" s="351"/>
      <c r="J26" s="351"/>
    </row>
    <row r="27" spans="1:12">
      <c r="A27" s="342">
        <v>10</v>
      </c>
      <c r="B27" s="339" t="s">
        <v>1018</v>
      </c>
      <c r="G27" s="395">
        <f>+G24*12</f>
        <v>-3875.3943217665619</v>
      </c>
      <c r="H27" s="351"/>
      <c r="I27" s="395">
        <f>I24*12</f>
        <v>1964.8268789808919</v>
      </c>
      <c r="J27" s="395">
        <f>G27+I27</f>
        <v>-1910.56744278567</v>
      </c>
    </row>
    <row r="28" spans="1:12">
      <c r="A28" s="342"/>
    </row>
    <row r="29" spans="1:12">
      <c r="A29" s="342">
        <v>11</v>
      </c>
      <c r="B29" s="339" t="s">
        <v>1019</v>
      </c>
      <c r="D29" s="340"/>
      <c r="E29" s="340"/>
      <c r="F29" s="340"/>
    </row>
    <row r="30" spans="1:12">
      <c r="A30" s="342">
        <f>A29+1</f>
        <v>12</v>
      </c>
      <c r="C30" s="339">
        <v>1996</v>
      </c>
      <c r="D30" s="339">
        <v>3</v>
      </c>
      <c r="E30" s="342" t="s">
        <v>1003</v>
      </c>
      <c r="F30" s="339">
        <v>0</v>
      </c>
    </row>
    <row r="31" spans="1:12">
      <c r="A31" s="342">
        <f t="shared" ref="A31:A56" si="1">A30+1</f>
        <v>13</v>
      </c>
      <c r="C31" s="339">
        <v>1997</v>
      </c>
      <c r="D31" s="339">
        <v>12</v>
      </c>
      <c r="E31" s="342" t="s">
        <v>1003</v>
      </c>
      <c r="F31" s="339">
        <v>12</v>
      </c>
      <c r="L31" s="391"/>
    </row>
    <row r="32" spans="1:12">
      <c r="A32" s="342">
        <f t="shared" si="1"/>
        <v>14</v>
      </c>
      <c r="C32" s="339">
        <v>1998</v>
      </c>
      <c r="D32" s="339">
        <v>12</v>
      </c>
      <c r="E32" s="342" t="s">
        <v>1003</v>
      </c>
      <c r="F32" s="339">
        <v>12</v>
      </c>
    </row>
    <row r="33" spans="1:6">
      <c r="A33" s="342">
        <f t="shared" si="1"/>
        <v>15</v>
      </c>
      <c r="C33" s="339">
        <v>1999</v>
      </c>
      <c r="D33" s="339">
        <v>12</v>
      </c>
      <c r="E33" s="342" t="s">
        <v>1003</v>
      </c>
      <c r="F33" s="339">
        <v>12</v>
      </c>
    </row>
    <row r="34" spans="1:6">
      <c r="A34" s="342">
        <f t="shared" si="1"/>
        <v>16</v>
      </c>
      <c r="C34" s="339">
        <v>2000</v>
      </c>
      <c r="D34" s="339">
        <v>12</v>
      </c>
      <c r="E34" s="342" t="s">
        <v>1003</v>
      </c>
      <c r="F34" s="339">
        <v>12</v>
      </c>
    </row>
    <row r="35" spans="1:6">
      <c r="A35" s="342">
        <f t="shared" si="1"/>
        <v>17</v>
      </c>
      <c r="C35" s="339">
        <v>2001</v>
      </c>
      <c r="D35" s="339">
        <v>12</v>
      </c>
      <c r="E35" s="342" t="s">
        <v>1003</v>
      </c>
      <c r="F35" s="339">
        <v>12</v>
      </c>
    </row>
    <row r="36" spans="1:6">
      <c r="A36" s="342">
        <f t="shared" si="1"/>
        <v>18</v>
      </c>
      <c r="C36" s="339">
        <v>2002</v>
      </c>
      <c r="D36" s="339">
        <v>12</v>
      </c>
      <c r="E36" s="342" t="s">
        <v>1003</v>
      </c>
      <c r="F36" s="339">
        <v>12</v>
      </c>
    </row>
    <row r="37" spans="1:6">
      <c r="A37" s="342">
        <f t="shared" si="1"/>
        <v>19</v>
      </c>
      <c r="C37" s="339">
        <v>2003</v>
      </c>
      <c r="D37" s="339">
        <v>12</v>
      </c>
      <c r="E37" s="342" t="s">
        <v>1003</v>
      </c>
      <c r="F37" s="339">
        <v>12</v>
      </c>
    </row>
    <row r="38" spans="1:6">
      <c r="A38" s="342">
        <f t="shared" si="1"/>
        <v>20</v>
      </c>
      <c r="C38" s="339">
        <v>2004</v>
      </c>
      <c r="D38" s="339">
        <v>12</v>
      </c>
      <c r="E38" s="342" t="s">
        <v>1003</v>
      </c>
      <c r="F38" s="339">
        <v>12</v>
      </c>
    </row>
    <row r="39" spans="1:6">
      <c r="A39" s="342">
        <f t="shared" si="1"/>
        <v>21</v>
      </c>
      <c r="C39" s="339">
        <v>2005</v>
      </c>
      <c r="D39" s="339">
        <v>12</v>
      </c>
      <c r="E39" s="342" t="s">
        <v>1003</v>
      </c>
      <c r="F39" s="339">
        <v>12</v>
      </c>
    </row>
    <row r="40" spans="1:6">
      <c r="A40" s="342">
        <f t="shared" si="1"/>
        <v>22</v>
      </c>
      <c r="C40" s="339">
        <v>2006</v>
      </c>
      <c r="D40" s="339">
        <v>12</v>
      </c>
      <c r="E40" s="342" t="s">
        <v>1003</v>
      </c>
      <c r="F40" s="339">
        <v>12</v>
      </c>
    </row>
    <row r="41" spans="1:6">
      <c r="A41" s="342">
        <f t="shared" si="1"/>
        <v>23</v>
      </c>
      <c r="C41" s="339">
        <v>2007</v>
      </c>
      <c r="D41" s="339">
        <v>12</v>
      </c>
      <c r="E41" s="342" t="s">
        <v>1003</v>
      </c>
      <c r="F41" s="339">
        <v>12</v>
      </c>
    </row>
    <row r="42" spans="1:6">
      <c r="A42" s="342">
        <f t="shared" si="1"/>
        <v>24</v>
      </c>
      <c r="C42" s="339">
        <v>2008</v>
      </c>
      <c r="D42" s="339">
        <v>12</v>
      </c>
      <c r="E42" s="342" t="s">
        <v>1003</v>
      </c>
      <c r="F42" s="339">
        <v>12</v>
      </c>
    </row>
    <row r="43" spans="1:6">
      <c r="A43" s="342">
        <f t="shared" si="1"/>
        <v>25</v>
      </c>
      <c r="C43" s="339">
        <v>2009</v>
      </c>
      <c r="D43" s="339">
        <v>12</v>
      </c>
      <c r="E43" s="342" t="s">
        <v>1003</v>
      </c>
      <c r="F43" s="339">
        <v>12</v>
      </c>
    </row>
    <row r="44" spans="1:6">
      <c r="A44" s="342">
        <f t="shared" si="1"/>
        <v>26</v>
      </c>
      <c r="C44" s="339">
        <v>2010</v>
      </c>
      <c r="D44" s="339">
        <v>12</v>
      </c>
      <c r="E44" s="342" t="s">
        <v>1003</v>
      </c>
      <c r="F44" s="339">
        <v>12</v>
      </c>
    </row>
    <row r="45" spans="1:6">
      <c r="A45" s="342">
        <f t="shared" si="1"/>
        <v>27</v>
      </c>
      <c r="C45" s="339">
        <v>2011</v>
      </c>
      <c r="D45" s="339">
        <v>12</v>
      </c>
      <c r="E45" s="342" t="s">
        <v>1003</v>
      </c>
      <c r="F45" s="339">
        <v>12</v>
      </c>
    </row>
    <row r="46" spans="1:6">
      <c r="A46" s="342">
        <f t="shared" si="1"/>
        <v>28</v>
      </c>
      <c r="C46" s="339">
        <v>2012</v>
      </c>
      <c r="D46" s="339">
        <v>12</v>
      </c>
      <c r="E46" s="342" t="s">
        <v>1003</v>
      </c>
      <c r="F46" s="339">
        <v>12</v>
      </c>
    </row>
    <row r="47" spans="1:6">
      <c r="A47" s="342">
        <f t="shared" si="1"/>
        <v>29</v>
      </c>
      <c r="C47" s="339">
        <v>2013</v>
      </c>
      <c r="D47" s="339">
        <v>12</v>
      </c>
      <c r="E47" s="342" t="s">
        <v>1003</v>
      </c>
      <c r="F47" s="339">
        <v>12</v>
      </c>
    </row>
    <row r="48" spans="1:6">
      <c r="A48" s="342">
        <f t="shared" si="1"/>
        <v>30</v>
      </c>
      <c r="C48" s="339">
        <v>2014</v>
      </c>
      <c r="D48" s="339">
        <v>12</v>
      </c>
      <c r="E48" s="342" t="s">
        <v>1003</v>
      </c>
      <c r="F48" s="339">
        <v>12</v>
      </c>
    </row>
    <row r="49" spans="1:10">
      <c r="A49" s="342">
        <f t="shared" si="1"/>
        <v>31</v>
      </c>
      <c r="C49" s="339">
        <v>2015</v>
      </c>
      <c r="D49" s="339">
        <v>12</v>
      </c>
      <c r="E49" s="342" t="s">
        <v>1003</v>
      </c>
      <c r="F49" s="339">
        <v>12</v>
      </c>
    </row>
    <row r="50" spans="1:10">
      <c r="A50" s="342">
        <f t="shared" si="1"/>
        <v>32</v>
      </c>
      <c r="C50" s="339">
        <v>2016</v>
      </c>
      <c r="D50" s="339">
        <v>12</v>
      </c>
      <c r="E50" s="342" t="s">
        <v>1003</v>
      </c>
      <c r="F50" s="339">
        <v>12</v>
      </c>
    </row>
    <row r="51" spans="1:10">
      <c r="A51" s="342">
        <f t="shared" si="1"/>
        <v>33</v>
      </c>
      <c r="C51" s="339">
        <v>2017</v>
      </c>
      <c r="D51" s="339">
        <v>12</v>
      </c>
      <c r="E51" s="342" t="s">
        <v>1003</v>
      </c>
      <c r="F51" s="339">
        <v>12</v>
      </c>
    </row>
    <row r="52" spans="1:10">
      <c r="A52" s="342">
        <f t="shared" si="1"/>
        <v>34</v>
      </c>
      <c r="C52" s="339">
        <v>2018</v>
      </c>
      <c r="D52" s="339">
        <v>12</v>
      </c>
      <c r="E52" s="342" t="s">
        <v>1003</v>
      </c>
      <c r="F52" s="339">
        <v>12</v>
      </c>
    </row>
    <row r="53" spans="1:10">
      <c r="A53" s="342">
        <f t="shared" si="1"/>
        <v>35</v>
      </c>
      <c r="C53" s="339">
        <v>2019</v>
      </c>
      <c r="D53" s="339">
        <v>12</v>
      </c>
      <c r="E53" s="342" t="s">
        <v>1003</v>
      </c>
      <c r="F53" s="339">
        <v>12</v>
      </c>
    </row>
    <row r="54" spans="1:10">
      <c r="A54" s="342">
        <f t="shared" si="1"/>
        <v>36</v>
      </c>
      <c r="C54" s="339">
        <v>2020</v>
      </c>
      <c r="D54" s="339">
        <v>12</v>
      </c>
      <c r="E54" s="342" t="s">
        <v>1003</v>
      </c>
      <c r="F54" s="339">
        <v>12</v>
      </c>
    </row>
    <row r="55" spans="1:10">
      <c r="A55" s="342">
        <f t="shared" si="1"/>
        <v>37</v>
      </c>
      <c r="C55" s="339">
        <v>2021</v>
      </c>
      <c r="D55" s="397">
        <v>12</v>
      </c>
      <c r="E55" s="342" t="s">
        <v>1003</v>
      </c>
      <c r="F55" s="397">
        <v>12</v>
      </c>
    </row>
    <row r="56" spans="1:10">
      <c r="A56" s="342">
        <f t="shared" si="1"/>
        <v>38</v>
      </c>
      <c r="C56" s="340" t="s">
        <v>88</v>
      </c>
      <c r="D56" s="339">
        <f>SUM(D30:D55)</f>
        <v>303</v>
      </c>
      <c r="E56" s="342" t="s">
        <v>1003</v>
      </c>
      <c r="F56" s="339">
        <f>SUM(F30:F55)</f>
        <v>300</v>
      </c>
      <c r="G56" s="401">
        <f>D56*G24</f>
        <v>-97853.706624605678</v>
      </c>
      <c r="H56" s="401"/>
      <c r="I56" s="401">
        <f>F56*I24</f>
        <v>49120.671974522302</v>
      </c>
      <c r="J56" s="401">
        <f>G56+I56</f>
        <v>-48733.034650083377</v>
      </c>
    </row>
    <row r="57" spans="1:10">
      <c r="A57" s="342"/>
      <c r="G57" s="401"/>
      <c r="H57" s="401"/>
      <c r="I57" s="401"/>
      <c r="J57" s="401"/>
    </row>
    <row r="58" spans="1:10">
      <c r="A58" s="342">
        <v>39</v>
      </c>
      <c r="B58" s="339" t="s">
        <v>1035</v>
      </c>
      <c r="G58" s="401">
        <f>-(ABS(G19)-ABS(G56))</f>
        <v>-4521.2933753943216</v>
      </c>
      <c r="H58" s="401"/>
      <c r="I58" s="401">
        <f>I19-I56</f>
        <v>2292.2980254776994</v>
      </c>
      <c r="J58" s="401">
        <f>G58+I58</f>
        <v>-2228.9953499166222</v>
      </c>
    </row>
    <row r="59" spans="1:10">
      <c r="A59" s="342">
        <v>40</v>
      </c>
      <c r="B59" s="339" t="s">
        <v>1036</v>
      </c>
      <c r="G59" s="402">
        <f>G20-(G25*D56)</f>
        <v>-2641.7917192429086</v>
      </c>
      <c r="H59" s="402"/>
      <c r="I59" s="402">
        <f>I20-(I25*F56)</f>
        <v>1339.3897362866228</v>
      </c>
      <c r="J59" s="402">
        <f>G59+I59</f>
        <v>-1302.4019829562858</v>
      </c>
    </row>
    <row r="60" spans="1:10">
      <c r="A60" s="342"/>
      <c r="G60" s="390"/>
    </row>
    <row r="62" spans="1:10">
      <c r="A62" s="339" t="s">
        <v>1037</v>
      </c>
    </row>
  </sheetData>
  <pageMargins left="0.75" right="0.75" top="1" bottom="1" header="0.5" footer="0.5"/>
  <pageSetup scale="76" orientation="portrait" r:id="rId1"/>
  <headerFooter alignWithMargins="0">
    <oddFooter>&amp;CExhibit BGM 1.1, Schedule 26               
Page 15 of 18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L62"/>
  <sheetViews>
    <sheetView zoomScaleNormal="100" workbookViewId="0">
      <selection activeCell="G48" sqref="G48"/>
    </sheetView>
  </sheetViews>
  <sheetFormatPr defaultRowHeight="15.75"/>
  <cols>
    <col min="1" max="1" width="7" style="339" customWidth="1"/>
    <col min="2" max="2" width="12.28515625" style="339" customWidth="1"/>
    <col min="3" max="3" width="9.5703125" style="339" customWidth="1"/>
    <col min="4" max="4" width="18.85546875" style="339" customWidth="1"/>
    <col min="5" max="5" width="14.140625" style="339" customWidth="1"/>
    <col min="6" max="6" width="21.42578125" style="339" customWidth="1"/>
    <col min="7" max="7" width="16" style="339" bestFit="1" customWidth="1"/>
    <col min="8" max="8" width="13.140625" style="339" customWidth="1"/>
    <col min="9" max="9" width="18.85546875" style="339" bestFit="1" customWidth="1"/>
    <col min="10" max="10" width="13.5703125" style="339" bestFit="1" customWidth="1"/>
    <col min="11" max="16384" width="9.140625" style="339"/>
  </cols>
  <sheetData>
    <row r="1" spans="1:10">
      <c r="A1" s="339" t="s">
        <v>0</v>
      </c>
    </row>
    <row r="2" spans="1:10">
      <c r="A2" s="339" t="str">
        <f>WACC!A2</f>
        <v>Docket No. NG22-___</v>
      </c>
      <c r="B2" s="341"/>
      <c r="C2" s="341"/>
      <c r="D2" s="341"/>
      <c r="E2" s="341"/>
      <c r="F2" s="341"/>
      <c r="G2" s="341"/>
      <c r="H2" s="341"/>
      <c r="I2" s="341"/>
    </row>
    <row r="3" spans="1:10">
      <c r="A3" s="339" t="s">
        <v>1021</v>
      </c>
    </row>
    <row r="4" spans="1:10">
      <c r="A4" s="350" t="str">
        <f>WACC!A4</f>
        <v>Twelve Months Ending December 31, 2021</v>
      </c>
      <c r="B4" s="350"/>
      <c r="C4" s="350"/>
      <c r="D4" s="350"/>
      <c r="E4" s="350"/>
      <c r="F4" s="350"/>
      <c r="G4" s="350"/>
      <c r="H4" s="350"/>
      <c r="I4" s="350"/>
    </row>
    <row r="5" spans="1:10">
      <c r="A5" s="350"/>
      <c r="B5" s="350"/>
      <c r="C5" s="350"/>
      <c r="D5" s="350"/>
      <c r="E5" s="350"/>
      <c r="F5" s="350"/>
      <c r="G5" s="350"/>
      <c r="H5" s="350"/>
      <c r="I5" s="350"/>
    </row>
    <row r="6" spans="1:10">
      <c r="A6" s="338"/>
      <c r="B6" s="338"/>
      <c r="C6" s="338"/>
      <c r="D6" s="338"/>
      <c r="E6" s="338"/>
      <c r="F6" s="342" t="s">
        <v>1000</v>
      </c>
      <c r="G6" s="338"/>
      <c r="H6" s="338"/>
      <c r="I6" s="338"/>
    </row>
    <row r="7" spans="1:10">
      <c r="D7" s="342" t="s">
        <v>1000</v>
      </c>
      <c r="F7" s="342" t="s">
        <v>1024</v>
      </c>
      <c r="I7" s="342" t="s">
        <v>1025</v>
      </c>
      <c r="J7" s="342"/>
    </row>
    <row r="8" spans="1:10">
      <c r="A8" s="339" t="s">
        <v>4</v>
      </c>
      <c r="C8" s="342" t="s">
        <v>1002</v>
      </c>
      <c r="D8" s="342" t="s">
        <v>1024</v>
      </c>
      <c r="F8" s="342" t="s">
        <v>1026</v>
      </c>
      <c r="G8" s="342" t="s">
        <v>1027</v>
      </c>
      <c r="I8" s="342" t="s">
        <v>1028</v>
      </c>
      <c r="J8" s="342"/>
    </row>
    <row r="9" spans="1:10">
      <c r="A9" s="343" t="s">
        <v>5</v>
      </c>
      <c r="B9" s="220" t="s">
        <v>6</v>
      </c>
      <c r="C9" s="344" t="s">
        <v>1005</v>
      </c>
      <c r="D9" s="344" t="s">
        <v>1029</v>
      </c>
      <c r="E9" s="220" t="s">
        <v>6</v>
      </c>
      <c r="F9" s="397" t="s">
        <v>1030</v>
      </c>
      <c r="G9" s="344" t="s">
        <v>963</v>
      </c>
      <c r="H9" s="220" t="s">
        <v>6</v>
      </c>
      <c r="I9" s="344" t="s">
        <v>1031</v>
      </c>
      <c r="J9" s="398" t="s">
        <v>1032</v>
      </c>
    </row>
    <row r="10" spans="1:10">
      <c r="B10" s="342" t="s">
        <v>53</v>
      </c>
      <c r="C10" s="342" t="s">
        <v>54</v>
      </c>
      <c r="D10" s="342" t="s">
        <v>97</v>
      </c>
      <c r="E10" s="342" t="s">
        <v>98</v>
      </c>
      <c r="F10" s="342" t="s">
        <v>99</v>
      </c>
      <c r="G10" s="342" t="s">
        <v>100</v>
      </c>
      <c r="H10" s="342" t="s">
        <v>152</v>
      </c>
      <c r="I10" s="342" t="s">
        <v>153</v>
      </c>
      <c r="J10" s="342" t="s">
        <v>154</v>
      </c>
    </row>
    <row r="12" spans="1:10">
      <c r="B12" s="389" t="s">
        <v>1038</v>
      </c>
    </row>
    <row r="13" spans="1:10">
      <c r="G13" s="340"/>
      <c r="H13" s="340"/>
      <c r="I13" s="340"/>
      <c r="J13" s="340"/>
    </row>
    <row r="15" spans="1:10">
      <c r="A15" s="342">
        <v>1</v>
      </c>
      <c r="B15" s="339" t="s">
        <v>1009</v>
      </c>
      <c r="G15" s="399">
        <v>0</v>
      </c>
      <c r="H15" s="340"/>
      <c r="I15" s="399">
        <v>293742.23</v>
      </c>
      <c r="J15" s="399">
        <f t="shared" ref="J15:J20" si="0">G15+I15</f>
        <v>293742.23</v>
      </c>
    </row>
    <row r="16" spans="1:10">
      <c r="A16" s="342">
        <v>2</v>
      </c>
      <c r="B16" s="339" t="s">
        <v>1010</v>
      </c>
      <c r="G16" s="385">
        <v>0</v>
      </c>
      <c r="H16" s="385"/>
      <c r="I16" s="385">
        <v>0</v>
      </c>
      <c r="J16" s="385">
        <f t="shared" si="0"/>
        <v>0</v>
      </c>
    </row>
    <row r="17" spans="1:10">
      <c r="A17" s="342">
        <v>3</v>
      </c>
      <c r="B17" s="339" t="s">
        <v>1011</v>
      </c>
      <c r="G17" s="385">
        <v>0</v>
      </c>
      <c r="H17" s="385"/>
      <c r="I17" s="385">
        <v>0</v>
      </c>
      <c r="J17" s="385">
        <f t="shared" si="0"/>
        <v>0</v>
      </c>
    </row>
    <row r="18" spans="1:10">
      <c r="A18" s="342">
        <v>4</v>
      </c>
      <c r="B18" s="339" t="s">
        <v>1012</v>
      </c>
      <c r="G18" s="386">
        <v>1906650</v>
      </c>
      <c r="H18" s="385"/>
      <c r="I18" s="386">
        <v>0</v>
      </c>
      <c r="J18" s="386">
        <f t="shared" si="0"/>
        <v>1906650</v>
      </c>
    </row>
    <row r="19" spans="1:10">
      <c r="A19" s="342">
        <v>5</v>
      </c>
      <c r="B19" s="339" t="s">
        <v>1033</v>
      </c>
      <c r="G19" s="385">
        <f>G15+G16+G17-G18</f>
        <v>-1906650</v>
      </c>
      <c r="H19" s="385"/>
      <c r="I19" s="385">
        <f>I15+I16+I17-I18</f>
        <v>293742.23</v>
      </c>
      <c r="J19" s="385">
        <f t="shared" si="0"/>
        <v>-1612907.77</v>
      </c>
    </row>
    <row r="20" spans="1:10">
      <c r="A20" s="342">
        <v>6</v>
      </c>
      <c r="B20" s="339" t="s">
        <v>1034</v>
      </c>
      <c r="G20" s="385">
        <f>G19*(1-0.4157)</f>
        <v>-1114055.595</v>
      </c>
      <c r="H20" s="385"/>
      <c r="I20" s="385">
        <f>I19*(1-0.4157)</f>
        <v>171633.584989</v>
      </c>
      <c r="J20" s="385">
        <f t="shared" si="0"/>
        <v>-942422.01001099998</v>
      </c>
    </row>
    <row r="21" spans="1:10">
      <c r="A21" s="342"/>
    </row>
    <row r="22" spans="1:10">
      <c r="A22" s="342">
        <v>7</v>
      </c>
      <c r="B22" s="339" t="s">
        <v>1015</v>
      </c>
      <c r="G22" s="339">
        <v>348</v>
      </c>
      <c r="H22" s="342" t="s">
        <v>1003</v>
      </c>
      <c r="I22" s="339">
        <v>345</v>
      </c>
    </row>
    <row r="23" spans="1:10">
      <c r="A23" s="342"/>
    </row>
    <row r="24" spans="1:10">
      <c r="A24" s="342">
        <v>8</v>
      </c>
      <c r="B24" s="339" t="s">
        <v>1016</v>
      </c>
      <c r="G24" s="351">
        <f>G19/G22</f>
        <v>-5478.8793103448279</v>
      </c>
      <c r="H24" s="351"/>
      <c r="I24" s="351">
        <f>I19/I22</f>
        <v>851.42675362318835</v>
      </c>
      <c r="J24" s="351">
        <f>G24+I24</f>
        <v>-4627.4525567216397</v>
      </c>
    </row>
    <row r="25" spans="1:10">
      <c r="A25" s="342">
        <v>9</v>
      </c>
      <c r="B25" s="339" t="s">
        <v>1017</v>
      </c>
      <c r="G25" s="351">
        <f>G20/G22</f>
        <v>-3201.3091810344827</v>
      </c>
      <c r="H25" s="351"/>
      <c r="I25" s="351">
        <f>I20/I22</f>
        <v>497.48865214202897</v>
      </c>
      <c r="J25" s="351">
        <f>G25+I25</f>
        <v>-2703.8205288924537</v>
      </c>
    </row>
    <row r="26" spans="1:10">
      <c r="A26" s="342"/>
      <c r="G26" s="351"/>
      <c r="H26" s="351"/>
      <c r="I26" s="351"/>
      <c r="J26" s="351"/>
    </row>
    <row r="27" spans="1:10">
      <c r="A27" s="342">
        <v>10</v>
      </c>
      <c r="B27" s="339" t="s">
        <v>1018</v>
      </c>
      <c r="G27" s="395">
        <f>+G24*12</f>
        <v>-65746.551724137942</v>
      </c>
      <c r="H27" s="395"/>
      <c r="I27" s="395">
        <f>+I24*12</f>
        <v>10217.121043478261</v>
      </c>
      <c r="J27" s="395">
        <f>G27+I27</f>
        <v>-55529.43068065968</v>
      </c>
    </row>
    <row r="28" spans="1:10">
      <c r="A28" s="342"/>
    </row>
    <row r="29" spans="1:10">
      <c r="A29" s="342">
        <v>11</v>
      </c>
      <c r="B29" s="339" t="s">
        <v>1019</v>
      </c>
    </row>
    <row r="30" spans="1:10">
      <c r="A30" s="342">
        <f>A29+1</f>
        <v>12</v>
      </c>
      <c r="C30" s="339">
        <v>1996</v>
      </c>
      <c r="D30" s="339">
        <v>3</v>
      </c>
      <c r="E30" s="342" t="s">
        <v>1003</v>
      </c>
      <c r="F30" s="339">
        <v>0</v>
      </c>
    </row>
    <row r="31" spans="1:10">
      <c r="A31" s="342">
        <f t="shared" ref="A31:A56" si="1">A30+1</f>
        <v>13</v>
      </c>
      <c r="C31" s="339">
        <v>1997</v>
      </c>
      <c r="D31" s="339">
        <v>12</v>
      </c>
      <c r="E31" s="342" t="s">
        <v>1003</v>
      </c>
      <c r="F31" s="339">
        <v>12</v>
      </c>
    </row>
    <row r="32" spans="1:10">
      <c r="A32" s="342">
        <f t="shared" si="1"/>
        <v>14</v>
      </c>
      <c r="C32" s="339">
        <v>1998</v>
      </c>
      <c r="D32" s="339">
        <v>12</v>
      </c>
      <c r="E32" s="342" t="s">
        <v>1003</v>
      </c>
      <c r="F32" s="339">
        <v>12</v>
      </c>
    </row>
    <row r="33" spans="1:12">
      <c r="A33" s="342">
        <f t="shared" si="1"/>
        <v>15</v>
      </c>
      <c r="C33" s="339">
        <v>1999</v>
      </c>
      <c r="D33" s="339">
        <v>12</v>
      </c>
      <c r="E33" s="342" t="s">
        <v>1003</v>
      </c>
      <c r="F33" s="339">
        <v>12</v>
      </c>
      <c r="L33" s="391"/>
    </row>
    <row r="34" spans="1:12">
      <c r="A34" s="342">
        <f t="shared" si="1"/>
        <v>16</v>
      </c>
      <c r="C34" s="339">
        <v>2000</v>
      </c>
      <c r="D34" s="339">
        <v>12</v>
      </c>
      <c r="E34" s="342" t="s">
        <v>1003</v>
      </c>
      <c r="F34" s="339">
        <v>12</v>
      </c>
    </row>
    <row r="35" spans="1:12">
      <c r="A35" s="342">
        <f t="shared" si="1"/>
        <v>17</v>
      </c>
      <c r="C35" s="339">
        <v>2001</v>
      </c>
      <c r="D35" s="339">
        <v>12</v>
      </c>
      <c r="E35" s="342" t="s">
        <v>1003</v>
      </c>
      <c r="F35" s="339">
        <v>12</v>
      </c>
    </row>
    <row r="36" spans="1:12">
      <c r="A36" s="342">
        <f t="shared" si="1"/>
        <v>18</v>
      </c>
      <c r="C36" s="339">
        <v>2002</v>
      </c>
      <c r="D36" s="339">
        <v>12</v>
      </c>
      <c r="E36" s="342" t="s">
        <v>1003</v>
      </c>
      <c r="F36" s="339">
        <v>12</v>
      </c>
    </row>
    <row r="37" spans="1:12">
      <c r="A37" s="342">
        <f t="shared" si="1"/>
        <v>19</v>
      </c>
      <c r="C37" s="339">
        <v>2003</v>
      </c>
      <c r="D37" s="339">
        <v>12</v>
      </c>
      <c r="E37" s="342" t="s">
        <v>1003</v>
      </c>
      <c r="F37" s="339">
        <v>12</v>
      </c>
    </row>
    <row r="38" spans="1:12">
      <c r="A38" s="342">
        <f t="shared" si="1"/>
        <v>20</v>
      </c>
      <c r="C38" s="339">
        <v>2004</v>
      </c>
      <c r="D38" s="339">
        <v>12</v>
      </c>
      <c r="E38" s="342" t="s">
        <v>1003</v>
      </c>
      <c r="F38" s="339">
        <v>12</v>
      </c>
    </row>
    <row r="39" spans="1:12">
      <c r="A39" s="342">
        <f t="shared" si="1"/>
        <v>21</v>
      </c>
      <c r="C39" s="339">
        <v>2005</v>
      </c>
      <c r="D39" s="339">
        <v>12</v>
      </c>
      <c r="E39" s="342" t="s">
        <v>1003</v>
      </c>
      <c r="F39" s="339">
        <v>12</v>
      </c>
    </row>
    <row r="40" spans="1:12">
      <c r="A40" s="342">
        <f t="shared" si="1"/>
        <v>22</v>
      </c>
      <c r="C40" s="339">
        <v>2006</v>
      </c>
      <c r="D40" s="339">
        <v>12</v>
      </c>
      <c r="E40" s="342" t="s">
        <v>1003</v>
      </c>
      <c r="F40" s="339">
        <v>12</v>
      </c>
    </row>
    <row r="41" spans="1:12">
      <c r="A41" s="342">
        <f t="shared" si="1"/>
        <v>23</v>
      </c>
      <c r="C41" s="339">
        <v>2007</v>
      </c>
      <c r="D41" s="339">
        <v>12</v>
      </c>
      <c r="E41" s="342" t="s">
        <v>1003</v>
      </c>
      <c r="F41" s="339">
        <v>12</v>
      </c>
    </row>
    <row r="42" spans="1:12">
      <c r="A42" s="342">
        <f t="shared" si="1"/>
        <v>24</v>
      </c>
      <c r="C42" s="339">
        <v>2008</v>
      </c>
      <c r="D42" s="339">
        <v>12</v>
      </c>
      <c r="E42" s="342" t="s">
        <v>1003</v>
      </c>
      <c r="F42" s="339">
        <v>12</v>
      </c>
    </row>
    <row r="43" spans="1:12">
      <c r="A43" s="342">
        <f t="shared" si="1"/>
        <v>25</v>
      </c>
      <c r="C43" s="339">
        <v>2009</v>
      </c>
      <c r="D43" s="339">
        <v>12</v>
      </c>
      <c r="E43" s="342" t="s">
        <v>1003</v>
      </c>
      <c r="F43" s="339">
        <v>12</v>
      </c>
    </row>
    <row r="44" spans="1:12">
      <c r="A44" s="342">
        <f t="shared" si="1"/>
        <v>26</v>
      </c>
      <c r="C44" s="339">
        <v>2010</v>
      </c>
      <c r="D44" s="339">
        <v>12</v>
      </c>
      <c r="E44" s="342" t="s">
        <v>1003</v>
      </c>
      <c r="F44" s="339">
        <v>12</v>
      </c>
    </row>
    <row r="45" spans="1:12">
      <c r="A45" s="342">
        <f t="shared" si="1"/>
        <v>27</v>
      </c>
      <c r="C45" s="339">
        <v>2011</v>
      </c>
      <c r="D45" s="339">
        <v>12</v>
      </c>
      <c r="E45" s="342" t="s">
        <v>1003</v>
      </c>
      <c r="F45" s="339">
        <v>12</v>
      </c>
    </row>
    <row r="46" spans="1:12">
      <c r="A46" s="342">
        <f t="shared" si="1"/>
        <v>28</v>
      </c>
      <c r="C46" s="339">
        <v>2012</v>
      </c>
      <c r="D46" s="339">
        <v>12</v>
      </c>
      <c r="E46" s="342" t="s">
        <v>1003</v>
      </c>
      <c r="F46" s="339">
        <v>12</v>
      </c>
    </row>
    <row r="47" spans="1:12">
      <c r="A47" s="342">
        <f t="shared" si="1"/>
        <v>29</v>
      </c>
      <c r="C47" s="339">
        <v>2013</v>
      </c>
      <c r="D47" s="339">
        <v>12</v>
      </c>
      <c r="E47" s="342" t="s">
        <v>1003</v>
      </c>
      <c r="F47" s="339">
        <v>12</v>
      </c>
    </row>
    <row r="48" spans="1:12">
      <c r="A48" s="342">
        <f t="shared" si="1"/>
        <v>30</v>
      </c>
      <c r="C48" s="339">
        <v>2014</v>
      </c>
      <c r="D48" s="339">
        <v>12</v>
      </c>
      <c r="E48" s="342" t="s">
        <v>1003</v>
      </c>
      <c r="F48" s="339">
        <v>12</v>
      </c>
    </row>
    <row r="49" spans="1:10">
      <c r="A49" s="342">
        <f t="shared" si="1"/>
        <v>31</v>
      </c>
      <c r="C49" s="339">
        <v>2015</v>
      </c>
      <c r="D49" s="339">
        <v>12</v>
      </c>
      <c r="E49" s="342" t="s">
        <v>1003</v>
      </c>
      <c r="F49" s="339">
        <v>12</v>
      </c>
    </row>
    <row r="50" spans="1:10">
      <c r="A50" s="342">
        <f t="shared" si="1"/>
        <v>32</v>
      </c>
      <c r="C50" s="339">
        <v>2016</v>
      </c>
      <c r="D50" s="339">
        <v>12</v>
      </c>
      <c r="E50" s="342" t="s">
        <v>1003</v>
      </c>
      <c r="F50" s="339">
        <v>12</v>
      </c>
    </row>
    <row r="51" spans="1:10">
      <c r="A51" s="342">
        <f t="shared" si="1"/>
        <v>33</v>
      </c>
      <c r="C51" s="339">
        <v>2017</v>
      </c>
      <c r="D51" s="339">
        <v>12</v>
      </c>
      <c r="E51" s="342" t="s">
        <v>1003</v>
      </c>
      <c r="F51" s="339">
        <v>12</v>
      </c>
    </row>
    <row r="52" spans="1:10">
      <c r="A52" s="342">
        <f t="shared" si="1"/>
        <v>34</v>
      </c>
      <c r="C52" s="339">
        <v>2018</v>
      </c>
      <c r="D52" s="339">
        <v>12</v>
      </c>
      <c r="E52" s="342" t="s">
        <v>1003</v>
      </c>
      <c r="F52" s="339">
        <v>12</v>
      </c>
    </row>
    <row r="53" spans="1:10">
      <c r="A53" s="342">
        <f t="shared" si="1"/>
        <v>35</v>
      </c>
      <c r="C53" s="339">
        <v>2019</v>
      </c>
      <c r="D53" s="339">
        <v>12</v>
      </c>
      <c r="E53" s="342" t="s">
        <v>1003</v>
      </c>
      <c r="F53" s="339">
        <v>12</v>
      </c>
    </row>
    <row r="54" spans="1:10">
      <c r="A54" s="342">
        <f t="shared" si="1"/>
        <v>36</v>
      </c>
      <c r="C54" s="339">
        <v>2020</v>
      </c>
      <c r="D54" s="339">
        <v>12</v>
      </c>
      <c r="E54" s="342" t="s">
        <v>1003</v>
      </c>
      <c r="F54" s="339">
        <v>12</v>
      </c>
    </row>
    <row r="55" spans="1:10">
      <c r="A55" s="342">
        <f t="shared" si="1"/>
        <v>37</v>
      </c>
      <c r="C55" s="339">
        <v>2021</v>
      </c>
      <c r="D55" s="397">
        <v>12</v>
      </c>
      <c r="E55" s="342" t="s">
        <v>1003</v>
      </c>
      <c r="F55" s="397">
        <v>12</v>
      </c>
    </row>
    <row r="56" spans="1:10">
      <c r="A56" s="342">
        <f t="shared" si="1"/>
        <v>38</v>
      </c>
      <c r="C56" s="340" t="s">
        <v>88</v>
      </c>
      <c r="D56" s="339">
        <f>SUM(D30:D55)</f>
        <v>303</v>
      </c>
      <c r="E56" s="342" t="s">
        <v>1003</v>
      </c>
      <c r="F56" s="339">
        <f>SUM(F30:F55)</f>
        <v>300</v>
      </c>
      <c r="G56" s="385">
        <f>D56*G24</f>
        <v>-1660100.4310344828</v>
      </c>
      <c r="H56" s="385"/>
      <c r="I56" s="385">
        <f>F56*I24</f>
        <v>255428.0260869565</v>
      </c>
      <c r="J56" s="385">
        <f>G56+I56</f>
        <v>-1404672.4049475263</v>
      </c>
    </row>
    <row r="57" spans="1:10">
      <c r="A57" s="342"/>
      <c r="G57" s="385"/>
      <c r="H57" s="385"/>
      <c r="I57" s="385"/>
      <c r="J57" s="385"/>
    </row>
    <row r="58" spans="1:10">
      <c r="A58" s="342">
        <v>39</v>
      </c>
      <c r="B58" s="339" t="str">
        <f>'7.45%A'!B58</f>
        <v>Implied Unamortized Balance @ December 31, 2021</v>
      </c>
      <c r="G58" s="385">
        <f>-((ABS(G19))-ABS(G56))</f>
        <v>-246549.56896551722</v>
      </c>
      <c r="H58" s="385"/>
      <c r="I58" s="385">
        <f>I19-I56</f>
        <v>38314.203913043486</v>
      </c>
      <c r="J58" s="385">
        <f>G58+I58</f>
        <v>-208235.36505247373</v>
      </c>
    </row>
    <row r="59" spans="1:10">
      <c r="A59" s="342">
        <v>40</v>
      </c>
      <c r="B59" s="339" t="str">
        <f>'7.45%A'!B59</f>
        <v>Implied Unamortized After-Tax Bal. @ December  31, 2021</v>
      </c>
      <c r="G59" s="399">
        <f>G20-(G25*D56)</f>
        <v>-144058.9131465517</v>
      </c>
      <c r="H59" s="399"/>
      <c r="I59" s="399">
        <f>I20-(I25*F56)</f>
        <v>22386.989346391318</v>
      </c>
      <c r="J59" s="399">
        <f>G59+I59</f>
        <v>-121671.92380016038</v>
      </c>
    </row>
    <row r="60" spans="1:10">
      <c r="A60" s="342"/>
      <c r="G60" s="390"/>
    </row>
    <row r="62" spans="1:10">
      <c r="A62" s="339" t="s">
        <v>1039</v>
      </c>
    </row>
  </sheetData>
  <pageMargins left="0.75" right="0.75" top="1" bottom="1" header="0.5" footer="0.5"/>
  <pageSetup scale="76" orientation="portrait" r:id="rId1"/>
  <headerFooter alignWithMargins="0">
    <oddFooter>&amp;CExhibit BGM 1.1, Schedule 26               
Page 16 of 18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L61"/>
  <sheetViews>
    <sheetView zoomScaleNormal="100" workbookViewId="0">
      <selection activeCell="G58" sqref="G58"/>
    </sheetView>
  </sheetViews>
  <sheetFormatPr defaultRowHeight="15.75"/>
  <cols>
    <col min="1" max="1" width="6.42578125" style="339" customWidth="1"/>
    <col min="2" max="2" width="15" style="339" customWidth="1"/>
    <col min="3" max="3" width="15.28515625" style="339" customWidth="1"/>
    <col min="4" max="4" width="14.5703125" style="339" customWidth="1"/>
    <col min="5" max="5" width="11.85546875" style="339" bestFit="1" customWidth="1"/>
    <col min="6" max="6" width="5.140625" style="339" customWidth="1"/>
    <col min="7" max="7" width="16.7109375" style="339" bestFit="1" customWidth="1"/>
    <col min="8" max="8" width="11.85546875" style="339" bestFit="1" customWidth="1"/>
    <col min="9" max="16384" width="9.140625" style="339"/>
  </cols>
  <sheetData>
    <row r="1" spans="1:9">
      <c r="A1" s="339" t="s">
        <v>0</v>
      </c>
    </row>
    <row r="2" spans="1:9">
      <c r="A2" s="339" t="str">
        <f>WACC!A2</f>
        <v>Docket No. NG22-___</v>
      </c>
    </row>
    <row r="3" spans="1:9">
      <c r="A3" s="339" t="s">
        <v>1021</v>
      </c>
    </row>
    <row r="4" spans="1:9">
      <c r="A4" s="350" t="str">
        <f>WACC!A4</f>
        <v>Twelve Months Ending December 31, 2021</v>
      </c>
    </row>
    <row r="5" spans="1:9">
      <c r="A5" s="338"/>
      <c r="B5" s="338"/>
      <c r="C5" s="338"/>
      <c r="D5" s="338"/>
      <c r="E5" s="338"/>
      <c r="F5" s="338"/>
      <c r="G5" s="338"/>
      <c r="H5" s="338"/>
      <c r="I5" s="338"/>
    </row>
    <row r="6" spans="1:9">
      <c r="D6" s="342" t="s">
        <v>1000</v>
      </c>
      <c r="G6" s="342" t="s">
        <v>1040</v>
      </c>
    </row>
    <row r="7" spans="1:9">
      <c r="A7" s="339" t="s">
        <v>4</v>
      </c>
      <c r="C7" s="342" t="s">
        <v>1002</v>
      </c>
      <c r="D7" s="342" t="s">
        <v>1003</v>
      </c>
      <c r="G7" s="342" t="s">
        <v>1004</v>
      </c>
    </row>
    <row r="8" spans="1:9">
      <c r="A8" s="343" t="s">
        <v>5</v>
      </c>
      <c r="B8" s="220" t="s">
        <v>6</v>
      </c>
      <c r="C8" s="344" t="s">
        <v>1005</v>
      </c>
      <c r="D8" s="344" t="s">
        <v>1006</v>
      </c>
      <c r="E8" s="220" t="s">
        <v>6</v>
      </c>
      <c r="F8" s="397"/>
      <c r="G8" s="344" t="s">
        <v>1007</v>
      </c>
      <c r="H8" s="220" t="s">
        <v>6</v>
      </c>
    </row>
    <row r="9" spans="1:9">
      <c r="B9" s="342" t="s">
        <v>53</v>
      </c>
      <c r="C9" s="342" t="s">
        <v>54</v>
      </c>
      <c r="D9" s="342" t="s">
        <v>97</v>
      </c>
      <c r="E9" s="342" t="s">
        <v>98</v>
      </c>
      <c r="F9" s="342"/>
      <c r="G9" s="342" t="s">
        <v>99</v>
      </c>
      <c r="H9" s="342" t="s">
        <v>100</v>
      </c>
    </row>
    <row r="11" spans="1:9">
      <c r="B11" s="389" t="s">
        <v>1038</v>
      </c>
    </row>
    <row r="14" spans="1:9">
      <c r="A14" s="342">
        <v>1</v>
      </c>
      <c r="B14" s="339" t="s">
        <v>1009</v>
      </c>
      <c r="G14" s="400">
        <v>30561.74</v>
      </c>
    </row>
    <row r="15" spans="1:9">
      <c r="A15" s="342">
        <v>2</v>
      </c>
      <c r="B15" s="339" t="s">
        <v>1010</v>
      </c>
      <c r="G15" s="385">
        <v>0</v>
      </c>
    </row>
    <row r="16" spans="1:9">
      <c r="A16" s="342">
        <v>3</v>
      </c>
      <c r="B16" s="339" t="s">
        <v>1011</v>
      </c>
      <c r="G16" s="385">
        <v>0</v>
      </c>
    </row>
    <row r="17" spans="1:12">
      <c r="A17" s="342">
        <v>4</v>
      </c>
      <c r="B17" s="339" t="s">
        <v>1012</v>
      </c>
      <c r="G17" s="386">
        <v>183750</v>
      </c>
    </row>
    <row r="18" spans="1:12">
      <c r="A18" s="342">
        <v>5</v>
      </c>
      <c r="B18" s="339" t="s">
        <v>1033</v>
      </c>
      <c r="G18" s="385">
        <f>G14+G15+G16-G17</f>
        <v>-153188.26</v>
      </c>
    </row>
    <row r="19" spans="1:12">
      <c r="A19" s="342">
        <v>6</v>
      </c>
      <c r="B19" s="339" t="s">
        <v>1034</v>
      </c>
      <c r="G19" s="385">
        <f>G18*(1-0.4157)</f>
        <v>-89507.900318000015</v>
      </c>
    </row>
    <row r="20" spans="1:12">
      <c r="A20" s="342"/>
    </row>
    <row r="21" spans="1:12">
      <c r="A21" s="342">
        <v>7</v>
      </c>
      <c r="B21" s="339" t="s">
        <v>1015</v>
      </c>
      <c r="G21" s="339">
        <v>341</v>
      </c>
      <c r="H21" s="339" t="s">
        <v>1003</v>
      </c>
    </row>
    <row r="22" spans="1:12">
      <c r="A22" s="342"/>
    </row>
    <row r="23" spans="1:12">
      <c r="A23" s="342">
        <v>8</v>
      </c>
      <c r="B23" s="339" t="s">
        <v>1016</v>
      </c>
      <c r="G23" s="351">
        <f>G18/G21</f>
        <v>-449.23243401759532</v>
      </c>
    </row>
    <row r="24" spans="1:12">
      <c r="A24" s="342">
        <v>9</v>
      </c>
      <c r="B24" s="339" t="s">
        <v>1017</v>
      </c>
      <c r="G24" s="351">
        <f>G19/G21</f>
        <v>-262.48651119648099</v>
      </c>
    </row>
    <row r="25" spans="1:12">
      <c r="A25" s="342"/>
      <c r="G25" s="351"/>
    </row>
    <row r="26" spans="1:12">
      <c r="A26" s="342">
        <v>10</v>
      </c>
      <c r="B26" s="339" t="s">
        <v>1018</v>
      </c>
      <c r="G26" s="395">
        <f>+G23*12</f>
        <v>-5390.7892082111439</v>
      </c>
    </row>
    <row r="27" spans="1:12">
      <c r="A27" s="342"/>
    </row>
    <row r="28" spans="1:12">
      <c r="A28" s="342">
        <v>11</v>
      </c>
      <c r="B28" s="339" t="s">
        <v>1019</v>
      </c>
    </row>
    <row r="29" spans="1:12">
      <c r="A29" s="342">
        <f>A28+1</f>
        <v>12</v>
      </c>
      <c r="C29" s="339">
        <v>1996</v>
      </c>
      <c r="D29" s="339">
        <v>0</v>
      </c>
      <c r="E29" s="339" t="s">
        <v>1003</v>
      </c>
    </row>
    <row r="30" spans="1:12">
      <c r="A30" s="342">
        <f t="shared" ref="A30:A55" si="0">A29+1</f>
        <v>13</v>
      </c>
      <c r="C30" s="339">
        <v>1997</v>
      </c>
      <c r="D30" s="339">
        <v>8</v>
      </c>
      <c r="E30" s="339" t="s">
        <v>1003</v>
      </c>
    </row>
    <row r="31" spans="1:12">
      <c r="A31" s="342">
        <f t="shared" si="0"/>
        <v>14</v>
      </c>
      <c r="C31" s="339">
        <v>1998</v>
      </c>
      <c r="D31" s="339">
        <v>12</v>
      </c>
      <c r="E31" s="339" t="s">
        <v>1003</v>
      </c>
    </row>
    <row r="32" spans="1:12">
      <c r="A32" s="342">
        <f t="shared" si="0"/>
        <v>15</v>
      </c>
      <c r="C32" s="339">
        <v>1999</v>
      </c>
      <c r="D32" s="339">
        <v>12</v>
      </c>
      <c r="E32" s="339" t="s">
        <v>1003</v>
      </c>
      <c r="L32" s="391"/>
    </row>
    <row r="33" spans="1:5">
      <c r="A33" s="342">
        <f t="shared" si="0"/>
        <v>16</v>
      </c>
      <c r="C33" s="339">
        <v>2000</v>
      </c>
      <c r="D33" s="339">
        <v>12</v>
      </c>
      <c r="E33" s="339" t="s">
        <v>1003</v>
      </c>
    </row>
    <row r="34" spans="1:5">
      <c r="A34" s="342">
        <f t="shared" si="0"/>
        <v>17</v>
      </c>
      <c r="C34" s="339">
        <v>2001</v>
      </c>
      <c r="D34" s="339">
        <v>12</v>
      </c>
      <c r="E34" s="339" t="s">
        <v>1003</v>
      </c>
    </row>
    <row r="35" spans="1:5">
      <c r="A35" s="342">
        <f t="shared" si="0"/>
        <v>18</v>
      </c>
      <c r="C35" s="339">
        <v>2002</v>
      </c>
      <c r="D35" s="339">
        <v>12</v>
      </c>
      <c r="E35" s="339" t="s">
        <v>1003</v>
      </c>
    </row>
    <row r="36" spans="1:5">
      <c r="A36" s="342">
        <f t="shared" si="0"/>
        <v>19</v>
      </c>
      <c r="C36" s="339">
        <v>2003</v>
      </c>
      <c r="D36" s="339">
        <v>12</v>
      </c>
      <c r="E36" s="339" t="s">
        <v>1003</v>
      </c>
    </row>
    <row r="37" spans="1:5">
      <c r="A37" s="342">
        <f t="shared" si="0"/>
        <v>20</v>
      </c>
      <c r="C37" s="339">
        <v>2004</v>
      </c>
      <c r="D37" s="339">
        <v>12</v>
      </c>
      <c r="E37" s="339" t="s">
        <v>1003</v>
      </c>
    </row>
    <row r="38" spans="1:5">
      <c r="A38" s="342">
        <f t="shared" si="0"/>
        <v>21</v>
      </c>
      <c r="C38" s="339">
        <v>2005</v>
      </c>
      <c r="D38" s="339">
        <v>12</v>
      </c>
      <c r="E38" s="339" t="s">
        <v>1003</v>
      </c>
    </row>
    <row r="39" spans="1:5">
      <c r="A39" s="342">
        <f t="shared" si="0"/>
        <v>22</v>
      </c>
      <c r="C39" s="339">
        <v>2006</v>
      </c>
      <c r="D39" s="339">
        <v>12</v>
      </c>
      <c r="E39" s="339" t="s">
        <v>1003</v>
      </c>
    </row>
    <row r="40" spans="1:5">
      <c r="A40" s="342">
        <f t="shared" si="0"/>
        <v>23</v>
      </c>
      <c r="C40" s="339">
        <v>2007</v>
      </c>
      <c r="D40" s="339">
        <v>12</v>
      </c>
      <c r="E40" s="339" t="s">
        <v>1003</v>
      </c>
    </row>
    <row r="41" spans="1:5">
      <c r="A41" s="342">
        <f t="shared" si="0"/>
        <v>24</v>
      </c>
      <c r="C41" s="339">
        <v>2008</v>
      </c>
      <c r="D41" s="339">
        <v>12</v>
      </c>
      <c r="E41" s="339" t="s">
        <v>1003</v>
      </c>
    </row>
    <row r="42" spans="1:5">
      <c r="A42" s="342">
        <f t="shared" si="0"/>
        <v>25</v>
      </c>
      <c r="C42" s="339">
        <v>2009</v>
      </c>
      <c r="D42" s="339">
        <v>12</v>
      </c>
      <c r="E42" s="339" t="s">
        <v>1003</v>
      </c>
    </row>
    <row r="43" spans="1:5">
      <c r="A43" s="342">
        <f t="shared" si="0"/>
        <v>26</v>
      </c>
      <c r="C43" s="339">
        <v>2010</v>
      </c>
      <c r="D43" s="339">
        <v>12</v>
      </c>
      <c r="E43" s="339" t="s">
        <v>1003</v>
      </c>
    </row>
    <row r="44" spans="1:5">
      <c r="A44" s="342">
        <f t="shared" si="0"/>
        <v>27</v>
      </c>
      <c r="C44" s="339">
        <v>2011</v>
      </c>
      <c r="D44" s="339">
        <v>12</v>
      </c>
      <c r="E44" s="339" t="s">
        <v>1003</v>
      </c>
    </row>
    <row r="45" spans="1:5">
      <c r="A45" s="342">
        <f t="shared" si="0"/>
        <v>28</v>
      </c>
      <c r="C45" s="339">
        <v>2012</v>
      </c>
      <c r="D45" s="339">
        <v>12</v>
      </c>
      <c r="E45" s="339" t="s">
        <v>1003</v>
      </c>
    </row>
    <row r="46" spans="1:5">
      <c r="A46" s="342">
        <f t="shared" si="0"/>
        <v>29</v>
      </c>
      <c r="C46" s="339">
        <v>2013</v>
      </c>
      <c r="D46" s="339">
        <v>12</v>
      </c>
      <c r="E46" s="339" t="s">
        <v>1003</v>
      </c>
    </row>
    <row r="47" spans="1:5">
      <c r="A47" s="342">
        <f t="shared" si="0"/>
        <v>30</v>
      </c>
      <c r="C47" s="339">
        <v>2014</v>
      </c>
      <c r="D47" s="339">
        <v>12</v>
      </c>
      <c r="E47" s="339" t="s">
        <v>1003</v>
      </c>
    </row>
    <row r="48" spans="1:5">
      <c r="A48" s="342">
        <f t="shared" si="0"/>
        <v>31</v>
      </c>
      <c r="C48" s="339">
        <v>2015</v>
      </c>
      <c r="D48" s="339">
        <v>12</v>
      </c>
      <c r="E48" s="339" t="s">
        <v>1003</v>
      </c>
    </row>
    <row r="49" spans="1:7">
      <c r="A49" s="342">
        <f t="shared" si="0"/>
        <v>32</v>
      </c>
      <c r="C49" s="339">
        <v>2016</v>
      </c>
      <c r="D49" s="339">
        <v>12</v>
      </c>
      <c r="E49" s="339" t="s">
        <v>1003</v>
      </c>
    </row>
    <row r="50" spans="1:7">
      <c r="A50" s="342">
        <f t="shared" si="0"/>
        <v>33</v>
      </c>
      <c r="C50" s="339">
        <v>2017</v>
      </c>
      <c r="D50" s="339">
        <v>12</v>
      </c>
      <c r="E50" s="339" t="s">
        <v>1003</v>
      </c>
    </row>
    <row r="51" spans="1:7">
      <c r="A51" s="342">
        <f t="shared" si="0"/>
        <v>34</v>
      </c>
      <c r="C51" s="339">
        <v>2018</v>
      </c>
      <c r="D51" s="339">
        <v>12</v>
      </c>
      <c r="E51" s="339" t="s">
        <v>1003</v>
      </c>
    </row>
    <row r="52" spans="1:7">
      <c r="A52" s="342">
        <f t="shared" si="0"/>
        <v>35</v>
      </c>
      <c r="C52" s="339">
        <v>2019</v>
      </c>
      <c r="D52" s="339">
        <v>12</v>
      </c>
      <c r="E52" s="339" t="s">
        <v>1003</v>
      </c>
    </row>
    <row r="53" spans="1:7">
      <c r="A53" s="342">
        <f t="shared" si="0"/>
        <v>36</v>
      </c>
      <c r="C53" s="339">
        <v>2020</v>
      </c>
      <c r="D53" s="339">
        <v>12</v>
      </c>
      <c r="E53" s="339" t="s">
        <v>1003</v>
      </c>
    </row>
    <row r="54" spans="1:7">
      <c r="A54" s="342">
        <f t="shared" si="0"/>
        <v>37</v>
      </c>
      <c r="C54" s="339">
        <v>2021</v>
      </c>
      <c r="D54" s="397">
        <v>12</v>
      </c>
      <c r="E54" s="339" t="s">
        <v>1003</v>
      </c>
    </row>
    <row r="55" spans="1:7">
      <c r="A55" s="342">
        <f t="shared" si="0"/>
        <v>38</v>
      </c>
      <c r="C55" s="340" t="s">
        <v>88</v>
      </c>
      <c r="D55" s="339">
        <f>SUM(D29:D54)</f>
        <v>296</v>
      </c>
      <c r="E55" s="339" t="s">
        <v>1003</v>
      </c>
      <c r="G55" s="385">
        <f>D55*G23</f>
        <v>-132972.80046920822</v>
      </c>
    </row>
    <row r="56" spans="1:7">
      <c r="A56" s="342"/>
      <c r="G56" s="385"/>
    </row>
    <row r="57" spans="1:7">
      <c r="A57" s="342">
        <v>39</v>
      </c>
      <c r="B57" s="339" t="str">
        <f>'7.45%A'!B58</f>
        <v>Implied Unamortized Balance @ December 31, 2021</v>
      </c>
      <c r="G57" s="385">
        <f>(G18)-(G55)</f>
        <v>-20215.459530791792</v>
      </c>
    </row>
    <row r="58" spans="1:7">
      <c r="A58" s="342">
        <v>40</v>
      </c>
      <c r="B58" s="339" t="str">
        <f>'7.45%A'!B59</f>
        <v>Implied Unamortized After-Tax Bal. @ December  31, 2021</v>
      </c>
      <c r="G58" s="399">
        <f>G19-(G24*D55)</f>
        <v>-11811.893003841644</v>
      </c>
    </row>
    <row r="59" spans="1:7">
      <c r="A59" s="342"/>
      <c r="G59" s="390"/>
    </row>
    <row r="61" spans="1:7">
      <c r="A61" s="339" t="s">
        <v>1041</v>
      </c>
    </row>
  </sheetData>
  <pageMargins left="0.75" right="0.75" top="1" bottom="1" header="0.5" footer="0.5"/>
  <pageSetup scale="79" orientation="portrait" r:id="rId1"/>
  <headerFooter alignWithMargins="0">
    <oddFooter>&amp;CExhibit BGM 1.1, Schedule 26               
Page 17 of 18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L61"/>
  <sheetViews>
    <sheetView topLeftCell="A49" zoomScaleNormal="100" workbookViewId="0">
      <selection activeCell="G58" sqref="G58"/>
    </sheetView>
  </sheetViews>
  <sheetFormatPr defaultRowHeight="15.75"/>
  <cols>
    <col min="1" max="1" width="6.7109375" style="339" customWidth="1"/>
    <col min="2" max="2" width="12.7109375" style="339" customWidth="1"/>
    <col min="3" max="3" width="9.140625" style="339"/>
    <col min="4" max="4" width="15" style="339" customWidth="1"/>
    <col min="5" max="5" width="14.5703125" style="339" customWidth="1"/>
    <col min="6" max="6" width="6.140625" style="339" customWidth="1"/>
    <col min="7" max="7" width="17.28515625" style="339" customWidth="1"/>
    <col min="8" max="8" width="12.28515625" style="339" customWidth="1"/>
    <col min="9" max="16384" width="9.140625" style="339"/>
  </cols>
  <sheetData>
    <row r="1" spans="1:9">
      <c r="A1" s="339" t="s">
        <v>0</v>
      </c>
    </row>
    <row r="2" spans="1:9">
      <c r="A2" s="339" t="str">
        <f>WACC!A2</f>
        <v>Docket No. NG22-___</v>
      </c>
      <c r="B2" s="341"/>
      <c r="C2" s="341"/>
      <c r="D2" s="341"/>
      <c r="E2" s="341"/>
      <c r="F2" s="341"/>
      <c r="G2" s="341"/>
      <c r="H2" s="341"/>
      <c r="I2" s="341"/>
    </row>
    <row r="3" spans="1:9">
      <c r="A3" s="339" t="s">
        <v>1021</v>
      </c>
    </row>
    <row r="4" spans="1:9">
      <c r="A4" s="350" t="str">
        <f>WACC!A4</f>
        <v>Twelve Months Ending December 31, 2021</v>
      </c>
    </row>
    <row r="5" spans="1:9">
      <c r="A5" s="338"/>
      <c r="B5" s="338"/>
      <c r="C5" s="338"/>
      <c r="D5" s="338"/>
      <c r="E5" s="338"/>
      <c r="F5" s="338"/>
      <c r="G5" s="338"/>
      <c r="H5" s="338"/>
      <c r="I5" s="338"/>
    </row>
    <row r="6" spans="1:9">
      <c r="D6" s="342" t="s">
        <v>1000</v>
      </c>
      <c r="G6" s="342" t="s">
        <v>1040</v>
      </c>
    </row>
    <row r="7" spans="1:9">
      <c r="A7" s="339" t="s">
        <v>4</v>
      </c>
      <c r="C7" s="342" t="s">
        <v>1002</v>
      </c>
      <c r="D7" s="342" t="s">
        <v>1003</v>
      </c>
      <c r="G7" s="342" t="s">
        <v>1004</v>
      </c>
    </row>
    <row r="8" spans="1:9">
      <c r="A8" s="343" t="s">
        <v>5</v>
      </c>
      <c r="B8" s="220" t="s">
        <v>6</v>
      </c>
      <c r="C8" s="344" t="s">
        <v>1005</v>
      </c>
      <c r="D8" s="344" t="s">
        <v>1006</v>
      </c>
      <c r="E8" s="220" t="s">
        <v>6</v>
      </c>
      <c r="F8" s="397"/>
      <c r="G8" s="344" t="s">
        <v>1007</v>
      </c>
      <c r="H8" s="220" t="s">
        <v>6</v>
      </c>
    </row>
    <row r="9" spans="1:9">
      <c r="B9" s="342" t="s">
        <v>53</v>
      </c>
      <c r="C9" s="342" t="s">
        <v>54</v>
      </c>
      <c r="D9" s="342" t="s">
        <v>97</v>
      </c>
      <c r="E9" s="342" t="s">
        <v>98</v>
      </c>
      <c r="F9" s="342"/>
      <c r="G9" s="342" t="s">
        <v>99</v>
      </c>
      <c r="H9" s="342" t="s">
        <v>100</v>
      </c>
    </row>
    <row r="11" spans="1:9">
      <c r="B11" s="389" t="s">
        <v>1038</v>
      </c>
    </row>
    <row r="14" spans="1:9">
      <c r="A14" s="342">
        <v>1</v>
      </c>
      <c r="B14" s="339" t="s">
        <v>1009</v>
      </c>
      <c r="G14" s="399">
        <v>60764.99</v>
      </c>
    </row>
    <row r="15" spans="1:9">
      <c r="A15" s="342">
        <v>2</v>
      </c>
      <c r="B15" s="339" t="s">
        <v>1010</v>
      </c>
      <c r="G15" s="385">
        <v>0</v>
      </c>
    </row>
    <row r="16" spans="1:9">
      <c r="A16" s="342">
        <v>3</v>
      </c>
      <c r="B16" s="339" t="s">
        <v>1011</v>
      </c>
      <c r="G16" s="385">
        <v>0</v>
      </c>
    </row>
    <row r="17" spans="1:12">
      <c r="A17" s="342">
        <v>4</v>
      </c>
      <c r="B17" s="339" t="s">
        <v>1012</v>
      </c>
      <c r="G17" s="386">
        <v>67500</v>
      </c>
    </row>
    <row r="18" spans="1:12">
      <c r="A18" s="342">
        <v>5</v>
      </c>
      <c r="B18" s="339" t="s">
        <v>1033</v>
      </c>
      <c r="G18" s="385">
        <f>G14+G15+G16-G17</f>
        <v>-6735.010000000002</v>
      </c>
    </row>
    <row r="19" spans="1:12">
      <c r="A19" s="342">
        <v>6</v>
      </c>
      <c r="B19" s="339" t="s">
        <v>1034</v>
      </c>
      <c r="G19" s="385">
        <f>G18*(1-0.4157)</f>
        <v>-3935.2663430000016</v>
      </c>
    </row>
    <row r="20" spans="1:12">
      <c r="A20" s="342"/>
    </row>
    <row r="21" spans="1:12">
      <c r="A21" s="342">
        <v>7</v>
      </c>
      <c r="B21" s="339" t="s">
        <v>1015</v>
      </c>
      <c r="G21" s="339">
        <v>339</v>
      </c>
      <c r="H21" s="339" t="s">
        <v>1003</v>
      </c>
    </row>
    <row r="22" spans="1:12">
      <c r="A22" s="342"/>
    </row>
    <row r="23" spans="1:12">
      <c r="A23" s="342">
        <v>8</v>
      </c>
      <c r="B23" s="339" t="s">
        <v>1016</v>
      </c>
      <c r="G23" s="351">
        <f>G18/G21</f>
        <v>-19.86728613569322</v>
      </c>
    </row>
    <row r="24" spans="1:12">
      <c r="A24" s="342">
        <v>9</v>
      </c>
      <c r="B24" s="339" t="s">
        <v>1017</v>
      </c>
      <c r="G24" s="351">
        <f>G19/G21</f>
        <v>-11.608455289085551</v>
      </c>
    </row>
    <row r="25" spans="1:12">
      <c r="A25" s="342"/>
      <c r="G25" s="351"/>
    </row>
    <row r="26" spans="1:12">
      <c r="A26" s="342">
        <v>10</v>
      </c>
      <c r="B26" s="339" t="s">
        <v>1018</v>
      </c>
      <c r="G26" s="395">
        <f>+G23*12</f>
        <v>-238.40743362831864</v>
      </c>
    </row>
    <row r="27" spans="1:12">
      <c r="A27" s="342"/>
    </row>
    <row r="28" spans="1:12">
      <c r="A28" s="342">
        <v>11</v>
      </c>
      <c r="B28" s="339" t="s">
        <v>1019</v>
      </c>
    </row>
    <row r="29" spans="1:12">
      <c r="A29" s="342">
        <f>A28+1</f>
        <v>12</v>
      </c>
      <c r="C29" s="339">
        <v>1996</v>
      </c>
      <c r="D29" s="339">
        <v>0</v>
      </c>
      <c r="E29" s="339" t="s">
        <v>1003</v>
      </c>
    </row>
    <row r="30" spans="1:12">
      <c r="A30" s="342">
        <f t="shared" ref="A30:A55" si="0">A29+1</f>
        <v>13</v>
      </c>
      <c r="C30" s="339">
        <v>1997</v>
      </c>
      <c r="D30" s="339">
        <v>6</v>
      </c>
      <c r="E30" s="339" t="s">
        <v>1003</v>
      </c>
    </row>
    <row r="31" spans="1:12">
      <c r="A31" s="342">
        <f t="shared" si="0"/>
        <v>14</v>
      </c>
      <c r="C31" s="339">
        <v>1998</v>
      </c>
      <c r="D31" s="339">
        <v>12</v>
      </c>
      <c r="E31" s="339" t="s">
        <v>1003</v>
      </c>
    </row>
    <row r="32" spans="1:12">
      <c r="A32" s="342">
        <f t="shared" si="0"/>
        <v>15</v>
      </c>
      <c r="C32" s="339">
        <v>1999</v>
      </c>
      <c r="D32" s="339">
        <v>12</v>
      </c>
      <c r="E32" s="339" t="s">
        <v>1003</v>
      </c>
      <c r="L32" s="391"/>
    </row>
    <row r="33" spans="1:5">
      <c r="A33" s="342">
        <f t="shared" si="0"/>
        <v>16</v>
      </c>
      <c r="C33" s="339">
        <v>2000</v>
      </c>
      <c r="D33" s="339">
        <v>12</v>
      </c>
      <c r="E33" s="339" t="s">
        <v>1003</v>
      </c>
    </row>
    <row r="34" spans="1:5">
      <c r="A34" s="342">
        <f t="shared" si="0"/>
        <v>17</v>
      </c>
      <c r="C34" s="339">
        <v>2001</v>
      </c>
      <c r="D34" s="339">
        <v>12</v>
      </c>
      <c r="E34" s="339" t="s">
        <v>1003</v>
      </c>
    </row>
    <row r="35" spans="1:5">
      <c r="A35" s="342">
        <f t="shared" si="0"/>
        <v>18</v>
      </c>
      <c r="C35" s="339">
        <v>2002</v>
      </c>
      <c r="D35" s="339">
        <v>12</v>
      </c>
      <c r="E35" s="339" t="s">
        <v>1003</v>
      </c>
    </row>
    <row r="36" spans="1:5">
      <c r="A36" s="342">
        <f t="shared" si="0"/>
        <v>19</v>
      </c>
      <c r="C36" s="339">
        <v>2003</v>
      </c>
      <c r="D36" s="339">
        <v>12</v>
      </c>
      <c r="E36" s="339" t="s">
        <v>1003</v>
      </c>
    </row>
    <row r="37" spans="1:5">
      <c r="A37" s="342">
        <f t="shared" si="0"/>
        <v>20</v>
      </c>
      <c r="C37" s="339">
        <v>2004</v>
      </c>
      <c r="D37" s="339">
        <v>12</v>
      </c>
      <c r="E37" s="339" t="s">
        <v>1003</v>
      </c>
    </row>
    <row r="38" spans="1:5">
      <c r="A38" s="342">
        <f t="shared" si="0"/>
        <v>21</v>
      </c>
      <c r="C38" s="339">
        <v>2005</v>
      </c>
      <c r="D38" s="339">
        <v>12</v>
      </c>
      <c r="E38" s="339" t="s">
        <v>1003</v>
      </c>
    </row>
    <row r="39" spans="1:5">
      <c r="A39" s="342">
        <f t="shared" si="0"/>
        <v>22</v>
      </c>
      <c r="C39" s="339">
        <v>2006</v>
      </c>
      <c r="D39" s="339">
        <v>12</v>
      </c>
      <c r="E39" s="339" t="s">
        <v>1003</v>
      </c>
    </row>
    <row r="40" spans="1:5">
      <c r="A40" s="342">
        <f t="shared" si="0"/>
        <v>23</v>
      </c>
      <c r="C40" s="339">
        <v>2007</v>
      </c>
      <c r="D40" s="339">
        <v>12</v>
      </c>
      <c r="E40" s="339" t="s">
        <v>1003</v>
      </c>
    </row>
    <row r="41" spans="1:5">
      <c r="A41" s="342">
        <f t="shared" si="0"/>
        <v>24</v>
      </c>
      <c r="C41" s="339">
        <v>2008</v>
      </c>
      <c r="D41" s="339">
        <v>12</v>
      </c>
      <c r="E41" s="339" t="s">
        <v>1003</v>
      </c>
    </row>
    <row r="42" spans="1:5">
      <c r="A42" s="342">
        <f t="shared" si="0"/>
        <v>25</v>
      </c>
      <c r="C42" s="339">
        <v>2009</v>
      </c>
      <c r="D42" s="339">
        <v>12</v>
      </c>
      <c r="E42" s="339" t="s">
        <v>1003</v>
      </c>
    </row>
    <row r="43" spans="1:5">
      <c r="A43" s="342">
        <f t="shared" si="0"/>
        <v>26</v>
      </c>
      <c r="C43" s="339">
        <v>2010</v>
      </c>
      <c r="D43" s="339">
        <v>12</v>
      </c>
      <c r="E43" s="339" t="s">
        <v>1003</v>
      </c>
    </row>
    <row r="44" spans="1:5">
      <c r="A44" s="342">
        <f t="shared" si="0"/>
        <v>27</v>
      </c>
      <c r="C44" s="339">
        <v>2011</v>
      </c>
      <c r="D44" s="339">
        <v>12</v>
      </c>
      <c r="E44" s="339" t="s">
        <v>1003</v>
      </c>
    </row>
    <row r="45" spans="1:5">
      <c r="A45" s="342">
        <f t="shared" si="0"/>
        <v>28</v>
      </c>
      <c r="C45" s="339">
        <v>2012</v>
      </c>
      <c r="D45" s="339">
        <v>12</v>
      </c>
      <c r="E45" s="339" t="s">
        <v>1003</v>
      </c>
    </row>
    <row r="46" spans="1:5">
      <c r="A46" s="342">
        <f t="shared" si="0"/>
        <v>29</v>
      </c>
      <c r="C46" s="339">
        <v>2013</v>
      </c>
      <c r="D46" s="339">
        <v>12</v>
      </c>
      <c r="E46" s="339" t="s">
        <v>1003</v>
      </c>
    </row>
    <row r="47" spans="1:5">
      <c r="A47" s="342">
        <f t="shared" si="0"/>
        <v>30</v>
      </c>
      <c r="C47" s="339">
        <v>2014</v>
      </c>
      <c r="D47" s="339">
        <v>12</v>
      </c>
      <c r="E47" s="339" t="s">
        <v>1003</v>
      </c>
    </row>
    <row r="48" spans="1:5">
      <c r="A48" s="342">
        <f t="shared" si="0"/>
        <v>31</v>
      </c>
      <c r="C48" s="339">
        <v>2015</v>
      </c>
      <c r="D48" s="339">
        <v>12</v>
      </c>
      <c r="E48" s="339" t="s">
        <v>1003</v>
      </c>
    </row>
    <row r="49" spans="1:7">
      <c r="A49" s="342">
        <f t="shared" si="0"/>
        <v>32</v>
      </c>
      <c r="C49" s="339">
        <v>2016</v>
      </c>
      <c r="D49" s="339">
        <v>12</v>
      </c>
      <c r="E49" s="339" t="s">
        <v>1003</v>
      </c>
    </row>
    <row r="50" spans="1:7">
      <c r="A50" s="342">
        <f t="shared" si="0"/>
        <v>33</v>
      </c>
      <c r="C50" s="339">
        <v>2017</v>
      </c>
      <c r="D50" s="339">
        <v>12</v>
      </c>
      <c r="E50" s="339" t="s">
        <v>1003</v>
      </c>
    </row>
    <row r="51" spans="1:7">
      <c r="A51" s="342">
        <f t="shared" si="0"/>
        <v>34</v>
      </c>
      <c r="C51" s="339">
        <v>2018</v>
      </c>
      <c r="D51" s="339">
        <v>12</v>
      </c>
      <c r="E51" s="339" t="s">
        <v>1003</v>
      </c>
    </row>
    <row r="52" spans="1:7">
      <c r="A52" s="342">
        <f t="shared" si="0"/>
        <v>35</v>
      </c>
      <c r="C52" s="339">
        <v>2019</v>
      </c>
      <c r="D52" s="339">
        <v>12</v>
      </c>
      <c r="E52" s="339" t="s">
        <v>1003</v>
      </c>
    </row>
    <row r="53" spans="1:7">
      <c r="A53" s="342">
        <f t="shared" si="0"/>
        <v>36</v>
      </c>
      <c r="C53" s="339">
        <v>2020</v>
      </c>
      <c r="D53" s="339">
        <v>12</v>
      </c>
      <c r="E53" s="339" t="s">
        <v>1003</v>
      </c>
    </row>
    <row r="54" spans="1:7">
      <c r="A54" s="342">
        <f t="shared" si="0"/>
        <v>37</v>
      </c>
      <c r="C54" s="339">
        <v>2021</v>
      </c>
      <c r="D54" s="397">
        <v>12</v>
      </c>
      <c r="E54" s="339" t="s">
        <v>1003</v>
      </c>
    </row>
    <row r="55" spans="1:7">
      <c r="A55" s="342">
        <f t="shared" si="0"/>
        <v>38</v>
      </c>
      <c r="C55" s="340" t="s">
        <v>88</v>
      </c>
      <c r="D55" s="339">
        <f>SUM(D29:D54)</f>
        <v>294</v>
      </c>
      <c r="E55" s="339" t="s">
        <v>1003</v>
      </c>
      <c r="G55" s="385">
        <f>D55*G23</f>
        <v>-5840.9821238938066</v>
      </c>
    </row>
    <row r="56" spans="1:7">
      <c r="A56" s="342"/>
      <c r="G56" s="385"/>
    </row>
    <row r="57" spans="1:7">
      <c r="A57" s="342">
        <v>39</v>
      </c>
      <c r="B57" s="339" t="str">
        <f>'7.45%A'!B58</f>
        <v>Implied Unamortized Balance @ December 31, 2021</v>
      </c>
      <c r="G57" s="385">
        <f>(G18)-(G55)</f>
        <v>-894.02787610619544</v>
      </c>
    </row>
    <row r="58" spans="1:7">
      <c r="A58" s="342">
        <v>40</v>
      </c>
      <c r="B58" s="339" t="str">
        <f>'7.45%A'!B59</f>
        <v>Implied Unamortized After-Tax Bal. @ December  31, 2021</v>
      </c>
      <c r="G58" s="399">
        <f>G19-(G24*D55)</f>
        <v>-522.38048800884962</v>
      </c>
    </row>
    <row r="59" spans="1:7">
      <c r="A59" s="342"/>
    </row>
    <row r="61" spans="1:7">
      <c r="A61" s="339" t="s">
        <v>1042</v>
      </c>
    </row>
  </sheetData>
  <pageMargins left="0.75" right="0.75" top="1" bottom="1" header="0.5" footer="0.5"/>
  <pageSetup scale="82" orientation="portrait" r:id="rId1"/>
  <headerFooter alignWithMargins="0">
    <oddFooter>&amp;CExhibit BGM 1.1, Schedule 26               
Page 18 of 18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T73"/>
  <sheetViews>
    <sheetView zoomScale="80" zoomScaleNormal="80" workbookViewId="0">
      <selection activeCell="D26" sqref="D26"/>
    </sheetView>
  </sheetViews>
  <sheetFormatPr defaultRowHeight="15.75"/>
  <cols>
    <col min="1" max="1" width="5.140625" style="339" customWidth="1"/>
    <col min="2" max="2" width="10.7109375" style="339" customWidth="1"/>
    <col min="3" max="3" width="29.42578125" style="339" bestFit="1" customWidth="1"/>
    <col min="4" max="15" width="15.5703125" style="339" customWidth="1"/>
    <col min="16" max="16" width="15" style="339" customWidth="1"/>
    <col min="17" max="19" width="9.140625" style="339"/>
    <col min="20" max="20" width="10.7109375" style="339" bestFit="1" customWidth="1"/>
    <col min="21" max="16384" width="9.140625" style="339"/>
  </cols>
  <sheetData>
    <row r="1" spans="1:20">
      <c r="A1" s="339" t="s">
        <v>0</v>
      </c>
    </row>
    <row r="2" spans="1:20">
      <c r="A2" s="339" t="s">
        <v>1043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</row>
    <row r="3" spans="1:20">
      <c r="A3" s="339" t="s">
        <v>1044</v>
      </c>
    </row>
    <row r="4" spans="1:20">
      <c r="A4" s="339" t="str">
        <f>'LT Debt'!A4</f>
        <v>Twelve Months Ending December 31, 2021</v>
      </c>
    </row>
    <row r="5" spans="1:20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</row>
    <row r="7" spans="1:20">
      <c r="B7" s="342" t="s">
        <v>53</v>
      </c>
      <c r="C7" s="342" t="s">
        <v>54</v>
      </c>
      <c r="D7" s="342" t="s">
        <v>97</v>
      </c>
      <c r="E7" s="342" t="s">
        <v>98</v>
      </c>
      <c r="F7" s="342" t="s">
        <v>99</v>
      </c>
      <c r="G7" s="342" t="s">
        <v>100</v>
      </c>
      <c r="H7" s="342" t="s">
        <v>152</v>
      </c>
      <c r="I7" s="342" t="s">
        <v>153</v>
      </c>
      <c r="J7" s="342" t="s">
        <v>154</v>
      </c>
      <c r="K7" s="342" t="s">
        <v>155</v>
      </c>
      <c r="L7" s="342" t="s">
        <v>156</v>
      </c>
      <c r="M7" s="342" t="s">
        <v>157</v>
      </c>
      <c r="N7" s="342" t="s">
        <v>158</v>
      </c>
      <c r="O7" s="342" t="s">
        <v>159</v>
      </c>
      <c r="P7" s="342" t="s">
        <v>160</v>
      </c>
      <c r="Q7" s="342"/>
      <c r="R7" s="342"/>
      <c r="S7" s="342"/>
      <c r="T7" s="342"/>
    </row>
    <row r="8" spans="1:20">
      <c r="A8" s="339" t="s">
        <v>4</v>
      </c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38" t="s">
        <v>817</v>
      </c>
    </row>
    <row r="9" spans="1:20">
      <c r="A9" s="343" t="s">
        <v>5</v>
      </c>
      <c r="B9" s="343" t="s">
        <v>537</v>
      </c>
      <c r="C9" s="343" t="s">
        <v>6</v>
      </c>
      <c r="D9" s="361">
        <v>44197</v>
      </c>
      <c r="E9" s="361">
        <v>44228</v>
      </c>
      <c r="F9" s="361">
        <v>44256</v>
      </c>
      <c r="G9" s="361">
        <v>44287</v>
      </c>
      <c r="H9" s="361">
        <v>44317</v>
      </c>
      <c r="I9" s="361">
        <v>44348</v>
      </c>
      <c r="J9" s="361">
        <v>44378</v>
      </c>
      <c r="K9" s="361">
        <v>44409</v>
      </c>
      <c r="L9" s="361">
        <v>44440</v>
      </c>
      <c r="M9" s="361">
        <v>44470</v>
      </c>
      <c r="N9" s="361">
        <v>44501</v>
      </c>
      <c r="O9" s="361">
        <v>44531</v>
      </c>
      <c r="P9" s="344" t="s">
        <v>676</v>
      </c>
    </row>
    <row r="11" spans="1:20">
      <c r="A11" s="342">
        <v>1</v>
      </c>
      <c r="B11" s="342">
        <v>201</v>
      </c>
      <c r="C11" s="339" t="s">
        <v>1045</v>
      </c>
      <c r="D11" s="374">
        <v>564725055.94000006</v>
      </c>
      <c r="E11" s="374">
        <v>564725055.94000006</v>
      </c>
      <c r="F11" s="374">
        <v>564725055.94000006</v>
      </c>
      <c r="G11" s="374">
        <v>564725055.94000006</v>
      </c>
      <c r="H11" s="374">
        <v>564725055.94000006</v>
      </c>
      <c r="I11" s="374">
        <v>564725055.94000006</v>
      </c>
      <c r="J11" s="374">
        <v>564725055.94000006</v>
      </c>
      <c r="K11" s="374">
        <v>564725055.94000006</v>
      </c>
      <c r="L11" s="374">
        <v>564725055.94000006</v>
      </c>
      <c r="M11" s="374">
        <v>564725055.94000006</v>
      </c>
      <c r="N11" s="374">
        <v>564725055.94000006</v>
      </c>
      <c r="O11" s="374">
        <v>564725055.94000006</v>
      </c>
      <c r="P11" s="374">
        <f>(SUM(D11:O11)/12)</f>
        <v>564725055.94000018</v>
      </c>
    </row>
    <row r="12" spans="1:20">
      <c r="A12" s="342">
        <v>2</v>
      </c>
      <c r="B12" s="342"/>
      <c r="C12" s="339" t="s">
        <v>1046</v>
      </c>
      <c r="D12" s="351">
        <v>0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1">
        <v>0</v>
      </c>
      <c r="M12" s="351">
        <v>0</v>
      </c>
      <c r="N12" s="351">
        <v>0</v>
      </c>
      <c r="O12" s="351">
        <v>0</v>
      </c>
      <c r="P12" s="374">
        <f t="shared" ref="P12:P17" si="0">(SUM(D12:O12)/12)</f>
        <v>0</v>
      </c>
    </row>
    <row r="13" spans="1:20">
      <c r="A13" s="342">
        <v>3</v>
      </c>
      <c r="B13" s="342" t="s">
        <v>1047</v>
      </c>
      <c r="C13" s="339" t="s">
        <v>1048</v>
      </c>
      <c r="D13" s="374">
        <v>1123733.1500000001</v>
      </c>
      <c r="E13" s="374">
        <v>1123733.1500000001</v>
      </c>
      <c r="F13" s="374">
        <v>1123733.1500000001</v>
      </c>
      <c r="G13" s="374">
        <v>1123733.1500000001</v>
      </c>
      <c r="H13" s="374">
        <v>1123733.1500000001</v>
      </c>
      <c r="I13" s="374">
        <v>1123733.1500000001</v>
      </c>
      <c r="J13" s="374">
        <v>1123733.1500000001</v>
      </c>
      <c r="K13" s="374">
        <v>1123733.1500000001</v>
      </c>
      <c r="L13" s="374">
        <v>1123733.1500000001</v>
      </c>
      <c r="M13" s="374">
        <v>1123733.1500000001</v>
      </c>
      <c r="N13" s="374">
        <v>1123733.1500000001</v>
      </c>
      <c r="O13" s="374">
        <v>1123733.1500000001</v>
      </c>
      <c r="P13" s="374">
        <f t="shared" si="0"/>
        <v>1123733.1500000001</v>
      </c>
    </row>
    <row r="14" spans="1:20">
      <c r="A14" s="342">
        <v>4</v>
      </c>
      <c r="B14" s="342">
        <v>214</v>
      </c>
      <c r="C14" s="339" t="s">
        <v>1049</v>
      </c>
      <c r="D14" s="374">
        <v>-4476218.71</v>
      </c>
      <c r="E14" s="374">
        <v>-4476218.71</v>
      </c>
      <c r="F14" s="374">
        <v>-4476218.71</v>
      </c>
      <c r="G14" s="374">
        <v>-4476218.71</v>
      </c>
      <c r="H14" s="374">
        <v>-4476218.71</v>
      </c>
      <c r="I14" s="374">
        <v>-4476218.71</v>
      </c>
      <c r="J14" s="374">
        <v>-4476218.71</v>
      </c>
      <c r="K14" s="374">
        <v>-4476218.71</v>
      </c>
      <c r="L14" s="374">
        <v>-4476218.71</v>
      </c>
      <c r="M14" s="374">
        <v>-4476218.71</v>
      </c>
      <c r="N14" s="374">
        <v>-4476218.71</v>
      </c>
      <c r="O14" s="374">
        <v>-4476218.71</v>
      </c>
      <c r="P14" s="374">
        <f t="shared" si="0"/>
        <v>-4476218.71</v>
      </c>
    </row>
    <row r="15" spans="1:20">
      <c r="A15" s="342">
        <v>5</v>
      </c>
      <c r="B15" s="342">
        <v>216</v>
      </c>
      <c r="C15" s="339" t="s">
        <v>1050</v>
      </c>
      <c r="D15" s="374">
        <v>7559683647.6199999</v>
      </c>
      <c r="E15" s="374">
        <v>7617226047.5200005</v>
      </c>
      <c r="F15" s="374">
        <v>7650850948.8299999</v>
      </c>
      <c r="G15" s="374">
        <v>7687265923.0600004</v>
      </c>
      <c r="H15" s="374">
        <v>7728154435.75</v>
      </c>
      <c r="I15" s="374">
        <v>7864512593.8299999</v>
      </c>
      <c r="J15" s="374">
        <v>7993614091.9700003</v>
      </c>
      <c r="K15" s="374">
        <v>8140188168.4399996</v>
      </c>
      <c r="L15" s="374">
        <v>8241104525.29</v>
      </c>
      <c r="M15" s="374">
        <v>8309476309.2600002</v>
      </c>
      <c r="N15" s="374">
        <v>8360995490.8500004</v>
      </c>
      <c r="O15" s="374">
        <v>8398470734.4099998</v>
      </c>
      <c r="P15" s="374">
        <f t="shared" si="0"/>
        <v>7962628576.4025002</v>
      </c>
    </row>
    <row r="16" spans="1:20">
      <c r="A16" s="342">
        <v>6</v>
      </c>
      <c r="B16" s="342"/>
      <c r="C16" s="339" t="s">
        <v>1051</v>
      </c>
      <c r="D16" s="351">
        <f>'Unam G&amp;L'!D24</f>
        <v>-157815.29621158692</v>
      </c>
      <c r="E16" s="351">
        <f>'Unam G&amp;L'!E24</f>
        <v>-155195.29957739217</v>
      </c>
      <c r="F16" s="351">
        <f>'Unam G&amp;L'!F24</f>
        <v>-152575.30294319746</v>
      </c>
      <c r="G16" s="351">
        <f>'Unam G&amp;L'!G24</f>
        <v>-149955.30630900271</v>
      </c>
      <c r="H16" s="351">
        <f>'Unam G&amp;L'!H24</f>
        <v>-147335.30967480797</v>
      </c>
      <c r="I16" s="351">
        <f>'Unam G&amp;L'!I24</f>
        <v>-144715.31304061328</v>
      </c>
      <c r="J16" s="351">
        <f>'Unam G&amp;L'!J24</f>
        <v>-142095.31640641851</v>
      </c>
      <c r="K16" s="351">
        <f>'Unam G&amp;L'!K24</f>
        <v>-139475.3197722238</v>
      </c>
      <c r="L16" s="351">
        <f>'Unam G&amp;L'!L24</f>
        <v>-136855.32313802908</v>
      </c>
      <c r="M16" s="351">
        <f>'Unam G&amp;L'!M24</f>
        <v>-134235.32650383434</v>
      </c>
      <c r="N16" s="351">
        <f>'Unam G&amp;L'!N24</f>
        <v>-131615.32986963962</v>
      </c>
      <c r="O16" s="351">
        <f>'Unam G&amp;L'!O24</f>
        <v>-128995.33323544488</v>
      </c>
      <c r="P16" s="374">
        <f t="shared" si="0"/>
        <v>-143405.31472351588</v>
      </c>
    </row>
    <row r="17" spans="1:20">
      <c r="A17" s="342">
        <v>7</v>
      </c>
      <c r="B17" s="342">
        <v>217</v>
      </c>
      <c r="C17" s="339" t="s">
        <v>1052</v>
      </c>
      <c r="D17" s="351">
        <f t="shared" ref="D17:N17" si="1">EH61</f>
        <v>0</v>
      </c>
      <c r="E17" s="351">
        <f t="shared" si="1"/>
        <v>0</v>
      </c>
      <c r="F17" s="351">
        <f t="shared" si="1"/>
        <v>0</v>
      </c>
      <c r="G17" s="351">
        <f t="shared" si="1"/>
        <v>0</v>
      </c>
      <c r="H17" s="351">
        <f t="shared" si="1"/>
        <v>0</v>
      </c>
      <c r="I17" s="351">
        <f t="shared" si="1"/>
        <v>0</v>
      </c>
      <c r="J17" s="351">
        <f t="shared" si="1"/>
        <v>0</v>
      </c>
      <c r="K17" s="351">
        <f t="shared" si="1"/>
        <v>0</v>
      </c>
      <c r="L17" s="351">
        <f t="shared" si="1"/>
        <v>0</v>
      </c>
      <c r="M17" s="351">
        <f t="shared" si="1"/>
        <v>0</v>
      </c>
      <c r="N17" s="351">
        <f t="shared" si="1"/>
        <v>0</v>
      </c>
      <c r="O17" s="351"/>
      <c r="P17" s="374">
        <f t="shared" si="0"/>
        <v>0</v>
      </c>
    </row>
    <row r="18" spans="1:20">
      <c r="A18" s="342"/>
      <c r="B18" s="342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74"/>
    </row>
    <row r="19" spans="1:20">
      <c r="A19" s="342"/>
      <c r="B19" s="342"/>
      <c r="P19" s="351"/>
    </row>
    <row r="20" spans="1:20">
      <c r="A20" s="342">
        <v>8</v>
      </c>
      <c r="B20" s="342"/>
      <c r="C20" s="339" t="s">
        <v>1053</v>
      </c>
      <c r="D20" s="374">
        <f t="shared" ref="D20" si="2">SUM(D11:D18)</f>
        <v>8120898402.7037888</v>
      </c>
      <c r="E20" s="374">
        <f t="shared" ref="E20:G20" si="3">SUM(E11:E18)</f>
        <v>8178443422.6004229</v>
      </c>
      <c r="F20" s="374">
        <f t="shared" si="3"/>
        <v>8212070943.9070568</v>
      </c>
      <c r="G20" s="374">
        <f t="shared" si="3"/>
        <v>8248488538.1336918</v>
      </c>
      <c r="H20" s="374">
        <f>SUM(H11:H18)</f>
        <v>8289379670.8203249</v>
      </c>
      <c r="I20" s="374">
        <f t="shared" ref="I20:P20" si="4">SUM(I11:I18)</f>
        <v>8425740448.8969593</v>
      </c>
      <c r="J20" s="374">
        <f t="shared" si="4"/>
        <v>8554844567.0335941</v>
      </c>
      <c r="K20" s="374">
        <f t="shared" si="4"/>
        <v>8701421263.500227</v>
      </c>
      <c r="L20" s="374">
        <f t="shared" si="4"/>
        <v>8802340240.3468628</v>
      </c>
      <c r="M20" s="374">
        <f t="shared" si="4"/>
        <v>8870714644.3134956</v>
      </c>
      <c r="N20" s="374">
        <f t="shared" si="4"/>
        <v>8922236445.9001293</v>
      </c>
      <c r="O20" s="374">
        <f t="shared" si="4"/>
        <v>8959714309.4567642</v>
      </c>
      <c r="P20" s="374">
        <f t="shared" si="4"/>
        <v>8523857741.4677763</v>
      </c>
    </row>
    <row r="21" spans="1:20">
      <c r="A21" s="342"/>
      <c r="B21" s="342"/>
      <c r="P21" s="351"/>
    </row>
    <row r="22" spans="1:20" ht="13.5" customHeight="1">
      <c r="A22" s="342"/>
      <c r="B22" s="342"/>
      <c r="P22" s="374"/>
    </row>
    <row r="23" spans="1:20">
      <c r="A23" s="342"/>
      <c r="B23" s="355" t="s">
        <v>1054</v>
      </c>
      <c r="P23" s="351"/>
      <c r="T23" s="374"/>
    </row>
    <row r="24" spans="1:20">
      <c r="A24" s="342"/>
      <c r="B24" s="355" t="s">
        <v>1055</v>
      </c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</row>
    <row r="25" spans="1:20">
      <c r="A25" s="342"/>
      <c r="B25" s="342"/>
      <c r="G25" s="351"/>
      <c r="H25" s="351"/>
      <c r="I25" s="351"/>
      <c r="J25" s="351"/>
      <c r="K25" s="351"/>
      <c r="L25" s="351"/>
      <c r="M25" s="351"/>
      <c r="N25" s="351"/>
      <c r="O25" s="351"/>
      <c r="P25" s="351"/>
    </row>
    <row r="26" spans="1:20">
      <c r="G26" s="351"/>
      <c r="H26" s="351"/>
      <c r="I26" s="351"/>
      <c r="J26" s="351"/>
      <c r="K26" s="351"/>
      <c r="L26" s="351"/>
      <c r="M26" s="351"/>
      <c r="N26" s="351"/>
      <c r="O26" s="351"/>
      <c r="P26" s="351"/>
    </row>
    <row r="27" spans="1:20">
      <c r="G27" s="351"/>
      <c r="H27" s="351"/>
      <c r="I27" s="351"/>
      <c r="J27" s="351"/>
      <c r="K27" s="351"/>
      <c r="L27" s="351"/>
      <c r="M27" s="351"/>
      <c r="N27" s="351"/>
      <c r="O27" s="351"/>
      <c r="P27" s="351"/>
    </row>
    <row r="28" spans="1:20">
      <c r="A28" s="342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</row>
    <row r="29" spans="1:20">
      <c r="C29" s="348"/>
      <c r="P29" s="374"/>
    </row>
    <row r="33" spans="2:16"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</row>
    <row r="34" spans="2:16"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</row>
    <row r="35" spans="2:16"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</row>
    <row r="36" spans="2:16"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</row>
    <row r="37" spans="2:16"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</row>
    <row r="38" spans="2:16"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</row>
    <row r="39" spans="2:16"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</row>
    <row r="40" spans="2:16"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</row>
    <row r="41" spans="2:16">
      <c r="B41" s="39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</row>
    <row r="42" spans="2:16"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</row>
    <row r="50" spans="1:16">
      <c r="A50" s="341"/>
    </row>
    <row r="51" spans="1:16">
      <c r="A51" s="341"/>
    </row>
    <row r="52" spans="1:16">
      <c r="A52" s="341"/>
    </row>
    <row r="56" spans="1:16"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</row>
    <row r="58" spans="1:16">
      <c r="A58" s="342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</row>
    <row r="59" spans="1:16">
      <c r="A59" s="342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</row>
    <row r="60" spans="1:16">
      <c r="A60" s="422" t="s">
        <v>1056</v>
      </c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</row>
    <row r="61" spans="1:16">
      <c r="A61" s="422" t="s">
        <v>1057</v>
      </c>
      <c r="B61" s="422"/>
      <c r="C61" s="422"/>
      <c r="D61" s="422"/>
      <c r="E61" s="422"/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</row>
    <row r="62" spans="1:16">
      <c r="A62" s="342"/>
    </row>
    <row r="63" spans="1:16">
      <c r="A63" s="342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</row>
    <row r="64" spans="1:16">
      <c r="A64" s="342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</row>
    <row r="65" spans="1:15">
      <c r="A65" s="342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</row>
    <row r="66" spans="1:15">
      <c r="A66" s="342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</row>
    <row r="67" spans="1:15">
      <c r="A67" s="342"/>
    </row>
    <row r="68" spans="1:15">
      <c r="A68" s="342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</row>
    <row r="69" spans="1:15">
      <c r="A69" s="342"/>
    </row>
    <row r="70" spans="1:15">
      <c r="A70" s="342"/>
    </row>
    <row r="72" spans="1:15">
      <c r="A72" s="342"/>
      <c r="C72" s="348"/>
    </row>
    <row r="73" spans="1:15">
      <c r="A73" s="342"/>
    </row>
  </sheetData>
  <mergeCells count="2">
    <mergeCell ref="A60:P60"/>
    <mergeCell ref="A61:P61"/>
  </mergeCells>
  <pageMargins left="0.25" right="0.25" top="1" bottom="0.25" header="0.25" footer="0.25"/>
  <pageSetup scale="54" orientation="landscape" horizontalDpi="4294967293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W34"/>
  <sheetViews>
    <sheetView view="pageLayout" topLeftCell="A10" zoomScaleNormal="70" workbookViewId="0">
      <selection activeCell="E12" sqref="E12"/>
    </sheetView>
  </sheetViews>
  <sheetFormatPr defaultRowHeight="15.75"/>
  <cols>
    <col min="1" max="1" width="5.7109375" style="339" customWidth="1"/>
    <col min="2" max="2" width="5" style="339" customWidth="1"/>
    <col min="3" max="3" width="23.42578125" style="339" customWidth="1"/>
    <col min="4" max="4" width="14.140625" style="339" customWidth="1"/>
    <col min="5" max="5" width="15.7109375" style="339" bestFit="1" customWidth="1"/>
    <col min="6" max="6" width="14.140625" style="339" customWidth="1"/>
    <col min="7" max="7" width="14.85546875" style="339" bestFit="1" customWidth="1"/>
    <col min="8" max="15" width="14.140625" style="339" customWidth="1"/>
    <col min="16" max="16" width="12.7109375" style="339" customWidth="1"/>
    <col min="17" max="16384" width="9.140625" style="339"/>
  </cols>
  <sheetData>
    <row r="1" spans="1:23">
      <c r="A1" s="339" t="s">
        <v>0</v>
      </c>
    </row>
    <row r="2" spans="1:23">
      <c r="A2" s="339" t="str">
        <f>WACC!A2</f>
        <v>Docket No. NG22-___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</row>
    <row r="3" spans="1:23">
      <c r="A3" s="339" t="s">
        <v>1058</v>
      </c>
    </row>
    <row r="4" spans="1:23">
      <c r="A4" s="349" t="str">
        <f>WACC!A4</f>
        <v>Twelve Months Ending December 31, 2021</v>
      </c>
    </row>
    <row r="5" spans="1:23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</row>
    <row r="6" spans="1:23">
      <c r="C6" s="342" t="s">
        <v>53</v>
      </c>
      <c r="D6" s="342" t="s">
        <v>54</v>
      </c>
      <c r="E6" s="342" t="s">
        <v>97</v>
      </c>
      <c r="F6" s="342" t="s">
        <v>98</v>
      </c>
      <c r="G6" s="342" t="s">
        <v>99</v>
      </c>
      <c r="H6" s="342" t="s">
        <v>100</v>
      </c>
      <c r="I6" s="342" t="s">
        <v>152</v>
      </c>
      <c r="J6" s="342" t="s">
        <v>153</v>
      </c>
      <c r="K6" s="342" t="s">
        <v>154</v>
      </c>
      <c r="L6" s="342" t="s">
        <v>155</v>
      </c>
      <c r="M6" s="342" t="s">
        <v>156</v>
      </c>
      <c r="N6" s="342" t="s">
        <v>157</v>
      </c>
      <c r="O6" s="342" t="s">
        <v>158</v>
      </c>
      <c r="P6" s="342" t="s">
        <v>159</v>
      </c>
      <c r="Q6" s="342"/>
      <c r="R6" s="342"/>
      <c r="S6" s="342"/>
    </row>
    <row r="7" spans="1:23">
      <c r="A7" s="339" t="s">
        <v>4</v>
      </c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38" t="s">
        <v>817</v>
      </c>
    </row>
    <row r="8" spans="1:23">
      <c r="A8" s="343" t="s">
        <v>5</v>
      </c>
      <c r="C8" s="360" t="s">
        <v>6</v>
      </c>
      <c r="D8" s="361">
        <v>44197</v>
      </c>
      <c r="E8" s="361">
        <v>44228</v>
      </c>
      <c r="F8" s="361">
        <v>44256</v>
      </c>
      <c r="G8" s="361">
        <v>44287</v>
      </c>
      <c r="H8" s="361">
        <v>44317</v>
      </c>
      <c r="I8" s="361">
        <v>44348</v>
      </c>
      <c r="J8" s="361">
        <v>44378</v>
      </c>
      <c r="K8" s="361">
        <v>44409</v>
      </c>
      <c r="L8" s="361">
        <v>44440</v>
      </c>
      <c r="M8" s="361">
        <v>44470</v>
      </c>
      <c r="N8" s="361">
        <v>44501</v>
      </c>
      <c r="O8" s="361">
        <v>44531</v>
      </c>
      <c r="P8" s="392" t="s">
        <v>676</v>
      </c>
    </row>
    <row r="9" spans="1:23">
      <c r="C9" s="342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38"/>
    </row>
    <row r="10" spans="1:23">
      <c r="A10" s="342"/>
      <c r="C10" s="348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</row>
    <row r="11" spans="1:23">
      <c r="A11" s="342"/>
      <c r="C11" s="341" t="s">
        <v>781</v>
      </c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</row>
    <row r="12" spans="1:23">
      <c r="A12" s="342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</row>
    <row r="13" spans="1:23">
      <c r="A13" s="342"/>
      <c r="C13" s="362" t="s">
        <v>1059</v>
      </c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</row>
    <row r="14" spans="1:23">
      <c r="A14" s="342">
        <v>1</v>
      </c>
      <c r="C14" s="339" t="s">
        <v>882</v>
      </c>
      <c r="D14" s="374">
        <f>E14+'7.45%A'!$J$25</f>
        <v>-2325.7178267076461</v>
      </c>
      <c r="E14" s="374">
        <f>F14+'7.45%A'!$J$25</f>
        <v>-2232.6891136393406</v>
      </c>
      <c r="F14" s="374">
        <f>G14+'7.45%A'!$J$25</f>
        <v>-2139.6604005710351</v>
      </c>
      <c r="G14" s="374">
        <f>H14+'7.45%A'!$J$25</f>
        <v>-2046.6316875027296</v>
      </c>
      <c r="H14" s="374">
        <f>I14+'7.45%A'!$J$25</f>
        <v>-1953.6029744344241</v>
      </c>
      <c r="I14" s="374">
        <f>J14+'7.45%A'!$J$25</f>
        <v>-1860.5742613661187</v>
      </c>
      <c r="J14" s="374">
        <f>K14+'7.45%A'!$J$25</f>
        <v>-1767.5455482978132</v>
      </c>
      <c r="K14" s="374">
        <f>L14+'7.45%A'!$J$25</f>
        <v>-1674.5168352295077</v>
      </c>
      <c r="L14" s="374">
        <f>M14+'7.45%A'!$J$25</f>
        <v>-1581.4881221612022</v>
      </c>
      <c r="M14" s="374">
        <f>N14+'7.45%A'!$J$25</f>
        <v>-1488.4594090928967</v>
      </c>
      <c r="N14" s="374">
        <f>O14+'7.45%A'!$J$25</f>
        <v>-1395.4306960245913</v>
      </c>
      <c r="O14" s="374">
        <f>'7.45%A'!J59</f>
        <v>-1302.4019829562858</v>
      </c>
      <c r="P14" s="351">
        <f>(SUM(D14:O14)/12)</f>
        <v>-1814.0599048319662</v>
      </c>
      <c r="Q14" s="374"/>
    </row>
    <row r="15" spans="1:23">
      <c r="A15" s="342">
        <v>2</v>
      </c>
      <c r="C15" s="339" t="s">
        <v>883</v>
      </c>
      <c r="D15" s="374">
        <f>E15+'6.95%A'!$J$25</f>
        <v>-151413.94961797734</v>
      </c>
      <c r="E15" s="374">
        <f>F15+'6.95%A'!$J$25</f>
        <v>-148710.12908908489</v>
      </c>
      <c r="F15" s="374">
        <f>G15+'6.95%A'!$J$25</f>
        <v>-146006.30856019244</v>
      </c>
      <c r="G15" s="374">
        <f>H15+'6.95%A'!$J$25</f>
        <v>-143302.48803129999</v>
      </c>
      <c r="H15" s="374">
        <f>I15+'6.95%A'!$J$25</f>
        <v>-140598.66750240754</v>
      </c>
      <c r="I15" s="374">
        <f>J15+'6.95%A'!$J$25</f>
        <v>-137894.84697351509</v>
      </c>
      <c r="J15" s="374">
        <f>K15+'6.95%A'!$J$25</f>
        <v>-135191.02644462264</v>
      </c>
      <c r="K15" s="374">
        <f>L15+'6.95%A'!$J$25</f>
        <v>-132487.20591573018</v>
      </c>
      <c r="L15" s="374">
        <f>M15+'6.95%A'!$J$25</f>
        <v>-129783.38538683773</v>
      </c>
      <c r="M15" s="374">
        <f>N15+'6.95%A'!$J$25</f>
        <v>-127079.56485794528</v>
      </c>
      <c r="N15" s="374">
        <f>O15+'6.95%A'!$J$25</f>
        <v>-124375.74432905283</v>
      </c>
      <c r="O15" s="374">
        <f>'6.95%A'!J59</f>
        <v>-121671.92380016038</v>
      </c>
      <c r="P15" s="351">
        <f>(SUM(D15:O15)/12)</f>
        <v>-136542.93670906886</v>
      </c>
      <c r="Q15" s="374"/>
    </row>
    <row r="16" spans="1:23">
      <c r="A16" s="342">
        <v>3</v>
      </c>
      <c r="C16" s="348" t="s">
        <v>883</v>
      </c>
      <c r="D16" s="374">
        <f>E16+'6.95%B'!$G$24</f>
        <v>-14699.244627002934</v>
      </c>
      <c r="E16" s="374">
        <f>F16+'6.95%B'!$G$24</f>
        <v>-14436.758115806453</v>
      </c>
      <c r="F16" s="374">
        <f>G16+'6.95%B'!$G$24</f>
        <v>-14174.271604609972</v>
      </c>
      <c r="G16" s="374">
        <f>H16+'6.95%B'!$G$24</f>
        <v>-13911.785093413491</v>
      </c>
      <c r="H16" s="374">
        <f>I16+'6.95%B'!$G$24</f>
        <v>-13649.29858221701</v>
      </c>
      <c r="I16" s="374">
        <f>J16+'6.95%B'!$G$24</f>
        <v>-13386.812071020529</v>
      </c>
      <c r="J16" s="374">
        <f>K16+'6.95%B'!$G$24</f>
        <v>-13124.325559824048</v>
      </c>
      <c r="K16" s="374">
        <f>L16+'6.95%B'!$G$24</f>
        <v>-12861.839048627568</v>
      </c>
      <c r="L16" s="374">
        <f>M16+'6.95%B'!$G$24</f>
        <v>-12599.352537431087</v>
      </c>
      <c r="M16" s="374">
        <f>N16+'6.95%B'!$G$24</f>
        <v>-12336.866026234606</v>
      </c>
      <c r="N16" s="374">
        <f>O16+'6.95%B'!$G$24</f>
        <v>-12074.379515038125</v>
      </c>
      <c r="O16" s="374">
        <f>'6.95%B'!G58</f>
        <v>-11811.893003841644</v>
      </c>
      <c r="P16" s="351">
        <f>(SUM(D16:O16)/12)</f>
        <v>-13255.568815422288</v>
      </c>
      <c r="Q16" s="374"/>
      <c r="R16" s="379"/>
      <c r="S16" s="379"/>
      <c r="T16" s="379"/>
      <c r="U16" s="379"/>
      <c r="V16" s="379"/>
      <c r="W16" s="379"/>
    </row>
    <row r="17" spans="1:17">
      <c r="A17" s="342">
        <v>4</v>
      </c>
      <c r="C17" s="348" t="s">
        <v>883</v>
      </c>
      <c r="D17" s="357">
        <f>E17+'6.95%C'!$G$24</f>
        <v>-650.07349618879073</v>
      </c>
      <c r="E17" s="357">
        <f>F17+'6.95%C'!$G$24</f>
        <v>-638.46504089970517</v>
      </c>
      <c r="F17" s="357">
        <f>G17+'6.95%C'!$G$24</f>
        <v>-626.85658561061962</v>
      </c>
      <c r="G17" s="357">
        <f>H17+'6.95%C'!$G$24</f>
        <v>-615.24813032153406</v>
      </c>
      <c r="H17" s="357">
        <f>I17+'6.95%C'!$G$24</f>
        <v>-603.63967503244851</v>
      </c>
      <c r="I17" s="357">
        <f>J17+'6.95%C'!$G$24</f>
        <v>-592.03121974336295</v>
      </c>
      <c r="J17" s="357">
        <f>K17+'6.95%C'!$G$24</f>
        <v>-580.4227644542774</v>
      </c>
      <c r="K17" s="357">
        <f>L17+'6.95%C'!$G$24</f>
        <v>-568.81430916519184</v>
      </c>
      <c r="L17" s="357">
        <f>M17+'6.95%C'!$G$24</f>
        <v>-557.20585387610629</v>
      </c>
      <c r="M17" s="357">
        <f>N17+'6.95%C'!$G$24</f>
        <v>-545.59739858702073</v>
      </c>
      <c r="N17" s="357">
        <f>O17+'6.95%C'!$G$24</f>
        <v>-533.98894329793518</v>
      </c>
      <c r="O17" s="357">
        <f>'6.95%C'!G58</f>
        <v>-522.38048800884962</v>
      </c>
      <c r="P17" s="357">
        <f>(SUM(D17:O17)/12)</f>
        <v>-586.22699209882012</v>
      </c>
      <c r="Q17" s="374"/>
    </row>
    <row r="18" spans="1:17">
      <c r="A18" s="342">
        <v>5</v>
      </c>
      <c r="D18" s="351">
        <f t="shared" ref="D18:O18" si="0">SUM(D14:D17)</f>
        <v>-169088.98556787672</v>
      </c>
      <c r="E18" s="351">
        <f t="shared" si="0"/>
        <v>-166018.04135943038</v>
      </c>
      <c r="F18" s="351">
        <f t="shared" si="0"/>
        <v>-162947.09715098407</v>
      </c>
      <c r="G18" s="351">
        <f t="shared" si="0"/>
        <v>-159876.15294253774</v>
      </c>
      <c r="H18" s="351">
        <f t="shared" si="0"/>
        <v>-156805.2087340914</v>
      </c>
      <c r="I18" s="351">
        <f t="shared" si="0"/>
        <v>-153734.26452564512</v>
      </c>
      <c r="J18" s="351">
        <f t="shared" si="0"/>
        <v>-150663.32031719876</v>
      </c>
      <c r="K18" s="351">
        <f t="shared" si="0"/>
        <v>-147592.37610875245</v>
      </c>
      <c r="L18" s="351">
        <f t="shared" si="0"/>
        <v>-144521.43190030614</v>
      </c>
      <c r="M18" s="351">
        <f t="shared" si="0"/>
        <v>-141450.4876918598</v>
      </c>
      <c r="N18" s="351">
        <f t="shared" si="0"/>
        <v>-138379.54348341349</v>
      </c>
      <c r="O18" s="351">
        <f t="shared" si="0"/>
        <v>-135308.59927496716</v>
      </c>
      <c r="P18" s="351">
        <f>SUM(P14:P17)</f>
        <v>-152198.79242142194</v>
      </c>
    </row>
    <row r="19" spans="1:17">
      <c r="A19" s="342"/>
    </row>
    <row r="20" spans="1:17">
      <c r="A20" s="342"/>
      <c r="C20" s="362" t="s">
        <v>1060</v>
      </c>
    </row>
    <row r="21" spans="1:17">
      <c r="A21" s="342">
        <v>6</v>
      </c>
      <c r="C21" s="339" t="s">
        <v>882</v>
      </c>
      <c r="D21" s="374">
        <f>E21+'7.45%B'!$G$24</f>
        <v>11273.6893562898</v>
      </c>
      <c r="E21" s="374">
        <f>F21+'7.45%B'!$G$24</f>
        <v>10822.741782038207</v>
      </c>
      <c r="F21" s="374">
        <f>G21+'7.45%B'!$G$24</f>
        <v>10371.794207786614</v>
      </c>
      <c r="G21" s="374">
        <f>H21+'7.45%B'!$G$24</f>
        <v>9920.8466335350204</v>
      </c>
      <c r="H21" s="374">
        <f>I21+'7.45%B'!$G$24</f>
        <v>9469.8990592834271</v>
      </c>
      <c r="I21" s="374">
        <f>J21+'7.45%B'!$G$24</f>
        <v>9018.9514850318337</v>
      </c>
      <c r="J21" s="374">
        <f>K21+'7.45%B'!$G$24</f>
        <v>8568.0039107802404</v>
      </c>
      <c r="K21" s="374">
        <f>L21+'7.45%B'!$G$24</f>
        <v>8117.0563365286471</v>
      </c>
      <c r="L21" s="374">
        <f>M21+'7.45%B'!$G$24</f>
        <v>7666.1087622770547</v>
      </c>
      <c r="M21" s="374">
        <f>N21+'7.45%B'!$G$24</f>
        <v>7215.1611880254623</v>
      </c>
      <c r="N21" s="374">
        <f>O21+'7.45%B'!$G$24</f>
        <v>6764.2136137738698</v>
      </c>
      <c r="O21" s="374">
        <f>'7.45%B'!G58</f>
        <v>6313.2660395222774</v>
      </c>
      <c r="P21" s="351">
        <f>(SUM(D21:O21)/12)</f>
        <v>8793.4776979060389</v>
      </c>
    </row>
    <row r="22" spans="1:17">
      <c r="A22" s="342"/>
    </row>
    <row r="23" spans="1:17">
      <c r="A23" s="342"/>
    </row>
    <row r="24" spans="1:17">
      <c r="A24" s="342">
        <v>7</v>
      </c>
      <c r="C24" s="339" t="s">
        <v>88</v>
      </c>
      <c r="D24" s="351">
        <f t="shared" ref="D24:P24" si="1">D18+D21</f>
        <v>-157815.29621158692</v>
      </c>
      <c r="E24" s="351">
        <f t="shared" si="1"/>
        <v>-155195.29957739217</v>
      </c>
      <c r="F24" s="351">
        <f t="shared" si="1"/>
        <v>-152575.30294319746</v>
      </c>
      <c r="G24" s="351">
        <f t="shared" si="1"/>
        <v>-149955.30630900271</v>
      </c>
      <c r="H24" s="351">
        <f t="shared" si="1"/>
        <v>-147335.30967480797</v>
      </c>
      <c r="I24" s="351">
        <f t="shared" si="1"/>
        <v>-144715.31304061328</v>
      </c>
      <c r="J24" s="351">
        <f t="shared" si="1"/>
        <v>-142095.31640641851</v>
      </c>
      <c r="K24" s="351">
        <f t="shared" si="1"/>
        <v>-139475.3197722238</v>
      </c>
      <c r="L24" s="351">
        <f t="shared" si="1"/>
        <v>-136855.32313802908</v>
      </c>
      <c r="M24" s="351">
        <f t="shared" si="1"/>
        <v>-134235.32650383434</v>
      </c>
      <c r="N24" s="351">
        <f t="shared" si="1"/>
        <v>-131615.32986963962</v>
      </c>
      <c r="O24" s="351">
        <f t="shared" si="1"/>
        <v>-128995.33323544488</v>
      </c>
      <c r="P24" s="351">
        <f t="shared" si="1"/>
        <v>-143405.31472351591</v>
      </c>
    </row>
    <row r="25" spans="1:17">
      <c r="A25" s="342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</row>
    <row r="26" spans="1:17">
      <c r="A26" s="342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</row>
    <row r="27" spans="1:17">
      <c r="P27" s="353"/>
    </row>
    <row r="28" spans="1:17">
      <c r="B28" s="355" t="s">
        <v>1061</v>
      </c>
      <c r="P28" s="351"/>
    </row>
    <row r="29" spans="1:17">
      <c r="B29" s="355" t="s">
        <v>1062</v>
      </c>
    </row>
    <row r="30" spans="1:17">
      <c r="B30" s="355" t="s">
        <v>1063</v>
      </c>
    </row>
    <row r="31" spans="1:17">
      <c r="B31" s="355" t="s">
        <v>1064</v>
      </c>
    </row>
    <row r="32" spans="1:17">
      <c r="B32" s="355" t="s">
        <v>1065</v>
      </c>
    </row>
    <row r="33" spans="2:2">
      <c r="B33" s="355"/>
    </row>
    <row r="34" spans="2:2">
      <c r="B34" s="355"/>
    </row>
  </sheetData>
  <pageMargins left="0.2" right="0.2" top="0.75" bottom="0.75" header="0.3" footer="0.3"/>
  <pageSetup scale="63" orientation="landscape" r:id="rId1"/>
  <headerFooter>
    <oddFooter>&amp;CExhibit BGM 1.1, Schedule 27
Page 2 of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23"/>
  <sheetViews>
    <sheetView topLeftCell="A173" zoomScaleNormal="100" zoomScaleSheetLayoutView="120" zoomScalePageLayoutView="60" workbookViewId="0">
      <selection activeCell="C179" sqref="C179"/>
    </sheetView>
  </sheetViews>
  <sheetFormatPr defaultColWidth="8.85546875" defaultRowHeight="15.75"/>
  <cols>
    <col min="1" max="1" width="4.5703125" style="17" customWidth="1"/>
    <col min="2" max="2" width="0.85546875" style="17" customWidth="1"/>
    <col min="3" max="3" width="43.5703125" style="17" customWidth="1"/>
    <col min="4" max="4" width="0.85546875" style="17" customWidth="1"/>
    <col min="5" max="5" width="14" style="17" bestFit="1" customWidth="1"/>
    <col min="6" max="8" width="8.85546875" style="17"/>
    <col min="9" max="9" width="4.42578125" style="17" customWidth="1"/>
    <col min="10" max="16384" width="8.85546875" style="17"/>
  </cols>
  <sheetData>
    <row r="1" spans="1:9">
      <c r="A1" s="17" t="s">
        <v>0</v>
      </c>
      <c r="H1" s="40" t="s">
        <v>191</v>
      </c>
      <c r="I1" s="17">
        <v>4</v>
      </c>
    </row>
    <row r="2" spans="1:9">
      <c r="A2" s="17" t="str">
        <f>RevReq!A2</f>
        <v>Docket No. NG22-___</v>
      </c>
      <c r="H2" s="40"/>
    </row>
    <row r="3" spans="1:9">
      <c r="A3" s="17" t="s">
        <v>124</v>
      </c>
    </row>
    <row r="4" spans="1:9">
      <c r="A4" s="17" t="s">
        <v>192</v>
      </c>
    </row>
    <row r="5" spans="1:9">
      <c r="A5" s="17" t="str">
        <f>RevReq!A4</f>
        <v>Test Year Ended December 31, 2021</v>
      </c>
    </row>
    <row r="6" spans="1:9">
      <c r="A6" s="18"/>
    </row>
    <row r="8" spans="1:9">
      <c r="A8" s="17" t="s">
        <v>4</v>
      </c>
    </row>
    <row r="9" spans="1:9">
      <c r="A9" s="107" t="s">
        <v>5</v>
      </c>
      <c r="C9" s="22" t="s">
        <v>6</v>
      </c>
      <c r="E9" s="21" t="s">
        <v>88</v>
      </c>
    </row>
    <row r="10" spans="1:9">
      <c r="C10" s="19" t="s">
        <v>53</v>
      </c>
      <c r="E10" s="19" t="s">
        <v>54</v>
      </c>
    </row>
    <row r="12" spans="1:9">
      <c r="A12" s="108">
        <v>1</v>
      </c>
      <c r="C12" s="17" t="s">
        <v>193</v>
      </c>
    </row>
    <row r="13" spans="1:9">
      <c r="A13" s="108"/>
    </row>
    <row r="14" spans="1:9">
      <c r="A14" s="108">
        <f>+A12+1</f>
        <v>2</v>
      </c>
      <c r="C14" s="17" t="s">
        <v>194</v>
      </c>
    </row>
    <row r="15" spans="1:9">
      <c r="A15" s="108">
        <f>+A14:B14+1</f>
        <v>3</v>
      </c>
      <c r="C15" s="17" t="s">
        <v>195</v>
      </c>
      <c r="E15" s="36">
        <f>'WP4-Interest Sync'!E29</f>
        <v>-75228.562810015952</v>
      </c>
    </row>
    <row r="18" spans="1:9">
      <c r="C18" s="17" t="s">
        <v>115</v>
      </c>
    </row>
    <row r="19" spans="1:9">
      <c r="C19" s="17" t="s">
        <v>196</v>
      </c>
    </row>
    <row r="21" spans="1:9">
      <c r="A21" s="17" t="str">
        <f>+A$1</f>
        <v>MidAmerican Energy Company</v>
      </c>
      <c r="H21" s="40" t="s">
        <v>191</v>
      </c>
      <c r="I21" s="17">
        <f>I1+1</f>
        <v>5</v>
      </c>
    </row>
    <row r="22" spans="1:9">
      <c r="A22" s="17" t="str">
        <f>+A$2</f>
        <v>Docket No. NG22-___</v>
      </c>
    </row>
    <row r="23" spans="1:9">
      <c r="A23" s="17" t="str">
        <f>+A$3</f>
        <v>South Dakota Gas Operating Income Statement</v>
      </c>
    </row>
    <row r="24" spans="1:9">
      <c r="A24" s="17" t="s">
        <v>197</v>
      </c>
    </row>
    <row r="25" spans="1:9">
      <c r="A25" s="17" t="str">
        <f>+A$5</f>
        <v>Test Year Ended December 31, 2021</v>
      </c>
    </row>
    <row r="26" spans="1:9">
      <c r="C26" s="39"/>
    </row>
    <row r="27" spans="1:9">
      <c r="C27" s="39"/>
    </row>
    <row r="28" spans="1:9">
      <c r="A28" s="17" t="s">
        <v>4</v>
      </c>
    </row>
    <row r="29" spans="1:9">
      <c r="A29" s="107" t="s">
        <v>5</v>
      </c>
      <c r="C29" s="22" t="s">
        <v>6</v>
      </c>
      <c r="E29" s="21" t="s">
        <v>88</v>
      </c>
    </row>
    <row r="30" spans="1:9">
      <c r="C30" s="19" t="s">
        <v>53</v>
      </c>
      <c r="E30" s="19" t="s">
        <v>54</v>
      </c>
    </row>
    <row r="32" spans="1:9">
      <c r="A32" s="108">
        <v>1</v>
      </c>
      <c r="C32" s="17" t="s">
        <v>193</v>
      </c>
    </row>
    <row r="33" spans="1:9">
      <c r="A33" s="108">
        <f>+A32+1</f>
        <v>2</v>
      </c>
      <c r="C33" s="17" t="s">
        <v>198</v>
      </c>
    </row>
    <row r="34" spans="1:9">
      <c r="A34" s="108">
        <f>+A33+1</f>
        <v>3</v>
      </c>
      <c r="C34" s="17" t="s">
        <v>199</v>
      </c>
      <c r="E34" s="36">
        <f>+'WP5-Payroll Adj'!F48+'WP5-Payroll Adj'!F51</f>
        <v>284158.94301176688</v>
      </c>
    </row>
    <row r="35" spans="1:9">
      <c r="A35" s="108"/>
    </row>
    <row r="36" spans="1:9">
      <c r="A36" s="108">
        <f>+A34+1</f>
        <v>4</v>
      </c>
      <c r="C36" s="17" t="s">
        <v>200</v>
      </c>
    </row>
    <row r="37" spans="1:9">
      <c r="A37" s="108">
        <f>+A36+1</f>
        <v>5</v>
      </c>
      <c r="C37" s="17" t="s">
        <v>201</v>
      </c>
      <c r="E37" s="36">
        <f>+'WP5-Payroll Adj'!F57</f>
        <v>22734.763617843862</v>
      </c>
    </row>
    <row r="38" spans="1:9">
      <c r="A38" s="108"/>
    </row>
    <row r="39" spans="1:9">
      <c r="A39" s="108">
        <f>+A37+1</f>
        <v>6</v>
      </c>
      <c r="C39" s="17" t="s">
        <v>202</v>
      </c>
      <c r="E39" s="36">
        <f>ROUND((-E34-E37)*0.21,0)</f>
        <v>-64448</v>
      </c>
    </row>
    <row r="42" spans="1:9">
      <c r="C42" s="17" t="s">
        <v>115</v>
      </c>
    </row>
    <row r="43" spans="1:9">
      <c r="C43" s="17" t="s">
        <v>203</v>
      </c>
    </row>
    <row r="44" spans="1:9">
      <c r="C44" s="17" t="s">
        <v>204</v>
      </c>
    </row>
    <row r="45" spans="1:9">
      <c r="C45" s="17" t="s">
        <v>205</v>
      </c>
    </row>
    <row r="47" spans="1:9">
      <c r="A47" s="17" t="str">
        <f>+A$1</f>
        <v>MidAmerican Energy Company</v>
      </c>
      <c r="H47" s="40" t="s">
        <v>191</v>
      </c>
      <c r="I47" s="17">
        <f>I21+1</f>
        <v>6</v>
      </c>
    </row>
    <row r="48" spans="1:9">
      <c r="A48" s="17" t="str">
        <f>+A$2</f>
        <v>Docket No. NG22-___</v>
      </c>
    </row>
    <row r="49" spans="1:5">
      <c r="A49" s="17" t="str">
        <f>+A$3</f>
        <v>South Dakota Gas Operating Income Statement</v>
      </c>
    </row>
    <row r="50" spans="1:5">
      <c r="A50" s="17" t="s">
        <v>206</v>
      </c>
    </row>
    <row r="51" spans="1:5">
      <c r="A51" s="17" t="str">
        <f>+A$5</f>
        <v>Test Year Ended December 31, 2021</v>
      </c>
    </row>
    <row r="54" spans="1:5">
      <c r="A54" s="17" t="s">
        <v>4</v>
      </c>
    </row>
    <row r="55" spans="1:5">
      <c r="A55" s="107" t="s">
        <v>5</v>
      </c>
      <c r="C55" s="22" t="s">
        <v>6</v>
      </c>
      <c r="E55" s="21" t="s">
        <v>88</v>
      </c>
    </row>
    <row r="56" spans="1:5">
      <c r="C56" s="19" t="s">
        <v>53</v>
      </c>
      <c r="E56" s="19" t="s">
        <v>54</v>
      </c>
    </row>
    <row r="58" spans="1:5">
      <c r="A58" s="108">
        <v>1</v>
      </c>
      <c r="C58" s="17" t="s">
        <v>207</v>
      </c>
    </row>
    <row r="59" spans="1:5">
      <c r="A59" s="108">
        <f>+A58+1</f>
        <v>2</v>
      </c>
      <c r="C59" s="17" t="s">
        <v>208</v>
      </c>
    </row>
    <row r="60" spans="1:5">
      <c r="A60" s="108">
        <f>+A59+1</f>
        <v>3</v>
      </c>
      <c r="C60" s="17" t="s">
        <v>209</v>
      </c>
      <c r="E60" s="36">
        <f>'WP6-Weather'!E19</f>
        <v>894948</v>
      </c>
    </row>
    <row r="61" spans="1:5">
      <c r="A61" s="108"/>
      <c r="E61" s="35"/>
    </row>
    <row r="62" spans="1:5">
      <c r="A62" s="108">
        <f>+A60+1</f>
        <v>4</v>
      </c>
      <c r="C62" s="17" t="s">
        <v>202</v>
      </c>
      <c r="E62" s="36">
        <f>ROUND(+E60*0.21,0)</f>
        <v>187939</v>
      </c>
    </row>
    <row r="65" spans="1:9">
      <c r="C65" s="17" t="s">
        <v>115</v>
      </c>
    </row>
    <row r="66" spans="1:9">
      <c r="C66" s="17" t="s">
        <v>210</v>
      </c>
    </row>
    <row r="67" spans="1:9">
      <c r="C67" s="17" t="s">
        <v>211</v>
      </c>
    </row>
    <row r="69" spans="1:9">
      <c r="A69" s="17" t="str">
        <f>+A$1</f>
        <v>MidAmerican Energy Company</v>
      </c>
      <c r="H69" s="40" t="s">
        <v>191</v>
      </c>
      <c r="I69" s="17">
        <f>I47+1</f>
        <v>7</v>
      </c>
    </row>
    <row r="70" spans="1:9">
      <c r="A70" s="17" t="str">
        <f>+A$2</f>
        <v>Docket No. NG22-___</v>
      </c>
    </row>
    <row r="71" spans="1:9">
      <c r="A71" s="17" t="str">
        <f>+A$3</f>
        <v>South Dakota Gas Operating Income Statement</v>
      </c>
    </row>
    <row r="72" spans="1:9">
      <c r="A72" s="17" t="s">
        <v>212</v>
      </c>
    </row>
    <row r="73" spans="1:9">
      <c r="A73" s="17" t="str">
        <f>+A$5</f>
        <v>Test Year Ended December 31, 2021</v>
      </c>
    </row>
    <row r="74" spans="1:9">
      <c r="C74" s="39"/>
    </row>
    <row r="75" spans="1:9">
      <c r="C75" s="39"/>
    </row>
    <row r="76" spans="1:9">
      <c r="A76" s="17" t="s">
        <v>4</v>
      </c>
    </row>
    <row r="77" spans="1:9">
      <c r="A77" s="107" t="s">
        <v>5</v>
      </c>
      <c r="C77" s="22" t="s">
        <v>6</v>
      </c>
      <c r="E77" s="21" t="s">
        <v>88</v>
      </c>
    </row>
    <row r="78" spans="1:9">
      <c r="C78" s="19" t="s">
        <v>53</v>
      </c>
      <c r="E78" s="19" t="s">
        <v>54</v>
      </c>
    </row>
    <row r="80" spans="1:9">
      <c r="A80" s="108">
        <v>1</v>
      </c>
      <c r="C80" s="17" t="s">
        <v>193</v>
      </c>
    </row>
    <row r="81" spans="1:9">
      <c r="A81" s="108">
        <f>+A80+1</f>
        <v>2</v>
      </c>
      <c r="C81" s="17" t="s">
        <v>198</v>
      </c>
    </row>
    <row r="82" spans="1:9">
      <c r="A82" s="108">
        <f>+A81+1</f>
        <v>3</v>
      </c>
      <c r="C82" s="17" t="s">
        <v>213</v>
      </c>
      <c r="E82" s="36">
        <f>'WP7pg1-Pension Costs'!F27</f>
        <v>143956.27754787778</v>
      </c>
    </row>
    <row r="84" spans="1:9">
      <c r="A84" s="108">
        <f>A82+1</f>
        <v>4</v>
      </c>
      <c r="C84" s="17" t="s">
        <v>202</v>
      </c>
      <c r="E84" s="36">
        <f>ROUND((-E82)*0.21,0)</f>
        <v>-30231</v>
      </c>
    </row>
    <row r="87" spans="1:9">
      <c r="C87" s="17" t="s">
        <v>115</v>
      </c>
    </row>
    <row r="88" spans="1:9">
      <c r="C88" s="17" t="s">
        <v>214</v>
      </c>
    </row>
    <row r="89" spans="1:9">
      <c r="C89" s="17" t="s">
        <v>215</v>
      </c>
    </row>
    <row r="91" spans="1:9">
      <c r="A91" s="17" t="str">
        <f>+A$1</f>
        <v>MidAmerican Energy Company</v>
      </c>
      <c r="H91" s="40" t="s">
        <v>191</v>
      </c>
      <c r="I91" s="17">
        <f>I69+1</f>
        <v>8</v>
      </c>
    </row>
    <row r="92" spans="1:9">
      <c r="A92" s="17" t="str">
        <f>+A$2</f>
        <v>Docket No. NG22-___</v>
      </c>
    </row>
    <row r="93" spans="1:9">
      <c r="A93" s="17" t="str">
        <f>+A$3</f>
        <v>South Dakota Gas Operating Income Statement</v>
      </c>
    </row>
    <row r="94" spans="1:9">
      <c r="A94" s="17" t="s">
        <v>216</v>
      </c>
    </row>
    <row r="95" spans="1:9">
      <c r="A95" s="17" t="str">
        <f>+A$5</f>
        <v>Test Year Ended December 31, 2021</v>
      </c>
    </row>
    <row r="96" spans="1:9">
      <c r="C96" s="39"/>
    </row>
    <row r="97" spans="1:5">
      <c r="C97" s="39"/>
    </row>
    <row r="98" spans="1:5">
      <c r="A98" s="17" t="s">
        <v>4</v>
      </c>
    </row>
    <row r="99" spans="1:5">
      <c r="A99" s="107" t="s">
        <v>5</v>
      </c>
      <c r="C99" s="22" t="s">
        <v>6</v>
      </c>
      <c r="E99" s="21" t="s">
        <v>88</v>
      </c>
    </row>
    <row r="100" spans="1:5">
      <c r="C100" s="19" t="s">
        <v>53</v>
      </c>
      <c r="E100" s="19" t="s">
        <v>54</v>
      </c>
    </row>
    <row r="102" spans="1:5">
      <c r="A102" s="108">
        <v>1</v>
      </c>
      <c r="C102" s="17" t="s">
        <v>193</v>
      </c>
    </row>
    <row r="103" spans="1:5">
      <c r="A103" s="108">
        <f>+A102+1</f>
        <v>2</v>
      </c>
      <c r="C103" s="17" t="s">
        <v>217</v>
      </c>
    </row>
    <row r="104" spans="1:5">
      <c r="A104" s="108">
        <f>+A103+1</f>
        <v>3</v>
      </c>
      <c r="C104" s="17" t="s">
        <v>218</v>
      </c>
      <c r="E104" s="36">
        <f>'WP8-Dep Exp'!E25</f>
        <v>1043030.8436159776</v>
      </c>
    </row>
    <row r="105" spans="1:5">
      <c r="A105" s="108"/>
    </row>
    <row r="106" spans="1:5">
      <c r="A106" s="108">
        <f>A104+1</f>
        <v>4</v>
      </c>
      <c r="C106" s="17" t="s">
        <v>202</v>
      </c>
      <c r="E106" s="36">
        <f>ROUND((-E104)*0.21,0)</f>
        <v>-219036</v>
      </c>
    </row>
    <row r="109" spans="1:5">
      <c r="C109" s="17" t="s">
        <v>115</v>
      </c>
    </row>
    <row r="110" spans="1:5">
      <c r="C110" s="17" t="s">
        <v>219</v>
      </c>
    </row>
    <row r="111" spans="1:5">
      <c r="C111" s="17" t="s">
        <v>215</v>
      </c>
    </row>
    <row r="113" spans="1:9">
      <c r="A113" s="17" t="str">
        <f>+A$1</f>
        <v>MidAmerican Energy Company</v>
      </c>
      <c r="H113" s="40" t="s">
        <v>191</v>
      </c>
      <c r="I113" s="17">
        <f>I91+1</f>
        <v>9</v>
      </c>
    </row>
    <row r="114" spans="1:9">
      <c r="A114" s="17" t="str">
        <f>+A$2</f>
        <v>Docket No. NG22-___</v>
      </c>
    </row>
    <row r="115" spans="1:9">
      <c r="A115" s="17" t="str">
        <f>+A$3</f>
        <v>South Dakota Gas Operating Income Statement</v>
      </c>
    </row>
    <row r="116" spans="1:9">
      <c r="A116" s="17" t="s">
        <v>220</v>
      </c>
    </row>
    <row r="117" spans="1:9">
      <c r="A117" s="17" t="str">
        <f>+A$5</f>
        <v>Test Year Ended December 31, 2021</v>
      </c>
    </row>
    <row r="120" spans="1:9">
      <c r="A120" s="17" t="s">
        <v>4</v>
      </c>
    </row>
    <row r="121" spans="1:9">
      <c r="A121" s="107" t="s">
        <v>5</v>
      </c>
      <c r="C121" s="22" t="s">
        <v>6</v>
      </c>
      <c r="E121" s="21" t="s">
        <v>88</v>
      </c>
    </row>
    <row r="122" spans="1:9">
      <c r="C122" s="19" t="s">
        <v>53</v>
      </c>
      <c r="E122" s="19" t="s">
        <v>54</v>
      </c>
    </row>
    <row r="123" spans="1:9">
      <c r="A123" s="24"/>
    </row>
    <row r="124" spans="1:9">
      <c r="A124" s="108">
        <v>1</v>
      </c>
      <c r="C124" s="17" t="s">
        <v>207</v>
      </c>
    </row>
    <row r="125" spans="1:9">
      <c r="A125" s="108">
        <f>+A124+1</f>
        <v>2</v>
      </c>
      <c r="C125" s="17" t="s">
        <v>208</v>
      </c>
    </row>
    <row r="126" spans="1:9">
      <c r="A126" s="108">
        <f>+A125+1</f>
        <v>3</v>
      </c>
      <c r="C126" s="17" t="s">
        <v>221</v>
      </c>
      <c r="E126" s="36">
        <f>'WP9-Sales Growth'!E41</f>
        <v>390712.71485581715</v>
      </c>
    </row>
    <row r="127" spans="1:9">
      <c r="A127" s="108"/>
      <c r="E127" s="35"/>
    </row>
    <row r="128" spans="1:9">
      <c r="A128" s="108">
        <v>4</v>
      </c>
      <c r="C128" s="17" t="s">
        <v>202</v>
      </c>
      <c r="E128" s="36">
        <f>ROUND((E126)*0.21,0)</f>
        <v>82050</v>
      </c>
    </row>
    <row r="130" spans="1:9">
      <c r="C130" s="17" t="s">
        <v>115</v>
      </c>
    </row>
    <row r="131" spans="1:9">
      <c r="C131" s="17" t="s">
        <v>222</v>
      </c>
    </row>
    <row r="132" spans="1:9">
      <c r="C132" s="17" t="s">
        <v>211</v>
      </c>
    </row>
    <row r="134" spans="1:9">
      <c r="A134" s="17" t="str">
        <f>+A$1</f>
        <v>MidAmerican Energy Company</v>
      </c>
      <c r="H134" s="40" t="s">
        <v>191</v>
      </c>
      <c r="I134" s="17">
        <f>I113+1</f>
        <v>10</v>
      </c>
    </row>
    <row r="135" spans="1:9">
      <c r="A135" s="17" t="str">
        <f>+A$2</f>
        <v>Docket No. NG22-___</v>
      </c>
    </row>
    <row r="136" spans="1:9">
      <c r="A136" s="17" t="str">
        <f>+A$3</f>
        <v>South Dakota Gas Operating Income Statement</v>
      </c>
    </row>
    <row r="137" spans="1:9">
      <c r="A137" s="17" t="s">
        <v>223</v>
      </c>
    </row>
    <row r="138" spans="1:9">
      <c r="A138" s="17" t="str">
        <f>+A$5</f>
        <v>Test Year Ended December 31, 2021</v>
      </c>
    </row>
    <row r="141" spans="1:9">
      <c r="A141" s="17" t="s">
        <v>4</v>
      </c>
    </row>
    <row r="142" spans="1:9">
      <c r="A142" s="107" t="s">
        <v>5</v>
      </c>
      <c r="C142" s="22" t="s">
        <v>6</v>
      </c>
      <c r="E142" s="21" t="s">
        <v>88</v>
      </c>
    </row>
    <row r="143" spans="1:9">
      <c r="C143" s="19" t="s">
        <v>53</v>
      </c>
      <c r="E143" s="19" t="s">
        <v>54</v>
      </c>
    </row>
    <row r="144" spans="1:9">
      <c r="A144" s="108">
        <v>1</v>
      </c>
      <c r="C144" s="17" t="s">
        <v>193</v>
      </c>
    </row>
    <row r="145" spans="1:9">
      <c r="A145" s="108">
        <f>+A144+1</f>
        <v>2</v>
      </c>
      <c r="C145" s="17" t="s">
        <v>198</v>
      </c>
    </row>
    <row r="146" spans="1:9">
      <c r="A146" s="108">
        <f>+A145+1</f>
        <v>3</v>
      </c>
      <c r="C146" s="17" t="s">
        <v>224</v>
      </c>
      <c r="E146" s="36">
        <f>'WP10-Meter Read Labor'!E20</f>
        <v>952514</v>
      </c>
    </row>
    <row r="147" spans="1:9">
      <c r="A147" s="108"/>
    </row>
    <row r="148" spans="1:9">
      <c r="A148" s="108">
        <f>+A146+1</f>
        <v>4</v>
      </c>
      <c r="C148" s="17" t="s">
        <v>202</v>
      </c>
      <c r="E148" s="36">
        <f>ROUND(-E146*0.21,0)</f>
        <v>-200028</v>
      </c>
    </row>
    <row r="151" spans="1:9">
      <c r="C151" s="17" t="s">
        <v>115</v>
      </c>
    </row>
    <row r="152" spans="1:9">
      <c r="C152" s="17" t="s">
        <v>225</v>
      </c>
    </row>
    <row r="153" spans="1:9">
      <c r="C153" s="17" t="s">
        <v>215</v>
      </c>
    </row>
    <row r="155" spans="1:9">
      <c r="A155" s="17" t="str">
        <f>+A$1</f>
        <v>MidAmerican Energy Company</v>
      </c>
      <c r="H155" s="40" t="s">
        <v>191</v>
      </c>
      <c r="I155" s="17">
        <f>I134+1</f>
        <v>11</v>
      </c>
    </row>
    <row r="156" spans="1:9">
      <c r="A156" s="17" t="str">
        <f>+A$2</f>
        <v>Docket No. NG22-___</v>
      </c>
    </row>
    <row r="157" spans="1:9">
      <c r="A157" s="17" t="str">
        <f>+A$3</f>
        <v>South Dakota Gas Operating Income Statement</v>
      </c>
    </row>
    <row r="158" spans="1:9">
      <c r="A158" s="17" t="s">
        <v>226</v>
      </c>
    </row>
    <row r="159" spans="1:9">
      <c r="A159" s="17" t="str">
        <f>+A$5</f>
        <v>Test Year Ended December 31, 2021</v>
      </c>
    </row>
    <row r="162" spans="1:5">
      <c r="A162" s="17" t="s">
        <v>4</v>
      </c>
    </row>
    <row r="163" spans="1:5">
      <c r="A163" s="107" t="s">
        <v>5</v>
      </c>
      <c r="C163" s="22" t="s">
        <v>6</v>
      </c>
      <c r="E163" s="21" t="s">
        <v>88</v>
      </c>
    </row>
    <row r="164" spans="1:5">
      <c r="C164" s="19" t="s">
        <v>53</v>
      </c>
      <c r="E164" s="19" t="s">
        <v>54</v>
      </c>
    </row>
    <row r="165" spans="1:5">
      <c r="A165" s="108">
        <v>1</v>
      </c>
      <c r="C165" s="17" t="s">
        <v>193</v>
      </c>
    </row>
    <row r="166" spans="1:5">
      <c r="A166" s="108">
        <f>+A165+1</f>
        <v>2</v>
      </c>
      <c r="C166" s="17" t="s">
        <v>198</v>
      </c>
    </row>
    <row r="167" spans="1:5">
      <c r="A167" s="108">
        <f>+A166+1</f>
        <v>3</v>
      </c>
      <c r="C167" s="17" t="s">
        <v>227</v>
      </c>
      <c r="E167" s="36">
        <f>'WP11-Rate Case Exp'!F21</f>
        <v>65800</v>
      </c>
    </row>
    <row r="168" spans="1:5">
      <c r="A168" s="108"/>
    </row>
    <row r="169" spans="1:5">
      <c r="A169" s="108">
        <f>+A167+1</f>
        <v>4</v>
      </c>
      <c r="C169" s="17" t="s">
        <v>202</v>
      </c>
      <c r="E169" s="36">
        <f>ROUND(-E167*0.21,0)</f>
        <v>-13818</v>
      </c>
    </row>
    <row r="172" spans="1:5">
      <c r="C172" s="17" t="s">
        <v>115</v>
      </c>
    </row>
    <row r="173" spans="1:5">
      <c r="C173" s="17" t="s">
        <v>228</v>
      </c>
    </row>
    <row r="174" spans="1:5">
      <c r="C174" s="17" t="s">
        <v>215</v>
      </c>
    </row>
    <row r="177" spans="1:9">
      <c r="A177" s="17" t="str">
        <f>+A$1</f>
        <v>MidAmerican Energy Company</v>
      </c>
      <c r="H177" s="40" t="s">
        <v>191</v>
      </c>
      <c r="I177" s="17">
        <f>I155+1</f>
        <v>12</v>
      </c>
    </row>
    <row r="178" spans="1:9">
      <c r="A178" s="17" t="str">
        <f>+A$2</f>
        <v>Docket No. NG22-___</v>
      </c>
    </row>
    <row r="179" spans="1:9">
      <c r="A179" s="17" t="str">
        <f>+A$3</f>
        <v>South Dakota Gas Operating Income Statement</v>
      </c>
    </row>
    <row r="180" spans="1:9">
      <c r="A180" s="17" t="s">
        <v>229</v>
      </c>
    </row>
    <row r="181" spans="1:9">
      <c r="A181" s="17" t="str">
        <f>+A$5</f>
        <v>Test Year Ended December 31, 2021</v>
      </c>
    </row>
    <row r="184" spans="1:9">
      <c r="A184" s="17" t="s">
        <v>4</v>
      </c>
    </row>
    <row r="185" spans="1:9">
      <c r="A185" s="107" t="s">
        <v>5</v>
      </c>
      <c r="C185" s="22" t="s">
        <v>6</v>
      </c>
      <c r="E185" s="21" t="s">
        <v>88</v>
      </c>
    </row>
    <row r="186" spans="1:9">
      <c r="C186" s="19" t="s">
        <v>53</v>
      </c>
      <c r="E186" s="19" t="s">
        <v>54</v>
      </c>
    </row>
    <row r="188" spans="1:9">
      <c r="A188" s="108">
        <v>1</v>
      </c>
      <c r="C188" s="17" t="s">
        <v>207</v>
      </c>
    </row>
    <row r="189" spans="1:9">
      <c r="A189" s="108">
        <f>+A188+1</f>
        <v>2</v>
      </c>
      <c r="C189" s="17" t="s">
        <v>165</v>
      </c>
    </row>
    <row r="190" spans="1:9">
      <c r="A190" s="108">
        <f>+A189+1</f>
        <v>3</v>
      </c>
      <c r="C190" s="17" t="s">
        <v>230</v>
      </c>
      <c r="E190" s="36">
        <f>+'WP12-LPC'!E19</f>
        <v>-122196</v>
      </c>
    </row>
    <row r="191" spans="1:9">
      <c r="A191" s="108"/>
      <c r="E191" s="35"/>
    </row>
    <row r="192" spans="1:9">
      <c r="A192" s="108">
        <f>+A190+1</f>
        <v>4</v>
      </c>
      <c r="C192" s="17" t="s">
        <v>202</v>
      </c>
      <c r="E192" s="36">
        <f>ROUND(+E190*0.21,0)</f>
        <v>-25661</v>
      </c>
    </row>
    <row r="195" spans="1:9">
      <c r="C195" s="17" t="s">
        <v>115</v>
      </c>
    </row>
    <row r="196" spans="1:9">
      <c r="C196" s="17" t="s">
        <v>231</v>
      </c>
    </row>
    <row r="197" spans="1:9">
      <c r="C197" s="17" t="s">
        <v>211</v>
      </c>
    </row>
    <row r="199" spans="1:9">
      <c r="A199" s="17" t="str">
        <f>+A$1</f>
        <v>MidAmerican Energy Company</v>
      </c>
      <c r="H199" s="40" t="s">
        <v>191</v>
      </c>
      <c r="I199" s="17">
        <f>I177+1</f>
        <v>13</v>
      </c>
    </row>
    <row r="200" spans="1:9">
      <c r="A200" s="17" t="str">
        <f>+A$2</f>
        <v>Docket No. NG22-___</v>
      </c>
    </row>
    <row r="201" spans="1:9">
      <c r="A201" s="17" t="str">
        <f>+A$3</f>
        <v>South Dakota Gas Operating Income Statement</v>
      </c>
    </row>
    <row r="202" spans="1:9">
      <c r="A202" s="17" t="s">
        <v>232</v>
      </c>
    </row>
    <row r="203" spans="1:9">
      <c r="A203" s="17" t="str">
        <f>+A$5</f>
        <v>Test Year Ended December 31, 2021</v>
      </c>
    </row>
    <row r="206" spans="1:9">
      <c r="A206" s="17" t="s">
        <v>4</v>
      </c>
    </row>
    <row r="207" spans="1:9">
      <c r="A207" s="107" t="s">
        <v>5</v>
      </c>
      <c r="C207" s="22" t="s">
        <v>6</v>
      </c>
      <c r="E207" s="21" t="s">
        <v>88</v>
      </c>
    </row>
    <row r="208" spans="1:9">
      <c r="C208" s="19" t="s">
        <v>53</v>
      </c>
      <c r="E208" s="19" t="s">
        <v>54</v>
      </c>
    </row>
    <row r="210" spans="1:9">
      <c r="A210" s="108">
        <v>1</v>
      </c>
      <c r="C210" s="17" t="s">
        <v>193</v>
      </c>
    </row>
    <row r="211" spans="1:9">
      <c r="A211" s="108">
        <f>+A210+1</f>
        <v>2</v>
      </c>
      <c r="C211" s="17" t="s">
        <v>168</v>
      </c>
    </row>
    <row r="212" spans="1:9">
      <c r="A212" s="108">
        <f>+A211+1</f>
        <v>3</v>
      </c>
      <c r="C212" s="17" t="s">
        <v>233</v>
      </c>
      <c r="E212" s="36">
        <f>'WP13-LTIP'!F16</f>
        <v>-179429</v>
      </c>
    </row>
    <row r="213" spans="1:9">
      <c r="A213" s="108"/>
    </row>
    <row r="214" spans="1:9">
      <c r="A214" s="108">
        <f>+A212+1</f>
        <v>4</v>
      </c>
      <c r="C214" s="17" t="s">
        <v>202</v>
      </c>
      <c r="E214" s="36">
        <f>ROUND(-E212*0.21,0)</f>
        <v>37680</v>
      </c>
    </row>
    <row r="217" spans="1:9">
      <c r="C217" s="17" t="s">
        <v>115</v>
      </c>
    </row>
    <row r="218" spans="1:9">
      <c r="C218" s="17" t="s">
        <v>234</v>
      </c>
    </row>
    <row r="219" spans="1:9">
      <c r="C219" s="17" t="s">
        <v>215</v>
      </c>
    </row>
    <row r="222" spans="1:9" s="72" customFormat="1">
      <c r="A222" s="17" t="str">
        <f>+A$1</f>
        <v>MidAmerican Energy Company</v>
      </c>
      <c r="H222" s="40" t="s">
        <v>191</v>
      </c>
      <c r="I222" s="17">
        <f>I199+1</f>
        <v>14</v>
      </c>
    </row>
    <row r="223" spans="1:9" s="72" customFormat="1">
      <c r="A223" s="17" t="str">
        <f>+A$2</f>
        <v>Docket No. NG22-___</v>
      </c>
    </row>
    <row r="224" spans="1:9" s="72" customFormat="1">
      <c r="A224" s="17" t="str">
        <f>+A$3</f>
        <v>South Dakota Gas Operating Income Statement</v>
      </c>
    </row>
    <row r="225" spans="1:5" s="72" customFormat="1">
      <c r="A225" s="17" t="s">
        <v>235</v>
      </c>
    </row>
    <row r="226" spans="1:5" s="72" customFormat="1">
      <c r="A226" s="17" t="str">
        <f>+A$5</f>
        <v>Test Year Ended December 31, 2021</v>
      </c>
    </row>
    <row r="227" spans="1:5" s="72" customFormat="1" ht="12.75"/>
    <row r="228" spans="1:5" s="72" customFormat="1" ht="12.75"/>
    <row r="229" spans="1:5" s="72" customFormat="1">
      <c r="A229" s="17" t="s">
        <v>4</v>
      </c>
    </row>
    <row r="230" spans="1:5" s="72" customFormat="1">
      <c r="A230" s="107" t="s">
        <v>5</v>
      </c>
      <c r="B230" s="17"/>
      <c r="C230" s="22" t="s">
        <v>6</v>
      </c>
      <c r="D230" s="17"/>
      <c r="E230" s="21" t="s">
        <v>88</v>
      </c>
    </row>
    <row r="231" spans="1:5" s="72" customFormat="1">
      <c r="A231" s="17"/>
      <c r="B231" s="17"/>
      <c r="C231" s="19" t="s">
        <v>53</v>
      </c>
      <c r="D231" s="17"/>
      <c r="E231" s="19" t="s">
        <v>54</v>
      </c>
    </row>
    <row r="232" spans="1:5" s="72" customFormat="1">
      <c r="A232" s="17"/>
      <c r="B232" s="17"/>
      <c r="C232" s="17"/>
      <c r="D232" s="17"/>
      <c r="E232" s="17"/>
    </row>
    <row r="233" spans="1:5" s="72" customFormat="1">
      <c r="A233" s="108">
        <v>1</v>
      </c>
      <c r="B233" s="17"/>
      <c r="C233" s="17" t="s">
        <v>236</v>
      </c>
      <c r="D233" s="17"/>
      <c r="E233"/>
    </row>
    <row r="234" spans="1:5" s="72" customFormat="1">
      <c r="A234" s="108">
        <v>2</v>
      </c>
      <c r="B234" s="17"/>
      <c r="C234" s="17" t="s">
        <v>237</v>
      </c>
      <c r="D234" s="17"/>
      <c r="E234"/>
    </row>
    <row r="235" spans="1:5" s="72" customFormat="1">
      <c r="A235" s="108">
        <v>3</v>
      </c>
      <c r="B235" s="17"/>
      <c r="C235" s="17" t="s">
        <v>238</v>
      </c>
      <c r="D235" s="17"/>
      <c r="E235" s="36">
        <f>'WP14-Prop Tax'!F22</f>
        <v>-50804</v>
      </c>
    </row>
    <row r="236" spans="1:5" s="72" customFormat="1">
      <c r="A236" s="108"/>
      <c r="B236" s="17"/>
      <c r="C236" s="17"/>
      <c r="D236" s="17"/>
      <c r="E236" s="17"/>
    </row>
    <row r="237" spans="1:5" s="72" customFormat="1">
      <c r="A237" s="108">
        <v>4</v>
      </c>
      <c r="B237" s="17"/>
      <c r="C237" s="17" t="s">
        <v>202</v>
      </c>
      <c r="D237" s="17"/>
      <c r="E237" s="35">
        <f>ROUND(-E235*0.21,0)</f>
        <v>10669</v>
      </c>
    </row>
    <row r="238" spans="1:5" s="72" customFormat="1">
      <c r="A238" s="108">
        <f>A237+1</f>
        <v>5</v>
      </c>
      <c r="B238" s="17"/>
      <c r="C238" s="17" t="s">
        <v>239</v>
      </c>
      <c r="D238" s="17"/>
      <c r="E238" s="35">
        <f>'WP14-Prop Tax'!F24</f>
        <v>432.16999999955306</v>
      </c>
    </row>
    <row r="239" spans="1:5" s="72" customFormat="1">
      <c r="A239" s="108">
        <f>A238+1</f>
        <v>6</v>
      </c>
      <c r="B239" s="17"/>
      <c r="C239" s="92" t="s">
        <v>88</v>
      </c>
      <c r="D239" s="17"/>
      <c r="E239" s="93">
        <f>E238+E237</f>
        <v>11101.169999999553</v>
      </c>
    </row>
    <row r="240" spans="1:5" s="72" customFormat="1">
      <c r="A240" s="17"/>
      <c r="B240" s="17"/>
      <c r="C240" s="17"/>
      <c r="D240" s="17"/>
      <c r="E240" s="17"/>
    </row>
    <row r="241" spans="1:9" s="72" customFormat="1">
      <c r="C241" s="17" t="s">
        <v>115</v>
      </c>
    </row>
    <row r="242" spans="1:9" s="72" customFormat="1">
      <c r="C242" s="17" t="s">
        <v>240</v>
      </c>
    </row>
    <row r="243" spans="1:9" s="72" customFormat="1">
      <c r="C243" s="17" t="s">
        <v>241</v>
      </c>
    </row>
    <row r="244" spans="1:9" s="72" customFormat="1">
      <c r="C244" s="17" t="s">
        <v>242</v>
      </c>
    </row>
    <row r="245" spans="1:9" s="72" customFormat="1">
      <c r="C245" s="17" t="s">
        <v>243</v>
      </c>
    </row>
    <row r="246" spans="1:9" s="72" customFormat="1">
      <c r="A246" s="17" t="str">
        <f>+A$1</f>
        <v>MidAmerican Energy Company</v>
      </c>
      <c r="H246" s="40" t="s">
        <v>191</v>
      </c>
      <c r="I246" s="17">
        <f>I222+1</f>
        <v>15</v>
      </c>
    </row>
    <row r="247" spans="1:9" s="72" customFormat="1">
      <c r="A247" s="17" t="str">
        <f>+A$2</f>
        <v>Docket No. NG22-___</v>
      </c>
    </row>
    <row r="248" spans="1:9" s="72" customFormat="1">
      <c r="A248" s="17" t="str">
        <f>+A$3</f>
        <v>South Dakota Gas Operating Income Statement</v>
      </c>
    </row>
    <row r="249" spans="1:9" s="72" customFormat="1">
      <c r="A249" s="17" t="s">
        <v>244</v>
      </c>
    </row>
    <row r="250" spans="1:9" s="72" customFormat="1">
      <c r="A250" s="17" t="str">
        <f>+A$5</f>
        <v>Test Year Ended December 31, 2021</v>
      </c>
    </row>
    <row r="251" spans="1:9" s="72" customFormat="1" ht="12.75"/>
    <row r="252" spans="1:9" s="72" customFormat="1" ht="12.75"/>
    <row r="253" spans="1:9" s="72" customFormat="1">
      <c r="A253" s="17" t="s">
        <v>4</v>
      </c>
    </row>
    <row r="254" spans="1:9" s="72" customFormat="1">
      <c r="A254" s="107" t="s">
        <v>5</v>
      </c>
      <c r="B254" s="17"/>
      <c r="C254" s="22" t="s">
        <v>6</v>
      </c>
      <c r="D254" s="17"/>
      <c r="E254" s="21" t="s">
        <v>88</v>
      </c>
    </row>
    <row r="255" spans="1:9" s="72" customFormat="1">
      <c r="A255" s="17"/>
      <c r="B255" s="17"/>
      <c r="C255" s="19" t="s">
        <v>53</v>
      </c>
      <c r="D255" s="17"/>
      <c r="E255" s="19" t="s">
        <v>54</v>
      </c>
    </row>
    <row r="256" spans="1:9" s="72" customFormat="1">
      <c r="A256" s="17"/>
      <c r="B256" s="17"/>
      <c r="C256" s="17"/>
      <c r="D256" s="17"/>
      <c r="E256" s="17"/>
    </row>
    <row r="257" spans="1:5" s="72" customFormat="1">
      <c r="A257" s="108">
        <v>1</v>
      </c>
      <c r="B257" s="17"/>
      <c r="C257" s="17" t="s">
        <v>207</v>
      </c>
      <c r="D257" s="17"/>
      <c r="E257" s="17"/>
    </row>
    <row r="258" spans="1:5" s="72" customFormat="1">
      <c r="A258" s="108">
        <f>+A257+1</f>
        <v>2</v>
      </c>
      <c r="B258" s="17"/>
      <c r="C258" s="17" t="s">
        <v>245</v>
      </c>
      <c r="D258" s="17"/>
      <c r="E258" s="35"/>
    </row>
    <row r="259" spans="1:5" s="72" customFormat="1">
      <c r="A259" s="108">
        <f>+A258+1</f>
        <v>3</v>
      </c>
      <c r="B259" s="17"/>
      <c r="C259" s="17" t="s">
        <v>246</v>
      </c>
      <c r="D259" s="17"/>
      <c r="E259" s="36">
        <f>'WP15-PGA'!F31</f>
        <v>-80455035</v>
      </c>
    </row>
    <row r="260" spans="1:5" s="72" customFormat="1">
      <c r="A260" s="108"/>
      <c r="B260" s="17"/>
      <c r="C260" s="17"/>
      <c r="D260" s="17"/>
      <c r="E260" s="35"/>
    </row>
    <row r="261" spans="1:5" s="72" customFormat="1">
      <c r="A261" s="108">
        <v>4</v>
      </c>
      <c r="B261" s="17"/>
      <c r="C261" s="17" t="s">
        <v>193</v>
      </c>
      <c r="D261" s="17"/>
      <c r="E261"/>
    </row>
    <row r="262" spans="1:5" s="72" customFormat="1">
      <c r="A262" s="108">
        <f>+A261+1</f>
        <v>5</v>
      </c>
      <c r="B262" s="17"/>
      <c r="C262" s="17" t="s">
        <v>168</v>
      </c>
      <c r="D262" s="17"/>
      <c r="E262"/>
    </row>
    <row r="263" spans="1:5" s="72" customFormat="1">
      <c r="A263" s="108">
        <f>+A262+1</f>
        <v>6</v>
      </c>
      <c r="B263" s="17"/>
      <c r="C263" s="17" t="s">
        <v>247</v>
      </c>
      <c r="D263" s="17"/>
      <c r="E263" s="36">
        <f>'WP15-PGA'!F33</f>
        <v>-80436965</v>
      </c>
    </row>
    <row r="264" spans="1:5" s="72" customFormat="1">
      <c r="A264" s="108">
        <f t="shared" ref="A264:A265" si="0">+A263+1</f>
        <v>7</v>
      </c>
      <c r="B264" s="17"/>
      <c r="C264" s="17" t="s">
        <v>248</v>
      </c>
      <c r="D264" s="17"/>
      <c r="E264" s="37">
        <f>'WP15-PGA'!F35</f>
        <v>-22916</v>
      </c>
    </row>
    <row r="265" spans="1:5" s="72" customFormat="1">
      <c r="A265" s="108">
        <f t="shared" si="0"/>
        <v>8</v>
      </c>
      <c r="B265" s="17"/>
      <c r="C265" s="17" t="s">
        <v>200</v>
      </c>
      <c r="D265" s="17"/>
      <c r="E265" s="37">
        <f>'WP15-PGA'!F37</f>
        <v>-40986</v>
      </c>
    </row>
    <row r="266" spans="1:5" s="72" customFormat="1">
      <c r="A266" s="108"/>
      <c r="B266" s="17"/>
      <c r="C266" s="17"/>
      <c r="D266" s="17"/>
      <c r="E266" s="35"/>
    </row>
    <row r="267" spans="1:5" s="72" customFormat="1">
      <c r="A267" s="108"/>
      <c r="B267" s="17"/>
      <c r="C267" s="17"/>
      <c r="D267" s="17"/>
      <c r="E267" s="17"/>
    </row>
    <row r="268" spans="1:5" s="72" customFormat="1">
      <c r="A268" s="108">
        <v>9</v>
      </c>
      <c r="B268" s="17"/>
      <c r="C268" s="17" t="s">
        <v>202</v>
      </c>
      <c r="D268" s="17"/>
      <c r="E268" s="36">
        <f>ROUND((E259-E263+E264-E265)*0.21,0)</f>
        <v>0</v>
      </c>
    </row>
    <row r="269" spans="1:5" s="72" customFormat="1">
      <c r="A269" s="17"/>
      <c r="B269" s="17"/>
      <c r="C269" s="17"/>
      <c r="D269" s="17"/>
      <c r="E269" s="17"/>
    </row>
    <row r="270" spans="1:5" s="72" customFormat="1" ht="12.75">
      <c r="C270" s="72" t="s">
        <v>115</v>
      </c>
    </row>
    <row r="271" spans="1:5" s="72" customFormat="1" ht="12.75">
      <c r="C271" s="72" t="s">
        <v>249</v>
      </c>
    </row>
    <row r="272" spans="1:5" s="72" customFormat="1" ht="12.75">
      <c r="C272" s="72" t="s">
        <v>250</v>
      </c>
    </row>
    <row r="273" spans="1:9" s="72" customFormat="1" ht="12.75">
      <c r="C273" s="72" t="s">
        <v>251</v>
      </c>
    </row>
    <row r="274" spans="1:9" s="72" customFormat="1" ht="12.75">
      <c r="C274" s="72" t="s">
        <v>252</v>
      </c>
    </row>
    <row r="275" spans="1:9" s="72" customFormat="1" ht="12.75">
      <c r="C275" s="72" t="s">
        <v>253</v>
      </c>
    </row>
    <row r="276" spans="1:9" s="72" customFormat="1" ht="12.75"/>
    <row r="277" spans="1:9">
      <c r="A277" s="17" t="str">
        <f>+A$1</f>
        <v>MidAmerican Energy Company</v>
      </c>
      <c r="H277" s="40" t="s">
        <v>191</v>
      </c>
      <c r="I277" s="17">
        <f>I246+1</f>
        <v>16</v>
      </c>
    </row>
    <row r="278" spans="1:9">
      <c r="A278" s="17" t="str">
        <f>+A$2</f>
        <v>Docket No. NG22-___</v>
      </c>
    </row>
    <row r="279" spans="1:9">
      <c r="A279" s="17" t="str">
        <f>+A$3</f>
        <v>South Dakota Gas Operating Income Statement</v>
      </c>
    </row>
    <row r="280" spans="1:9">
      <c r="A280" s="17" t="s">
        <v>254</v>
      </c>
    </row>
    <row r="281" spans="1:9">
      <c r="A281" s="17" t="str">
        <f>+A$5</f>
        <v>Test Year Ended December 31, 2021</v>
      </c>
    </row>
    <row r="284" spans="1:9">
      <c r="A284" s="17" t="s">
        <v>4</v>
      </c>
    </row>
    <row r="285" spans="1:9">
      <c r="A285" s="107" t="s">
        <v>5</v>
      </c>
      <c r="C285" s="22" t="s">
        <v>6</v>
      </c>
      <c r="E285" s="21" t="s">
        <v>88</v>
      </c>
    </row>
    <row r="286" spans="1:9">
      <c r="C286" s="19" t="s">
        <v>53</v>
      </c>
      <c r="E286" s="19" t="s">
        <v>54</v>
      </c>
    </row>
    <row r="288" spans="1:9">
      <c r="A288" s="108">
        <v>1</v>
      </c>
      <c r="C288" s="17" t="s">
        <v>193</v>
      </c>
    </row>
    <row r="289" spans="1:9">
      <c r="A289" s="108">
        <f>A288+1</f>
        <v>2</v>
      </c>
      <c r="C289" s="17" t="s">
        <v>168</v>
      </c>
      <c r="E289" s="35"/>
    </row>
    <row r="290" spans="1:9">
      <c r="A290" s="108">
        <f>A289+1</f>
        <v>3</v>
      </c>
      <c r="C290" s="17" t="s">
        <v>255</v>
      </c>
      <c r="E290" s="36">
        <f>'WP16-Econ Dev'!F23</f>
        <v>-79498</v>
      </c>
    </row>
    <row r="291" spans="1:9">
      <c r="A291" s="108"/>
      <c r="E291" s="35"/>
    </row>
    <row r="292" spans="1:9">
      <c r="A292" s="108">
        <f>A290+1</f>
        <v>4</v>
      </c>
      <c r="C292" s="17" t="s">
        <v>202</v>
      </c>
      <c r="E292" s="36">
        <f>ROUND(-E290*0.21,0)</f>
        <v>16695</v>
      </c>
    </row>
    <row r="295" spans="1:9">
      <c r="C295" s="17" t="s">
        <v>115</v>
      </c>
    </row>
    <row r="296" spans="1:9">
      <c r="C296" s="17" t="s">
        <v>256</v>
      </c>
    </row>
    <row r="297" spans="1:9">
      <c r="C297" s="17" t="s">
        <v>215</v>
      </c>
    </row>
    <row r="298" spans="1:9">
      <c r="A298" s="17" t="str">
        <f>+A$1</f>
        <v>MidAmerican Energy Company</v>
      </c>
      <c r="H298" s="40" t="s">
        <v>191</v>
      </c>
      <c r="I298" s="17">
        <v>17</v>
      </c>
    </row>
    <row r="299" spans="1:9">
      <c r="A299" s="17" t="str">
        <f>+A$2</f>
        <v>Docket No. NG22-___</v>
      </c>
    </row>
    <row r="300" spans="1:9">
      <c r="A300" s="17" t="str">
        <f>+A$3</f>
        <v>South Dakota Gas Operating Income Statement</v>
      </c>
    </row>
    <row r="301" spans="1:9">
      <c r="A301" s="17" t="s">
        <v>257</v>
      </c>
    </row>
    <row r="302" spans="1:9">
      <c r="A302" s="17" t="str">
        <f>+A$5</f>
        <v>Test Year Ended December 31, 2021</v>
      </c>
    </row>
    <row r="305" spans="1:5">
      <c r="A305" s="17" t="s">
        <v>4</v>
      </c>
    </row>
    <row r="306" spans="1:5">
      <c r="A306" s="107" t="s">
        <v>5</v>
      </c>
      <c r="C306" s="22" t="s">
        <v>6</v>
      </c>
      <c r="E306" s="21" t="s">
        <v>88</v>
      </c>
    </row>
    <row r="307" spans="1:5">
      <c r="C307" s="19" t="s">
        <v>53</v>
      </c>
      <c r="E307" s="19" t="s">
        <v>54</v>
      </c>
    </row>
    <row r="309" spans="1:5">
      <c r="A309" s="108">
        <v>1</v>
      </c>
      <c r="C309" s="17" t="s">
        <v>207</v>
      </c>
    </row>
    <row r="310" spans="1:5">
      <c r="A310" s="108"/>
    </row>
    <row r="311" spans="1:5">
      <c r="A311" s="108">
        <f>A309+1</f>
        <v>2</v>
      </c>
      <c r="C311" s="90" t="s">
        <v>258</v>
      </c>
      <c r="E311" s="95">
        <v>-17571.71</v>
      </c>
    </row>
    <row r="312" spans="1:5">
      <c r="A312" s="108"/>
      <c r="E312" s="94"/>
    </row>
    <row r="313" spans="1:5">
      <c r="A313" s="108">
        <v>3</v>
      </c>
      <c r="C313" s="90" t="s">
        <v>259</v>
      </c>
      <c r="E313" s="95">
        <f>-E311</f>
        <v>17571.71</v>
      </c>
    </row>
    <row r="314" spans="1:5">
      <c r="E314" s="91"/>
    </row>
    <row r="315" spans="1:5">
      <c r="C315" s="17" t="s">
        <v>115</v>
      </c>
      <c r="E315" s="91"/>
    </row>
    <row r="316" spans="1:5">
      <c r="C316" s="17" t="s">
        <v>260</v>
      </c>
    </row>
    <row r="317" spans="1:5">
      <c r="C317" s="17" t="s">
        <v>261</v>
      </c>
    </row>
    <row r="323" spans="7:7">
      <c r="G323" s="17" t="s">
        <v>262</v>
      </c>
    </row>
  </sheetData>
  <phoneticPr fontId="9" type="noConversion"/>
  <printOptions horizontalCentered="1"/>
  <pageMargins left="0.75" right="0.75" top="1" bottom="1" header="0.5" footer="0.5"/>
  <pageSetup firstPageNumber="4" orientation="portrait" useFirstPageNumber="1" r:id="rId1"/>
  <headerFooter alignWithMargins="0">
    <oddFooter xml:space="preserve">&amp;CExhibit BMG 1.1, Schedule &amp;P
Page 1 of 1&amp;R
</oddFooter>
  </headerFooter>
  <rowBreaks count="13" manualBreakCount="13">
    <brk id="20" max="16383" man="1"/>
    <brk id="46" max="16383" man="1"/>
    <brk id="68" max="16383" man="1"/>
    <brk id="90" max="16383" man="1"/>
    <brk id="112" max="16383" man="1"/>
    <brk id="133" max="16383" man="1"/>
    <brk id="154" max="16383" man="1"/>
    <brk id="176" max="16383" man="1"/>
    <brk id="198" max="16383" man="1"/>
    <brk id="221" max="16383" man="1"/>
    <brk id="245" max="16383" man="1"/>
    <brk id="276" max="16383" man="1"/>
    <brk id="297" max="4" man="1"/>
  </rowBreaks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Y95"/>
  <sheetViews>
    <sheetView zoomScaleNormal="100" workbookViewId="0">
      <selection activeCell="S13" sqref="S13"/>
    </sheetView>
  </sheetViews>
  <sheetFormatPr defaultColWidth="9.140625" defaultRowHeight="15.75"/>
  <cols>
    <col min="1" max="1" width="5.28515625" style="268" customWidth="1"/>
    <col min="2" max="2" width="35.42578125" style="268" customWidth="1"/>
    <col min="3" max="3" width="15" style="268" bestFit="1" customWidth="1"/>
    <col min="4" max="4" width="12.140625" style="268" bestFit="1" customWidth="1"/>
    <col min="5" max="5" width="12.7109375" style="268" bestFit="1" customWidth="1"/>
    <col min="6" max="6" width="14.28515625" style="268" bestFit="1" customWidth="1"/>
    <col min="7" max="7" width="11.85546875" style="268" bestFit="1" customWidth="1"/>
    <col min="8" max="8" width="13" style="268" bestFit="1" customWidth="1"/>
    <col min="9" max="9" width="12.140625" style="268" customWidth="1"/>
    <col min="10" max="10" width="14" style="268" bestFit="1" customWidth="1"/>
    <col min="11" max="14" width="12.140625" style="268" customWidth="1"/>
    <col min="15" max="15" width="14.7109375" style="268" bestFit="1" customWidth="1"/>
    <col min="16" max="16" width="12.140625" style="268" customWidth="1"/>
    <col min="17" max="17" width="12.85546875" style="268" bestFit="1" customWidth="1"/>
    <col min="18" max="18" width="14.7109375" style="268" bestFit="1" customWidth="1"/>
    <col min="19" max="19" width="13.7109375" style="268" customWidth="1"/>
    <col min="20" max="20" width="13" style="268" bestFit="1" customWidth="1"/>
    <col min="21" max="21" width="13.7109375" style="268" bestFit="1" customWidth="1"/>
    <col min="22" max="22" width="10.42578125" style="268" customWidth="1"/>
    <col min="23" max="24" width="13" style="268" customWidth="1"/>
    <col min="25" max="25" width="13.42578125" style="268" customWidth="1"/>
    <col min="26" max="26" width="13.42578125" style="269" customWidth="1"/>
    <col min="27" max="28" width="11.28515625" style="268" customWidth="1"/>
    <col min="29" max="29" width="9.5703125" style="268" customWidth="1"/>
    <col min="30" max="30" width="11.28515625" style="268" customWidth="1"/>
    <col min="31" max="31" width="9" style="268" customWidth="1"/>
    <col min="32" max="32" width="9.7109375" style="268" customWidth="1"/>
    <col min="33" max="33" width="8.5703125" style="268" customWidth="1"/>
    <col min="34" max="34" width="9.5703125" style="268" customWidth="1"/>
    <col min="35" max="35" width="11.42578125" style="268" customWidth="1"/>
    <col min="36" max="36" width="10.140625" style="268" customWidth="1"/>
    <col min="37" max="37" width="9.5703125" style="268" customWidth="1"/>
    <col min="38" max="38" width="10.42578125" style="268" customWidth="1"/>
    <col min="39" max="40" width="12.42578125" style="268" customWidth="1"/>
    <col min="41" max="41" width="11.42578125" style="270" customWidth="1"/>
    <col min="42" max="254" width="9.140625" style="268"/>
    <col min="255" max="255" width="5.28515625" style="268" customWidth="1"/>
    <col min="256" max="256" width="35.42578125" style="268" customWidth="1"/>
    <col min="257" max="257" width="13.7109375" style="268" customWidth="1"/>
    <col min="258" max="258" width="11.7109375" style="268" customWidth="1"/>
    <col min="259" max="259" width="11.5703125" style="268" customWidth="1"/>
    <col min="260" max="260" width="11.140625" style="268" customWidth="1"/>
    <col min="261" max="271" width="12.140625" style="268" customWidth="1"/>
    <col min="272" max="276" width="13.7109375" style="268" customWidth="1"/>
    <col min="277" max="277" width="11.5703125" style="268" customWidth="1"/>
    <col min="278" max="278" width="10.42578125" style="268" customWidth="1"/>
    <col min="279" max="280" width="13" style="268" customWidth="1"/>
    <col min="281" max="282" width="13.42578125" style="268" customWidth="1"/>
    <col min="283" max="284" width="11.28515625" style="268" customWidth="1"/>
    <col min="285" max="285" width="9.5703125" style="268" customWidth="1"/>
    <col min="286" max="286" width="11.28515625" style="268" customWidth="1"/>
    <col min="287" max="287" width="9" style="268" customWidth="1"/>
    <col min="288" max="288" width="9.7109375" style="268" customWidth="1"/>
    <col min="289" max="289" width="8.5703125" style="268" customWidth="1"/>
    <col min="290" max="290" width="9.5703125" style="268" customWidth="1"/>
    <col min="291" max="291" width="11.42578125" style="268" customWidth="1"/>
    <col min="292" max="292" width="10.140625" style="268" customWidth="1"/>
    <col min="293" max="293" width="9.5703125" style="268" customWidth="1"/>
    <col min="294" max="294" width="10.42578125" style="268" customWidth="1"/>
    <col min="295" max="296" width="12.42578125" style="268" customWidth="1"/>
    <col min="297" max="297" width="11.42578125" style="268" customWidth="1"/>
    <col min="298" max="510" width="9.140625" style="268"/>
    <col min="511" max="511" width="5.28515625" style="268" customWidth="1"/>
    <col min="512" max="512" width="35.42578125" style="268" customWidth="1"/>
    <col min="513" max="513" width="13.7109375" style="268" customWidth="1"/>
    <col min="514" max="514" width="11.7109375" style="268" customWidth="1"/>
    <col min="515" max="515" width="11.5703125" style="268" customWidth="1"/>
    <col min="516" max="516" width="11.140625" style="268" customWidth="1"/>
    <col min="517" max="527" width="12.140625" style="268" customWidth="1"/>
    <col min="528" max="532" width="13.7109375" style="268" customWidth="1"/>
    <col min="533" max="533" width="11.5703125" style="268" customWidth="1"/>
    <col min="534" max="534" width="10.42578125" style="268" customWidth="1"/>
    <col min="535" max="536" width="13" style="268" customWidth="1"/>
    <col min="537" max="538" width="13.42578125" style="268" customWidth="1"/>
    <col min="539" max="540" width="11.28515625" style="268" customWidth="1"/>
    <col min="541" max="541" width="9.5703125" style="268" customWidth="1"/>
    <col min="542" max="542" width="11.28515625" style="268" customWidth="1"/>
    <col min="543" max="543" width="9" style="268" customWidth="1"/>
    <col min="544" max="544" width="9.7109375" style="268" customWidth="1"/>
    <col min="545" max="545" width="8.5703125" style="268" customWidth="1"/>
    <col min="546" max="546" width="9.5703125" style="268" customWidth="1"/>
    <col min="547" max="547" width="11.42578125" style="268" customWidth="1"/>
    <col min="548" max="548" width="10.140625" style="268" customWidth="1"/>
    <col min="549" max="549" width="9.5703125" style="268" customWidth="1"/>
    <col min="550" max="550" width="10.42578125" style="268" customWidth="1"/>
    <col min="551" max="552" width="12.42578125" style="268" customWidth="1"/>
    <col min="553" max="553" width="11.42578125" style="268" customWidth="1"/>
    <col min="554" max="766" width="9.140625" style="268"/>
    <col min="767" max="767" width="5.28515625" style="268" customWidth="1"/>
    <col min="768" max="768" width="35.42578125" style="268" customWidth="1"/>
    <col min="769" max="769" width="13.7109375" style="268" customWidth="1"/>
    <col min="770" max="770" width="11.7109375" style="268" customWidth="1"/>
    <col min="771" max="771" width="11.5703125" style="268" customWidth="1"/>
    <col min="772" max="772" width="11.140625" style="268" customWidth="1"/>
    <col min="773" max="783" width="12.140625" style="268" customWidth="1"/>
    <col min="784" max="788" width="13.7109375" style="268" customWidth="1"/>
    <col min="789" max="789" width="11.5703125" style="268" customWidth="1"/>
    <col min="790" max="790" width="10.42578125" style="268" customWidth="1"/>
    <col min="791" max="792" width="13" style="268" customWidth="1"/>
    <col min="793" max="794" width="13.42578125" style="268" customWidth="1"/>
    <col min="795" max="796" width="11.28515625" style="268" customWidth="1"/>
    <col min="797" max="797" width="9.5703125" style="268" customWidth="1"/>
    <col min="798" max="798" width="11.28515625" style="268" customWidth="1"/>
    <col min="799" max="799" width="9" style="268" customWidth="1"/>
    <col min="800" max="800" width="9.7109375" style="268" customWidth="1"/>
    <col min="801" max="801" width="8.5703125" style="268" customWidth="1"/>
    <col min="802" max="802" width="9.5703125" style="268" customWidth="1"/>
    <col min="803" max="803" width="11.42578125" style="268" customWidth="1"/>
    <col min="804" max="804" width="10.140625" style="268" customWidth="1"/>
    <col min="805" max="805" width="9.5703125" style="268" customWidth="1"/>
    <col min="806" max="806" width="10.42578125" style="268" customWidth="1"/>
    <col min="807" max="808" width="12.42578125" style="268" customWidth="1"/>
    <col min="809" max="809" width="11.42578125" style="268" customWidth="1"/>
    <col min="810" max="1022" width="9.140625" style="268"/>
    <col min="1023" max="1023" width="5.28515625" style="268" customWidth="1"/>
    <col min="1024" max="1024" width="35.42578125" style="268" customWidth="1"/>
    <col min="1025" max="1025" width="13.7109375" style="268" customWidth="1"/>
    <col min="1026" max="1026" width="11.7109375" style="268" customWidth="1"/>
    <col min="1027" max="1027" width="11.5703125" style="268" customWidth="1"/>
    <col min="1028" max="1028" width="11.140625" style="268" customWidth="1"/>
    <col min="1029" max="1039" width="12.140625" style="268" customWidth="1"/>
    <col min="1040" max="1044" width="13.7109375" style="268" customWidth="1"/>
    <col min="1045" max="1045" width="11.5703125" style="268" customWidth="1"/>
    <col min="1046" max="1046" width="10.42578125" style="268" customWidth="1"/>
    <col min="1047" max="1048" width="13" style="268" customWidth="1"/>
    <col min="1049" max="1050" width="13.42578125" style="268" customWidth="1"/>
    <col min="1051" max="1052" width="11.28515625" style="268" customWidth="1"/>
    <col min="1053" max="1053" width="9.5703125" style="268" customWidth="1"/>
    <col min="1054" max="1054" width="11.28515625" style="268" customWidth="1"/>
    <col min="1055" max="1055" width="9" style="268" customWidth="1"/>
    <col min="1056" max="1056" width="9.7109375" style="268" customWidth="1"/>
    <col min="1057" max="1057" width="8.5703125" style="268" customWidth="1"/>
    <col min="1058" max="1058" width="9.5703125" style="268" customWidth="1"/>
    <col min="1059" max="1059" width="11.42578125" style="268" customWidth="1"/>
    <col min="1060" max="1060" width="10.140625" style="268" customWidth="1"/>
    <col min="1061" max="1061" width="9.5703125" style="268" customWidth="1"/>
    <col min="1062" max="1062" width="10.42578125" style="268" customWidth="1"/>
    <col min="1063" max="1064" width="12.42578125" style="268" customWidth="1"/>
    <col min="1065" max="1065" width="11.42578125" style="268" customWidth="1"/>
    <col min="1066" max="1278" width="9.140625" style="268"/>
    <col min="1279" max="1279" width="5.28515625" style="268" customWidth="1"/>
    <col min="1280" max="1280" width="35.42578125" style="268" customWidth="1"/>
    <col min="1281" max="1281" width="13.7109375" style="268" customWidth="1"/>
    <col min="1282" max="1282" width="11.7109375" style="268" customWidth="1"/>
    <col min="1283" max="1283" width="11.5703125" style="268" customWidth="1"/>
    <col min="1284" max="1284" width="11.140625" style="268" customWidth="1"/>
    <col min="1285" max="1295" width="12.140625" style="268" customWidth="1"/>
    <col min="1296" max="1300" width="13.7109375" style="268" customWidth="1"/>
    <col min="1301" max="1301" width="11.5703125" style="268" customWidth="1"/>
    <col min="1302" max="1302" width="10.42578125" style="268" customWidth="1"/>
    <col min="1303" max="1304" width="13" style="268" customWidth="1"/>
    <col min="1305" max="1306" width="13.42578125" style="268" customWidth="1"/>
    <col min="1307" max="1308" width="11.28515625" style="268" customWidth="1"/>
    <col min="1309" max="1309" width="9.5703125" style="268" customWidth="1"/>
    <col min="1310" max="1310" width="11.28515625" style="268" customWidth="1"/>
    <col min="1311" max="1311" width="9" style="268" customWidth="1"/>
    <col min="1312" max="1312" width="9.7109375" style="268" customWidth="1"/>
    <col min="1313" max="1313" width="8.5703125" style="268" customWidth="1"/>
    <col min="1314" max="1314" width="9.5703125" style="268" customWidth="1"/>
    <col min="1315" max="1315" width="11.42578125" style="268" customWidth="1"/>
    <col min="1316" max="1316" width="10.140625" style="268" customWidth="1"/>
    <col min="1317" max="1317" width="9.5703125" style="268" customWidth="1"/>
    <col min="1318" max="1318" width="10.42578125" style="268" customWidth="1"/>
    <col min="1319" max="1320" width="12.42578125" style="268" customWidth="1"/>
    <col min="1321" max="1321" width="11.42578125" style="268" customWidth="1"/>
    <col min="1322" max="1534" width="9.140625" style="268"/>
    <col min="1535" max="1535" width="5.28515625" style="268" customWidth="1"/>
    <col min="1536" max="1536" width="35.42578125" style="268" customWidth="1"/>
    <col min="1537" max="1537" width="13.7109375" style="268" customWidth="1"/>
    <col min="1538" max="1538" width="11.7109375" style="268" customWidth="1"/>
    <col min="1539" max="1539" width="11.5703125" style="268" customWidth="1"/>
    <col min="1540" max="1540" width="11.140625" style="268" customWidth="1"/>
    <col min="1541" max="1551" width="12.140625" style="268" customWidth="1"/>
    <col min="1552" max="1556" width="13.7109375" style="268" customWidth="1"/>
    <col min="1557" max="1557" width="11.5703125" style="268" customWidth="1"/>
    <col min="1558" max="1558" width="10.42578125" style="268" customWidth="1"/>
    <col min="1559" max="1560" width="13" style="268" customWidth="1"/>
    <col min="1561" max="1562" width="13.42578125" style="268" customWidth="1"/>
    <col min="1563" max="1564" width="11.28515625" style="268" customWidth="1"/>
    <col min="1565" max="1565" width="9.5703125" style="268" customWidth="1"/>
    <col min="1566" max="1566" width="11.28515625" style="268" customWidth="1"/>
    <col min="1567" max="1567" width="9" style="268" customWidth="1"/>
    <col min="1568" max="1568" width="9.7109375" style="268" customWidth="1"/>
    <col min="1569" max="1569" width="8.5703125" style="268" customWidth="1"/>
    <col min="1570" max="1570" width="9.5703125" style="268" customWidth="1"/>
    <col min="1571" max="1571" width="11.42578125" style="268" customWidth="1"/>
    <col min="1572" max="1572" width="10.140625" style="268" customWidth="1"/>
    <col min="1573" max="1573" width="9.5703125" style="268" customWidth="1"/>
    <col min="1574" max="1574" width="10.42578125" style="268" customWidth="1"/>
    <col min="1575" max="1576" width="12.42578125" style="268" customWidth="1"/>
    <col min="1577" max="1577" width="11.42578125" style="268" customWidth="1"/>
    <col min="1578" max="1790" width="9.140625" style="268"/>
    <col min="1791" max="1791" width="5.28515625" style="268" customWidth="1"/>
    <col min="1792" max="1792" width="35.42578125" style="268" customWidth="1"/>
    <col min="1793" max="1793" width="13.7109375" style="268" customWidth="1"/>
    <col min="1794" max="1794" width="11.7109375" style="268" customWidth="1"/>
    <col min="1795" max="1795" width="11.5703125" style="268" customWidth="1"/>
    <col min="1796" max="1796" width="11.140625" style="268" customWidth="1"/>
    <col min="1797" max="1807" width="12.140625" style="268" customWidth="1"/>
    <col min="1808" max="1812" width="13.7109375" style="268" customWidth="1"/>
    <col min="1813" max="1813" width="11.5703125" style="268" customWidth="1"/>
    <col min="1814" max="1814" width="10.42578125" style="268" customWidth="1"/>
    <col min="1815" max="1816" width="13" style="268" customWidth="1"/>
    <col min="1817" max="1818" width="13.42578125" style="268" customWidth="1"/>
    <col min="1819" max="1820" width="11.28515625" style="268" customWidth="1"/>
    <col min="1821" max="1821" width="9.5703125" style="268" customWidth="1"/>
    <col min="1822" max="1822" width="11.28515625" style="268" customWidth="1"/>
    <col min="1823" max="1823" width="9" style="268" customWidth="1"/>
    <col min="1824" max="1824" width="9.7109375" style="268" customWidth="1"/>
    <col min="1825" max="1825" width="8.5703125" style="268" customWidth="1"/>
    <col min="1826" max="1826" width="9.5703125" style="268" customWidth="1"/>
    <col min="1827" max="1827" width="11.42578125" style="268" customWidth="1"/>
    <col min="1828" max="1828" width="10.140625" style="268" customWidth="1"/>
    <col min="1829" max="1829" width="9.5703125" style="268" customWidth="1"/>
    <col min="1830" max="1830" width="10.42578125" style="268" customWidth="1"/>
    <col min="1831" max="1832" width="12.42578125" style="268" customWidth="1"/>
    <col min="1833" max="1833" width="11.42578125" style="268" customWidth="1"/>
    <col min="1834" max="2046" width="9.140625" style="268"/>
    <col min="2047" max="2047" width="5.28515625" style="268" customWidth="1"/>
    <col min="2048" max="2048" width="35.42578125" style="268" customWidth="1"/>
    <col min="2049" max="2049" width="13.7109375" style="268" customWidth="1"/>
    <col min="2050" max="2050" width="11.7109375" style="268" customWidth="1"/>
    <col min="2051" max="2051" width="11.5703125" style="268" customWidth="1"/>
    <col min="2052" max="2052" width="11.140625" style="268" customWidth="1"/>
    <col min="2053" max="2063" width="12.140625" style="268" customWidth="1"/>
    <col min="2064" max="2068" width="13.7109375" style="268" customWidth="1"/>
    <col min="2069" max="2069" width="11.5703125" style="268" customWidth="1"/>
    <col min="2070" max="2070" width="10.42578125" style="268" customWidth="1"/>
    <col min="2071" max="2072" width="13" style="268" customWidth="1"/>
    <col min="2073" max="2074" width="13.42578125" style="268" customWidth="1"/>
    <col min="2075" max="2076" width="11.28515625" style="268" customWidth="1"/>
    <col min="2077" max="2077" width="9.5703125" style="268" customWidth="1"/>
    <col min="2078" max="2078" width="11.28515625" style="268" customWidth="1"/>
    <col min="2079" max="2079" width="9" style="268" customWidth="1"/>
    <col min="2080" max="2080" width="9.7109375" style="268" customWidth="1"/>
    <col min="2081" max="2081" width="8.5703125" style="268" customWidth="1"/>
    <col min="2082" max="2082" width="9.5703125" style="268" customWidth="1"/>
    <col min="2083" max="2083" width="11.42578125" style="268" customWidth="1"/>
    <col min="2084" max="2084" width="10.140625" style="268" customWidth="1"/>
    <col min="2085" max="2085" width="9.5703125" style="268" customWidth="1"/>
    <col min="2086" max="2086" width="10.42578125" style="268" customWidth="1"/>
    <col min="2087" max="2088" width="12.42578125" style="268" customWidth="1"/>
    <col min="2089" max="2089" width="11.42578125" style="268" customWidth="1"/>
    <col min="2090" max="2302" width="9.140625" style="268"/>
    <col min="2303" max="2303" width="5.28515625" style="268" customWidth="1"/>
    <col min="2304" max="2304" width="35.42578125" style="268" customWidth="1"/>
    <col min="2305" max="2305" width="13.7109375" style="268" customWidth="1"/>
    <col min="2306" max="2306" width="11.7109375" style="268" customWidth="1"/>
    <col min="2307" max="2307" width="11.5703125" style="268" customWidth="1"/>
    <col min="2308" max="2308" width="11.140625" style="268" customWidth="1"/>
    <col min="2309" max="2319" width="12.140625" style="268" customWidth="1"/>
    <col min="2320" max="2324" width="13.7109375" style="268" customWidth="1"/>
    <col min="2325" max="2325" width="11.5703125" style="268" customWidth="1"/>
    <col min="2326" max="2326" width="10.42578125" style="268" customWidth="1"/>
    <col min="2327" max="2328" width="13" style="268" customWidth="1"/>
    <col min="2329" max="2330" width="13.42578125" style="268" customWidth="1"/>
    <col min="2331" max="2332" width="11.28515625" style="268" customWidth="1"/>
    <col min="2333" max="2333" width="9.5703125" style="268" customWidth="1"/>
    <col min="2334" max="2334" width="11.28515625" style="268" customWidth="1"/>
    <col min="2335" max="2335" width="9" style="268" customWidth="1"/>
    <col min="2336" max="2336" width="9.7109375" style="268" customWidth="1"/>
    <col min="2337" max="2337" width="8.5703125" style="268" customWidth="1"/>
    <col min="2338" max="2338" width="9.5703125" style="268" customWidth="1"/>
    <col min="2339" max="2339" width="11.42578125" style="268" customWidth="1"/>
    <col min="2340" max="2340" width="10.140625" style="268" customWidth="1"/>
    <col min="2341" max="2341" width="9.5703125" style="268" customWidth="1"/>
    <col min="2342" max="2342" width="10.42578125" style="268" customWidth="1"/>
    <col min="2343" max="2344" width="12.42578125" style="268" customWidth="1"/>
    <col min="2345" max="2345" width="11.42578125" style="268" customWidth="1"/>
    <col min="2346" max="2558" width="9.140625" style="268"/>
    <col min="2559" max="2559" width="5.28515625" style="268" customWidth="1"/>
    <col min="2560" max="2560" width="35.42578125" style="268" customWidth="1"/>
    <col min="2561" max="2561" width="13.7109375" style="268" customWidth="1"/>
    <col min="2562" max="2562" width="11.7109375" style="268" customWidth="1"/>
    <col min="2563" max="2563" width="11.5703125" style="268" customWidth="1"/>
    <col min="2564" max="2564" width="11.140625" style="268" customWidth="1"/>
    <col min="2565" max="2575" width="12.140625" style="268" customWidth="1"/>
    <col min="2576" max="2580" width="13.7109375" style="268" customWidth="1"/>
    <col min="2581" max="2581" width="11.5703125" style="268" customWidth="1"/>
    <col min="2582" max="2582" width="10.42578125" style="268" customWidth="1"/>
    <col min="2583" max="2584" width="13" style="268" customWidth="1"/>
    <col min="2585" max="2586" width="13.42578125" style="268" customWidth="1"/>
    <col min="2587" max="2588" width="11.28515625" style="268" customWidth="1"/>
    <col min="2589" max="2589" width="9.5703125" style="268" customWidth="1"/>
    <col min="2590" max="2590" width="11.28515625" style="268" customWidth="1"/>
    <col min="2591" max="2591" width="9" style="268" customWidth="1"/>
    <col min="2592" max="2592" width="9.7109375" style="268" customWidth="1"/>
    <col min="2593" max="2593" width="8.5703125" style="268" customWidth="1"/>
    <col min="2594" max="2594" width="9.5703125" style="268" customWidth="1"/>
    <col min="2595" max="2595" width="11.42578125" style="268" customWidth="1"/>
    <col min="2596" max="2596" width="10.140625" style="268" customWidth="1"/>
    <col min="2597" max="2597" width="9.5703125" style="268" customWidth="1"/>
    <col min="2598" max="2598" width="10.42578125" style="268" customWidth="1"/>
    <col min="2599" max="2600" width="12.42578125" style="268" customWidth="1"/>
    <col min="2601" max="2601" width="11.42578125" style="268" customWidth="1"/>
    <col min="2602" max="2814" width="9.140625" style="268"/>
    <col min="2815" max="2815" width="5.28515625" style="268" customWidth="1"/>
    <col min="2816" max="2816" width="35.42578125" style="268" customWidth="1"/>
    <col min="2817" max="2817" width="13.7109375" style="268" customWidth="1"/>
    <col min="2818" max="2818" width="11.7109375" style="268" customWidth="1"/>
    <col min="2819" max="2819" width="11.5703125" style="268" customWidth="1"/>
    <col min="2820" max="2820" width="11.140625" style="268" customWidth="1"/>
    <col min="2821" max="2831" width="12.140625" style="268" customWidth="1"/>
    <col min="2832" max="2836" width="13.7109375" style="268" customWidth="1"/>
    <col min="2837" max="2837" width="11.5703125" style="268" customWidth="1"/>
    <col min="2838" max="2838" width="10.42578125" style="268" customWidth="1"/>
    <col min="2839" max="2840" width="13" style="268" customWidth="1"/>
    <col min="2841" max="2842" width="13.42578125" style="268" customWidth="1"/>
    <col min="2843" max="2844" width="11.28515625" style="268" customWidth="1"/>
    <col min="2845" max="2845" width="9.5703125" style="268" customWidth="1"/>
    <col min="2846" max="2846" width="11.28515625" style="268" customWidth="1"/>
    <col min="2847" max="2847" width="9" style="268" customWidth="1"/>
    <col min="2848" max="2848" width="9.7109375" style="268" customWidth="1"/>
    <col min="2849" max="2849" width="8.5703125" style="268" customWidth="1"/>
    <col min="2850" max="2850" width="9.5703125" style="268" customWidth="1"/>
    <col min="2851" max="2851" width="11.42578125" style="268" customWidth="1"/>
    <col min="2852" max="2852" width="10.140625" style="268" customWidth="1"/>
    <col min="2853" max="2853" width="9.5703125" style="268" customWidth="1"/>
    <col min="2854" max="2854" width="10.42578125" style="268" customWidth="1"/>
    <col min="2855" max="2856" width="12.42578125" style="268" customWidth="1"/>
    <col min="2857" max="2857" width="11.42578125" style="268" customWidth="1"/>
    <col min="2858" max="3070" width="9.140625" style="268"/>
    <col min="3071" max="3071" width="5.28515625" style="268" customWidth="1"/>
    <col min="3072" max="3072" width="35.42578125" style="268" customWidth="1"/>
    <col min="3073" max="3073" width="13.7109375" style="268" customWidth="1"/>
    <col min="3074" max="3074" width="11.7109375" style="268" customWidth="1"/>
    <col min="3075" max="3075" width="11.5703125" style="268" customWidth="1"/>
    <col min="3076" max="3076" width="11.140625" style="268" customWidth="1"/>
    <col min="3077" max="3087" width="12.140625" style="268" customWidth="1"/>
    <col min="3088" max="3092" width="13.7109375" style="268" customWidth="1"/>
    <col min="3093" max="3093" width="11.5703125" style="268" customWidth="1"/>
    <col min="3094" max="3094" width="10.42578125" style="268" customWidth="1"/>
    <col min="3095" max="3096" width="13" style="268" customWidth="1"/>
    <col min="3097" max="3098" width="13.42578125" style="268" customWidth="1"/>
    <col min="3099" max="3100" width="11.28515625" style="268" customWidth="1"/>
    <col min="3101" max="3101" width="9.5703125" style="268" customWidth="1"/>
    <col min="3102" max="3102" width="11.28515625" style="268" customWidth="1"/>
    <col min="3103" max="3103" width="9" style="268" customWidth="1"/>
    <col min="3104" max="3104" width="9.7109375" style="268" customWidth="1"/>
    <col min="3105" max="3105" width="8.5703125" style="268" customWidth="1"/>
    <col min="3106" max="3106" width="9.5703125" style="268" customWidth="1"/>
    <col min="3107" max="3107" width="11.42578125" style="268" customWidth="1"/>
    <col min="3108" max="3108" width="10.140625" style="268" customWidth="1"/>
    <col min="3109" max="3109" width="9.5703125" style="268" customWidth="1"/>
    <col min="3110" max="3110" width="10.42578125" style="268" customWidth="1"/>
    <col min="3111" max="3112" width="12.42578125" style="268" customWidth="1"/>
    <col min="3113" max="3113" width="11.42578125" style="268" customWidth="1"/>
    <col min="3114" max="3326" width="9.140625" style="268"/>
    <col min="3327" max="3327" width="5.28515625" style="268" customWidth="1"/>
    <col min="3328" max="3328" width="35.42578125" style="268" customWidth="1"/>
    <col min="3329" max="3329" width="13.7109375" style="268" customWidth="1"/>
    <col min="3330" max="3330" width="11.7109375" style="268" customWidth="1"/>
    <col min="3331" max="3331" width="11.5703125" style="268" customWidth="1"/>
    <col min="3332" max="3332" width="11.140625" style="268" customWidth="1"/>
    <col min="3333" max="3343" width="12.140625" style="268" customWidth="1"/>
    <col min="3344" max="3348" width="13.7109375" style="268" customWidth="1"/>
    <col min="3349" max="3349" width="11.5703125" style="268" customWidth="1"/>
    <col min="3350" max="3350" width="10.42578125" style="268" customWidth="1"/>
    <col min="3351" max="3352" width="13" style="268" customWidth="1"/>
    <col min="3353" max="3354" width="13.42578125" style="268" customWidth="1"/>
    <col min="3355" max="3356" width="11.28515625" style="268" customWidth="1"/>
    <col min="3357" max="3357" width="9.5703125" style="268" customWidth="1"/>
    <col min="3358" max="3358" width="11.28515625" style="268" customWidth="1"/>
    <col min="3359" max="3359" width="9" style="268" customWidth="1"/>
    <col min="3360" max="3360" width="9.7109375" style="268" customWidth="1"/>
    <col min="3361" max="3361" width="8.5703125" style="268" customWidth="1"/>
    <col min="3362" max="3362" width="9.5703125" style="268" customWidth="1"/>
    <col min="3363" max="3363" width="11.42578125" style="268" customWidth="1"/>
    <col min="3364" max="3364" width="10.140625" style="268" customWidth="1"/>
    <col min="3365" max="3365" width="9.5703125" style="268" customWidth="1"/>
    <col min="3366" max="3366" width="10.42578125" style="268" customWidth="1"/>
    <col min="3367" max="3368" width="12.42578125" style="268" customWidth="1"/>
    <col min="3369" max="3369" width="11.42578125" style="268" customWidth="1"/>
    <col min="3370" max="3582" width="9.140625" style="268"/>
    <col min="3583" max="3583" width="5.28515625" style="268" customWidth="1"/>
    <col min="3584" max="3584" width="35.42578125" style="268" customWidth="1"/>
    <col min="3585" max="3585" width="13.7109375" style="268" customWidth="1"/>
    <col min="3586" max="3586" width="11.7109375" style="268" customWidth="1"/>
    <col min="3587" max="3587" width="11.5703125" style="268" customWidth="1"/>
    <col min="3588" max="3588" width="11.140625" style="268" customWidth="1"/>
    <col min="3589" max="3599" width="12.140625" style="268" customWidth="1"/>
    <col min="3600" max="3604" width="13.7109375" style="268" customWidth="1"/>
    <col min="3605" max="3605" width="11.5703125" style="268" customWidth="1"/>
    <col min="3606" max="3606" width="10.42578125" style="268" customWidth="1"/>
    <col min="3607" max="3608" width="13" style="268" customWidth="1"/>
    <col min="3609" max="3610" width="13.42578125" style="268" customWidth="1"/>
    <col min="3611" max="3612" width="11.28515625" style="268" customWidth="1"/>
    <col min="3613" max="3613" width="9.5703125" style="268" customWidth="1"/>
    <col min="3614" max="3614" width="11.28515625" style="268" customWidth="1"/>
    <col min="3615" max="3615" width="9" style="268" customWidth="1"/>
    <col min="3616" max="3616" width="9.7109375" style="268" customWidth="1"/>
    <col min="3617" max="3617" width="8.5703125" style="268" customWidth="1"/>
    <col min="3618" max="3618" width="9.5703125" style="268" customWidth="1"/>
    <col min="3619" max="3619" width="11.42578125" style="268" customWidth="1"/>
    <col min="3620" max="3620" width="10.140625" style="268" customWidth="1"/>
    <col min="3621" max="3621" width="9.5703125" style="268" customWidth="1"/>
    <col min="3622" max="3622" width="10.42578125" style="268" customWidth="1"/>
    <col min="3623" max="3624" width="12.42578125" style="268" customWidth="1"/>
    <col min="3625" max="3625" width="11.42578125" style="268" customWidth="1"/>
    <col min="3626" max="3838" width="9.140625" style="268"/>
    <col min="3839" max="3839" width="5.28515625" style="268" customWidth="1"/>
    <col min="3840" max="3840" width="35.42578125" style="268" customWidth="1"/>
    <col min="3841" max="3841" width="13.7109375" style="268" customWidth="1"/>
    <col min="3842" max="3842" width="11.7109375" style="268" customWidth="1"/>
    <col min="3843" max="3843" width="11.5703125" style="268" customWidth="1"/>
    <col min="3844" max="3844" width="11.140625" style="268" customWidth="1"/>
    <col min="3845" max="3855" width="12.140625" style="268" customWidth="1"/>
    <col min="3856" max="3860" width="13.7109375" style="268" customWidth="1"/>
    <col min="3861" max="3861" width="11.5703125" style="268" customWidth="1"/>
    <col min="3862" max="3862" width="10.42578125" style="268" customWidth="1"/>
    <col min="3863" max="3864" width="13" style="268" customWidth="1"/>
    <col min="3865" max="3866" width="13.42578125" style="268" customWidth="1"/>
    <col min="3867" max="3868" width="11.28515625" style="268" customWidth="1"/>
    <col min="3869" max="3869" width="9.5703125" style="268" customWidth="1"/>
    <col min="3870" max="3870" width="11.28515625" style="268" customWidth="1"/>
    <col min="3871" max="3871" width="9" style="268" customWidth="1"/>
    <col min="3872" max="3872" width="9.7109375" style="268" customWidth="1"/>
    <col min="3873" max="3873" width="8.5703125" style="268" customWidth="1"/>
    <col min="3874" max="3874" width="9.5703125" style="268" customWidth="1"/>
    <col min="3875" max="3875" width="11.42578125" style="268" customWidth="1"/>
    <col min="3876" max="3876" width="10.140625" style="268" customWidth="1"/>
    <col min="3877" max="3877" width="9.5703125" style="268" customWidth="1"/>
    <col min="3878" max="3878" width="10.42578125" style="268" customWidth="1"/>
    <col min="3879" max="3880" width="12.42578125" style="268" customWidth="1"/>
    <col min="3881" max="3881" width="11.42578125" style="268" customWidth="1"/>
    <col min="3882" max="4094" width="9.140625" style="268"/>
    <col min="4095" max="4095" width="5.28515625" style="268" customWidth="1"/>
    <col min="4096" max="4096" width="35.42578125" style="268" customWidth="1"/>
    <col min="4097" max="4097" width="13.7109375" style="268" customWidth="1"/>
    <col min="4098" max="4098" width="11.7109375" style="268" customWidth="1"/>
    <col min="4099" max="4099" width="11.5703125" style="268" customWidth="1"/>
    <col min="4100" max="4100" width="11.140625" style="268" customWidth="1"/>
    <col min="4101" max="4111" width="12.140625" style="268" customWidth="1"/>
    <col min="4112" max="4116" width="13.7109375" style="268" customWidth="1"/>
    <col min="4117" max="4117" width="11.5703125" style="268" customWidth="1"/>
    <col min="4118" max="4118" width="10.42578125" style="268" customWidth="1"/>
    <col min="4119" max="4120" width="13" style="268" customWidth="1"/>
    <col min="4121" max="4122" width="13.42578125" style="268" customWidth="1"/>
    <col min="4123" max="4124" width="11.28515625" style="268" customWidth="1"/>
    <col min="4125" max="4125" width="9.5703125" style="268" customWidth="1"/>
    <col min="4126" max="4126" width="11.28515625" style="268" customWidth="1"/>
    <col min="4127" max="4127" width="9" style="268" customWidth="1"/>
    <col min="4128" max="4128" width="9.7109375" style="268" customWidth="1"/>
    <col min="4129" max="4129" width="8.5703125" style="268" customWidth="1"/>
    <col min="4130" max="4130" width="9.5703125" style="268" customWidth="1"/>
    <col min="4131" max="4131" width="11.42578125" style="268" customWidth="1"/>
    <col min="4132" max="4132" width="10.140625" style="268" customWidth="1"/>
    <col min="4133" max="4133" width="9.5703125" style="268" customWidth="1"/>
    <col min="4134" max="4134" width="10.42578125" style="268" customWidth="1"/>
    <col min="4135" max="4136" width="12.42578125" style="268" customWidth="1"/>
    <col min="4137" max="4137" width="11.42578125" style="268" customWidth="1"/>
    <col min="4138" max="4350" width="9.140625" style="268"/>
    <col min="4351" max="4351" width="5.28515625" style="268" customWidth="1"/>
    <col min="4352" max="4352" width="35.42578125" style="268" customWidth="1"/>
    <col min="4353" max="4353" width="13.7109375" style="268" customWidth="1"/>
    <col min="4354" max="4354" width="11.7109375" style="268" customWidth="1"/>
    <col min="4355" max="4355" width="11.5703125" style="268" customWidth="1"/>
    <col min="4356" max="4356" width="11.140625" style="268" customWidth="1"/>
    <col min="4357" max="4367" width="12.140625" style="268" customWidth="1"/>
    <col min="4368" max="4372" width="13.7109375" style="268" customWidth="1"/>
    <col min="4373" max="4373" width="11.5703125" style="268" customWidth="1"/>
    <col min="4374" max="4374" width="10.42578125" style="268" customWidth="1"/>
    <col min="4375" max="4376" width="13" style="268" customWidth="1"/>
    <col min="4377" max="4378" width="13.42578125" style="268" customWidth="1"/>
    <col min="4379" max="4380" width="11.28515625" style="268" customWidth="1"/>
    <col min="4381" max="4381" width="9.5703125" style="268" customWidth="1"/>
    <col min="4382" max="4382" width="11.28515625" style="268" customWidth="1"/>
    <col min="4383" max="4383" width="9" style="268" customWidth="1"/>
    <col min="4384" max="4384" width="9.7109375" style="268" customWidth="1"/>
    <col min="4385" max="4385" width="8.5703125" style="268" customWidth="1"/>
    <col min="4386" max="4386" width="9.5703125" style="268" customWidth="1"/>
    <col min="4387" max="4387" width="11.42578125" style="268" customWidth="1"/>
    <col min="4388" max="4388" width="10.140625" style="268" customWidth="1"/>
    <col min="4389" max="4389" width="9.5703125" style="268" customWidth="1"/>
    <col min="4390" max="4390" width="10.42578125" style="268" customWidth="1"/>
    <col min="4391" max="4392" width="12.42578125" style="268" customWidth="1"/>
    <col min="4393" max="4393" width="11.42578125" style="268" customWidth="1"/>
    <col min="4394" max="4606" width="9.140625" style="268"/>
    <col min="4607" max="4607" width="5.28515625" style="268" customWidth="1"/>
    <col min="4608" max="4608" width="35.42578125" style="268" customWidth="1"/>
    <col min="4609" max="4609" width="13.7109375" style="268" customWidth="1"/>
    <col min="4610" max="4610" width="11.7109375" style="268" customWidth="1"/>
    <col min="4611" max="4611" width="11.5703125" style="268" customWidth="1"/>
    <col min="4612" max="4612" width="11.140625" style="268" customWidth="1"/>
    <col min="4613" max="4623" width="12.140625" style="268" customWidth="1"/>
    <col min="4624" max="4628" width="13.7109375" style="268" customWidth="1"/>
    <col min="4629" max="4629" width="11.5703125" style="268" customWidth="1"/>
    <col min="4630" max="4630" width="10.42578125" style="268" customWidth="1"/>
    <col min="4631" max="4632" width="13" style="268" customWidth="1"/>
    <col min="4633" max="4634" width="13.42578125" style="268" customWidth="1"/>
    <col min="4635" max="4636" width="11.28515625" style="268" customWidth="1"/>
    <col min="4637" max="4637" width="9.5703125" style="268" customWidth="1"/>
    <col min="4638" max="4638" width="11.28515625" style="268" customWidth="1"/>
    <col min="4639" max="4639" width="9" style="268" customWidth="1"/>
    <col min="4640" max="4640" width="9.7109375" style="268" customWidth="1"/>
    <col min="4641" max="4641" width="8.5703125" style="268" customWidth="1"/>
    <col min="4642" max="4642" width="9.5703125" style="268" customWidth="1"/>
    <col min="4643" max="4643" width="11.42578125" style="268" customWidth="1"/>
    <col min="4644" max="4644" width="10.140625" style="268" customWidth="1"/>
    <col min="4645" max="4645" width="9.5703125" style="268" customWidth="1"/>
    <col min="4646" max="4646" width="10.42578125" style="268" customWidth="1"/>
    <col min="4647" max="4648" width="12.42578125" style="268" customWidth="1"/>
    <col min="4649" max="4649" width="11.42578125" style="268" customWidth="1"/>
    <col min="4650" max="4862" width="9.140625" style="268"/>
    <col min="4863" max="4863" width="5.28515625" style="268" customWidth="1"/>
    <col min="4864" max="4864" width="35.42578125" style="268" customWidth="1"/>
    <col min="4865" max="4865" width="13.7109375" style="268" customWidth="1"/>
    <col min="4866" max="4866" width="11.7109375" style="268" customWidth="1"/>
    <col min="4867" max="4867" width="11.5703125" style="268" customWidth="1"/>
    <col min="4868" max="4868" width="11.140625" style="268" customWidth="1"/>
    <col min="4869" max="4879" width="12.140625" style="268" customWidth="1"/>
    <col min="4880" max="4884" width="13.7109375" style="268" customWidth="1"/>
    <col min="4885" max="4885" width="11.5703125" style="268" customWidth="1"/>
    <col min="4886" max="4886" width="10.42578125" style="268" customWidth="1"/>
    <col min="4887" max="4888" width="13" style="268" customWidth="1"/>
    <col min="4889" max="4890" width="13.42578125" style="268" customWidth="1"/>
    <col min="4891" max="4892" width="11.28515625" style="268" customWidth="1"/>
    <col min="4893" max="4893" width="9.5703125" style="268" customWidth="1"/>
    <col min="4894" max="4894" width="11.28515625" style="268" customWidth="1"/>
    <col min="4895" max="4895" width="9" style="268" customWidth="1"/>
    <col min="4896" max="4896" width="9.7109375" style="268" customWidth="1"/>
    <col min="4897" max="4897" width="8.5703125" style="268" customWidth="1"/>
    <col min="4898" max="4898" width="9.5703125" style="268" customWidth="1"/>
    <col min="4899" max="4899" width="11.42578125" style="268" customWidth="1"/>
    <col min="4900" max="4900" width="10.140625" style="268" customWidth="1"/>
    <col min="4901" max="4901" width="9.5703125" style="268" customWidth="1"/>
    <col min="4902" max="4902" width="10.42578125" style="268" customWidth="1"/>
    <col min="4903" max="4904" width="12.42578125" style="268" customWidth="1"/>
    <col min="4905" max="4905" width="11.42578125" style="268" customWidth="1"/>
    <col min="4906" max="5118" width="9.140625" style="268"/>
    <col min="5119" max="5119" width="5.28515625" style="268" customWidth="1"/>
    <col min="5120" max="5120" width="35.42578125" style="268" customWidth="1"/>
    <col min="5121" max="5121" width="13.7109375" style="268" customWidth="1"/>
    <col min="5122" max="5122" width="11.7109375" style="268" customWidth="1"/>
    <col min="5123" max="5123" width="11.5703125" style="268" customWidth="1"/>
    <col min="5124" max="5124" width="11.140625" style="268" customWidth="1"/>
    <col min="5125" max="5135" width="12.140625" style="268" customWidth="1"/>
    <col min="5136" max="5140" width="13.7109375" style="268" customWidth="1"/>
    <col min="5141" max="5141" width="11.5703125" style="268" customWidth="1"/>
    <col min="5142" max="5142" width="10.42578125" style="268" customWidth="1"/>
    <col min="5143" max="5144" width="13" style="268" customWidth="1"/>
    <col min="5145" max="5146" width="13.42578125" style="268" customWidth="1"/>
    <col min="5147" max="5148" width="11.28515625" style="268" customWidth="1"/>
    <col min="5149" max="5149" width="9.5703125" style="268" customWidth="1"/>
    <col min="5150" max="5150" width="11.28515625" style="268" customWidth="1"/>
    <col min="5151" max="5151" width="9" style="268" customWidth="1"/>
    <col min="5152" max="5152" width="9.7109375" style="268" customWidth="1"/>
    <col min="5153" max="5153" width="8.5703125" style="268" customWidth="1"/>
    <col min="5154" max="5154" width="9.5703125" style="268" customWidth="1"/>
    <col min="5155" max="5155" width="11.42578125" style="268" customWidth="1"/>
    <col min="5156" max="5156" width="10.140625" style="268" customWidth="1"/>
    <col min="5157" max="5157" width="9.5703125" style="268" customWidth="1"/>
    <col min="5158" max="5158" width="10.42578125" style="268" customWidth="1"/>
    <col min="5159" max="5160" width="12.42578125" style="268" customWidth="1"/>
    <col min="5161" max="5161" width="11.42578125" style="268" customWidth="1"/>
    <col min="5162" max="5374" width="9.140625" style="268"/>
    <col min="5375" max="5375" width="5.28515625" style="268" customWidth="1"/>
    <col min="5376" max="5376" width="35.42578125" style="268" customWidth="1"/>
    <col min="5377" max="5377" width="13.7109375" style="268" customWidth="1"/>
    <col min="5378" max="5378" width="11.7109375" style="268" customWidth="1"/>
    <col min="5379" max="5379" width="11.5703125" style="268" customWidth="1"/>
    <col min="5380" max="5380" width="11.140625" style="268" customWidth="1"/>
    <col min="5381" max="5391" width="12.140625" style="268" customWidth="1"/>
    <col min="5392" max="5396" width="13.7109375" style="268" customWidth="1"/>
    <col min="5397" max="5397" width="11.5703125" style="268" customWidth="1"/>
    <col min="5398" max="5398" width="10.42578125" style="268" customWidth="1"/>
    <col min="5399" max="5400" width="13" style="268" customWidth="1"/>
    <col min="5401" max="5402" width="13.42578125" style="268" customWidth="1"/>
    <col min="5403" max="5404" width="11.28515625" style="268" customWidth="1"/>
    <col min="5405" max="5405" width="9.5703125" style="268" customWidth="1"/>
    <col min="5406" max="5406" width="11.28515625" style="268" customWidth="1"/>
    <col min="5407" max="5407" width="9" style="268" customWidth="1"/>
    <col min="5408" max="5408" width="9.7109375" style="268" customWidth="1"/>
    <col min="5409" max="5409" width="8.5703125" style="268" customWidth="1"/>
    <col min="5410" max="5410" width="9.5703125" style="268" customWidth="1"/>
    <col min="5411" max="5411" width="11.42578125" style="268" customWidth="1"/>
    <col min="5412" max="5412" width="10.140625" style="268" customWidth="1"/>
    <col min="5413" max="5413" width="9.5703125" style="268" customWidth="1"/>
    <col min="5414" max="5414" width="10.42578125" style="268" customWidth="1"/>
    <col min="5415" max="5416" width="12.42578125" style="268" customWidth="1"/>
    <col min="5417" max="5417" width="11.42578125" style="268" customWidth="1"/>
    <col min="5418" max="5630" width="9.140625" style="268"/>
    <col min="5631" max="5631" width="5.28515625" style="268" customWidth="1"/>
    <col min="5632" max="5632" width="35.42578125" style="268" customWidth="1"/>
    <col min="5633" max="5633" width="13.7109375" style="268" customWidth="1"/>
    <col min="5634" max="5634" width="11.7109375" style="268" customWidth="1"/>
    <col min="5635" max="5635" width="11.5703125" style="268" customWidth="1"/>
    <col min="5636" max="5636" width="11.140625" style="268" customWidth="1"/>
    <col min="5637" max="5647" width="12.140625" style="268" customWidth="1"/>
    <col min="5648" max="5652" width="13.7109375" style="268" customWidth="1"/>
    <col min="5653" max="5653" width="11.5703125" style="268" customWidth="1"/>
    <col min="5654" max="5654" width="10.42578125" style="268" customWidth="1"/>
    <col min="5655" max="5656" width="13" style="268" customWidth="1"/>
    <col min="5657" max="5658" width="13.42578125" style="268" customWidth="1"/>
    <col min="5659" max="5660" width="11.28515625" style="268" customWidth="1"/>
    <col min="5661" max="5661" width="9.5703125" style="268" customWidth="1"/>
    <col min="5662" max="5662" width="11.28515625" style="268" customWidth="1"/>
    <col min="5663" max="5663" width="9" style="268" customWidth="1"/>
    <col min="5664" max="5664" width="9.7109375" style="268" customWidth="1"/>
    <col min="5665" max="5665" width="8.5703125" style="268" customWidth="1"/>
    <col min="5666" max="5666" width="9.5703125" style="268" customWidth="1"/>
    <col min="5667" max="5667" width="11.42578125" style="268" customWidth="1"/>
    <col min="5668" max="5668" width="10.140625" style="268" customWidth="1"/>
    <col min="5669" max="5669" width="9.5703125" style="268" customWidth="1"/>
    <col min="5670" max="5670" width="10.42578125" style="268" customWidth="1"/>
    <col min="5671" max="5672" width="12.42578125" style="268" customWidth="1"/>
    <col min="5673" max="5673" width="11.42578125" style="268" customWidth="1"/>
    <col min="5674" max="5886" width="9.140625" style="268"/>
    <col min="5887" max="5887" width="5.28515625" style="268" customWidth="1"/>
    <col min="5888" max="5888" width="35.42578125" style="268" customWidth="1"/>
    <col min="5889" max="5889" width="13.7109375" style="268" customWidth="1"/>
    <col min="5890" max="5890" width="11.7109375" style="268" customWidth="1"/>
    <col min="5891" max="5891" width="11.5703125" style="268" customWidth="1"/>
    <col min="5892" max="5892" width="11.140625" style="268" customWidth="1"/>
    <col min="5893" max="5903" width="12.140625" style="268" customWidth="1"/>
    <col min="5904" max="5908" width="13.7109375" style="268" customWidth="1"/>
    <col min="5909" max="5909" width="11.5703125" style="268" customWidth="1"/>
    <col min="5910" max="5910" width="10.42578125" style="268" customWidth="1"/>
    <col min="5911" max="5912" width="13" style="268" customWidth="1"/>
    <col min="5913" max="5914" width="13.42578125" style="268" customWidth="1"/>
    <col min="5915" max="5916" width="11.28515625" style="268" customWidth="1"/>
    <col min="5917" max="5917" width="9.5703125" style="268" customWidth="1"/>
    <col min="5918" max="5918" width="11.28515625" style="268" customWidth="1"/>
    <col min="5919" max="5919" width="9" style="268" customWidth="1"/>
    <col min="5920" max="5920" width="9.7109375" style="268" customWidth="1"/>
    <col min="5921" max="5921" width="8.5703125" style="268" customWidth="1"/>
    <col min="5922" max="5922" width="9.5703125" style="268" customWidth="1"/>
    <col min="5923" max="5923" width="11.42578125" style="268" customWidth="1"/>
    <col min="5924" max="5924" width="10.140625" style="268" customWidth="1"/>
    <col min="5925" max="5925" width="9.5703125" style="268" customWidth="1"/>
    <col min="5926" max="5926" width="10.42578125" style="268" customWidth="1"/>
    <col min="5927" max="5928" width="12.42578125" style="268" customWidth="1"/>
    <col min="5929" max="5929" width="11.42578125" style="268" customWidth="1"/>
    <col min="5930" max="6142" width="9.140625" style="268"/>
    <col min="6143" max="6143" width="5.28515625" style="268" customWidth="1"/>
    <col min="6144" max="6144" width="35.42578125" style="268" customWidth="1"/>
    <col min="6145" max="6145" width="13.7109375" style="268" customWidth="1"/>
    <col min="6146" max="6146" width="11.7109375" style="268" customWidth="1"/>
    <col min="6147" max="6147" width="11.5703125" style="268" customWidth="1"/>
    <col min="6148" max="6148" width="11.140625" style="268" customWidth="1"/>
    <col min="6149" max="6159" width="12.140625" style="268" customWidth="1"/>
    <col min="6160" max="6164" width="13.7109375" style="268" customWidth="1"/>
    <col min="6165" max="6165" width="11.5703125" style="268" customWidth="1"/>
    <col min="6166" max="6166" width="10.42578125" style="268" customWidth="1"/>
    <col min="6167" max="6168" width="13" style="268" customWidth="1"/>
    <col min="6169" max="6170" width="13.42578125" style="268" customWidth="1"/>
    <col min="6171" max="6172" width="11.28515625" style="268" customWidth="1"/>
    <col min="6173" max="6173" width="9.5703125" style="268" customWidth="1"/>
    <col min="6174" max="6174" width="11.28515625" style="268" customWidth="1"/>
    <col min="6175" max="6175" width="9" style="268" customWidth="1"/>
    <col min="6176" max="6176" width="9.7109375" style="268" customWidth="1"/>
    <col min="6177" max="6177" width="8.5703125" style="268" customWidth="1"/>
    <col min="6178" max="6178" width="9.5703125" style="268" customWidth="1"/>
    <col min="6179" max="6179" width="11.42578125" style="268" customWidth="1"/>
    <col min="6180" max="6180" width="10.140625" style="268" customWidth="1"/>
    <col min="6181" max="6181" width="9.5703125" style="268" customWidth="1"/>
    <col min="6182" max="6182" width="10.42578125" style="268" customWidth="1"/>
    <col min="6183" max="6184" width="12.42578125" style="268" customWidth="1"/>
    <col min="6185" max="6185" width="11.42578125" style="268" customWidth="1"/>
    <col min="6186" max="6398" width="9.140625" style="268"/>
    <col min="6399" max="6399" width="5.28515625" style="268" customWidth="1"/>
    <col min="6400" max="6400" width="35.42578125" style="268" customWidth="1"/>
    <col min="6401" max="6401" width="13.7109375" style="268" customWidth="1"/>
    <col min="6402" max="6402" width="11.7109375" style="268" customWidth="1"/>
    <col min="6403" max="6403" width="11.5703125" style="268" customWidth="1"/>
    <col min="6404" max="6404" width="11.140625" style="268" customWidth="1"/>
    <col min="6405" max="6415" width="12.140625" style="268" customWidth="1"/>
    <col min="6416" max="6420" width="13.7109375" style="268" customWidth="1"/>
    <col min="6421" max="6421" width="11.5703125" style="268" customWidth="1"/>
    <col min="6422" max="6422" width="10.42578125" style="268" customWidth="1"/>
    <col min="6423" max="6424" width="13" style="268" customWidth="1"/>
    <col min="6425" max="6426" width="13.42578125" style="268" customWidth="1"/>
    <col min="6427" max="6428" width="11.28515625" style="268" customWidth="1"/>
    <col min="6429" max="6429" width="9.5703125" style="268" customWidth="1"/>
    <col min="6430" max="6430" width="11.28515625" style="268" customWidth="1"/>
    <col min="6431" max="6431" width="9" style="268" customWidth="1"/>
    <col min="6432" max="6432" width="9.7109375" style="268" customWidth="1"/>
    <col min="6433" max="6433" width="8.5703125" style="268" customWidth="1"/>
    <col min="6434" max="6434" width="9.5703125" style="268" customWidth="1"/>
    <col min="6435" max="6435" width="11.42578125" style="268" customWidth="1"/>
    <col min="6436" max="6436" width="10.140625" style="268" customWidth="1"/>
    <col min="6437" max="6437" width="9.5703125" style="268" customWidth="1"/>
    <col min="6438" max="6438" width="10.42578125" style="268" customWidth="1"/>
    <col min="6439" max="6440" width="12.42578125" style="268" customWidth="1"/>
    <col min="6441" max="6441" width="11.42578125" style="268" customWidth="1"/>
    <col min="6442" max="6654" width="9.140625" style="268"/>
    <col min="6655" max="6655" width="5.28515625" style="268" customWidth="1"/>
    <col min="6656" max="6656" width="35.42578125" style="268" customWidth="1"/>
    <col min="6657" max="6657" width="13.7109375" style="268" customWidth="1"/>
    <col min="6658" max="6658" width="11.7109375" style="268" customWidth="1"/>
    <col min="6659" max="6659" width="11.5703125" style="268" customWidth="1"/>
    <col min="6660" max="6660" width="11.140625" style="268" customWidth="1"/>
    <col min="6661" max="6671" width="12.140625" style="268" customWidth="1"/>
    <col min="6672" max="6676" width="13.7109375" style="268" customWidth="1"/>
    <col min="6677" max="6677" width="11.5703125" style="268" customWidth="1"/>
    <col min="6678" max="6678" width="10.42578125" style="268" customWidth="1"/>
    <col min="6679" max="6680" width="13" style="268" customWidth="1"/>
    <col min="6681" max="6682" width="13.42578125" style="268" customWidth="1"/>
    <col min="6683" max="6684" width="11.28515625" style="268" customWidth="1"/>
    <col min="6685" max="6685" width="9.5703125" style="268" customWidth="1"/>
    <col min="6686" max="6686" width="11.28515625" style="268" customWidth="1"/>
    <col min="6687" max="6687" width="9" style="268" customWidth="1"/>
    <col min="6688" max="6688" width="9.7109375" style="268" customWidth="1"/>
    <col min="6689" max="6689" width="8.5703125" style="268" customWidth="1"/>
    <col min="6690" max="6690" width="9.5703125" style="268" customWidth="1"/>
    <col min="6691" max="6691" width="11.42578125" style="268" customWidth="1"/>
    <col min="6692" max="6692" width="10.140625" style="268" customWidth="1"/>
    <col min="6693" max="6693" width="9.5703125" style="268" customWidth="1"/>
    <col min="6694" max="6694" width="10.42578125" style="268" customWidth="1"/>
    <col min="6695" max="6696" width="12.42578125" style="268" customWidth="1"/>
    <col min="6697" max="6697" width="11.42578125" style="268" customWidth="1"/>
    <col min="6698" max="6910" width="9.140625" style="268"/>
    <col min="6911" max="6911" width="5.28515625" style="268" customWidth="1"/>
    <col min="6912" max="6912" width="35.42578125" style="268" customWidth="1"/>
    <col min="6913" max="6913" width="13.7109375" style="268" customWidth="1"/>
    <col min="6914" max="6914" width="11.7109375" style="268" customWidth="1"/>
    <col min="6915" max="6915" width="11.5703125" style="268" customWidth="1"/>
    <col min="6916" max="6916" width="11.140625" style="268" customWidth="1"/>
    <col min="6917" max="6927" width="12.140625" style="268" customWidth="1"/>
    <col min="6928" max="6932" width="13.7109375" style="268" customWidth="1"/>
    <col min="6933" max="6933" width="11.5703125" style="268" customWidth="1"/>
    <col min="6934" max="6934" width="10.42578125" style="268" customWidth="1"/>
    <col min="6935" max="6936" width="13" style="268" customWidth="1"/>
    <col min="6937" max="6938" width="13.42578125" style="268" customWidth="1"/>
    <col min="6939" max="6940" width="11.28515625" style="268" customWidth="1"/>
    <col min="6941" max="6941" width="9.5703125" style="268" customWidth="1"/>
    <col min="6942" max="6942" width="11.28515625" style="268" customWidth="1"/>
    <col min="6943" max="6943" width="9" style="268" customWidth="1"/>
    <col min="6944" max="6944" width="9.7109375" style="268" customWidth="1"/>
    <col min="6945" max="6945" width="8.5703125" style="268" customWidth="1"/>
    <col min="6946" max="6946" width="9.5703125" style="268" customWidth="1"/>
    <col min="6947" max="6947" width="11.42578125" style="268" customWidth="1"/>
    <col min="6948" max="6948" width="10.140625" style="268" customWidth="1"/>
    <col min="6949" max="6949" width="9.5703125" style="268" customWidth="1"/>
    <col min="6950" max="6950" width="10.42578125" style="268" customWidth="1"/>
    <col min="6951" max="6952" width="12.42578125" style="268" customWidth="1"/>
    <col min="6953" max="6953" width="11.42578125" style="268" customWidth="1"/>
    <col min="6954" max="7166" width="9.140625" style="268"/>
    <col min="7167" max="7167" width="5.28515625" style="268" customWidth="1"/>
    <col min="7168" max="7168" width="35.42578125" style="268" customWidth="1"/>
    <col min="7169" max="7169" width="13.7109375" style="268" customWidth="1"/>
    <col min="7170" max="7170" width="11.7109375" style="268" customWidth="1"/>
    <col min="7171" max="7171" width="11.5703125" style="268" customWidth="1"/>
    <col min="7172" max="7172" width="11.140625" style="268" customWidth="1"/>
    <col min="7173" max="7183" width="12.140625" style="268" customWidth="1"/>
    <col min="7184" max="7188" width="13.7109375" style="268" customWidth="1"/>
    <col min="7189" max="7189" width="11.5703125" style="268" customWidth="1"/>
    <col min="7190" max="7190" width="10.42578125" style="268" customWidth="1"/>
    <col min="7191" max="7192" width="13" style="268" customWidth="1"/>
    <col min="7193" max="7194" width="13.42578125" style="268" customWidth="1"/>
    <col min="7195" max="7196" width="11.28515625" style="268" customWidth="1"/>
    <col min="7197" max="7197" width="9.5703125" style="268" customWidth="1"/>
    <col min="7198" max="7198" width="11.28515625" style="268" customWidth="1"/>
    <col min="7199" max="7199" width="9" style="268" customWidth="1"/>
    <col min="7200" max="7200" width="9.7109375" style="268" customWidth="1"/>
    <col min="7201" max="7201" width="8.5703125" style="268" customWidth="1"/>
    <col min="7202" max="7202" width="9.5703125" style="268" customWidth="1"/>
    <col min="7203" max="7203" width="11.42578125" style="268" customWidth="1"/>
    <col min="7204" max="7204" width="10.140625" style="268" customWidth="1"/>
    <col min="7205" max="7205" width="9.5703125" style="268" customWidth="1"/>
    <col min="7206" max="7206" width="10.42578125" style="268" customWidth="1"/>
    <col min="7207" max="7208" width="12.42578125" style="268" customWidth="1"/>
    <col min="7209" max="7209" width="11.42578125" style="268" customWidth="1"/>
    <col min="7210" max="7422" width="9.140625" style="268"/>
    <col min="7423" max="7423" width="5.28515625" style="268" customWidth="1"/>
    <col min="7424" max="7424" width="35.42578125" style="268" customWidth="1"/>
    <col min="7425" max="7425" width="13.7109375" style="268" customWidth="1"/>
    <col min="7426" max="7426" width="11.7109375" style="268" customWidth="1"/>
    <col min="7427" max="7427" width="11.5703125" style="268" customWidth="1"/>
    <col min="7428" max="7428" width="11.140625" style="268" customWidth="1"/>
    <col min="7429" max="7439" width="12.140625" style="268" customWidth="1"/>
    <col min="7440" max="7444" width="13.7109375" style="268" customWidth="1"/>
    <col min="7445" max="7445" width="11.5703125" style="268" customWidth="1"/>
    <col min="7446" max="7446" width="10.42578125" style="268" customWidth="1"/>
    <col min="7447" max="7448" width="13" style="268" customWidth="1"/>
    <col min="7449" max="7450" width="13.42578125" style="268" customWidth="1"/>
    <col min="7451" max="7452" width="11.28515625" style="268" customWidth="1"/>
    <col min="7453" max="7453" width="9.5703125" style="268" customWidth="1"/>
    <col min="7454" max="7454" width="11.28515625" style="268" customWidth="1"/>
    <col min="7455" max="7455" width="9" style="268" customWidth="1"/>
    <col min="7456" max="7456" width="9.7109375" style="268" customWidth="1"/>
    <col min="7457" max="7457" width="8.5703125" style="268" customWidth="1"/>
    <col min="7458" max="7458" width="9.5703125" style="268" customWidth="1"/>
    <col min="7459" max="7459" width="11.42578125" style="268" customWidth="1"/>
    <col min="7460" max="7460" width="10.140625" style="268" customWidth="1"/>
    <col min="7461" max="7461" width="9.5703125" style="268" customWidth="1"/>
    <col min="7462" max="7462" width="10.42578125" style="268" customWidth="1"/>
    <col min="7463" max="7464" width="12.42578125" style="268" customWidth="1"/>
    <col min="7465" max="7465" width="11.42578125" style="268" customWidth="1"/>
    <col min="7466" max="7678" width="9.140625" style="268"/>
    <col min="7679" max="7679" width="5.28515625" style="268" customWidth="1"/>
    <col min="7680" max="7680" width="35.42578125" style="268" customWidth="1"/>
    <col min="7681" max="7681" width="13.7109375" style="268" customWidth="1"/>
    <col min="7682" max="7682" width="11.7109375" style="268" customWidth="1"/>
    <col min="7683" max="7683" width="11.5703125" style="268" customWidth="1"/>
    <col min="7684" max="7684" width="11.140625" style="268" customWidth="1"/>
    <col min="7685" max="7695" width="12.140625" style="268" customWidth="1"/>
    <col min="7696" max="7700" width="13.7109375" style="268" customWidth="1"/>
    <col min="7701" max="7701" width="11.5703125" style="268" customWidth="1"/>
    <col min="7702" max="7702" width="10.42578125" style="268" customWidth="1"/>
    <col min="7703" max="7704" width="13" style="268" customWidth="1"/>
    <col min="7705" max="7706" width="13.42578125" style="268" customWidth="1"/>
    <col min="7707" max="7708" width="11.28515625" style="268" customWidth="1"/>
    <col min="7709" max="7709" width="9.5703125" style="268" customWidth="1"/>
    <col min="7710" max="7710" width="11.28515625" style="268" customWidth="1"/>
    <col min="7711" max="7711" width="9" style="268" customWidth="1"/>
    <col min="7712" max="7712" width="9.7109375" style="268" customWidth="1"/>
    <col min="7713" max="7713" width="8.5703125" style="268" customWidth="1"/>
    <col min="7714" max="7714" width="9.5703125" style="268" customWidth="1"/>
    <col min="7715" max="7715" width="11.42578125" style="268" customWidth="1"/>
    <col min="7716" max="7716" width="10.140625" style="268" customWidth="1"/>
    <col min="7717" max="7717" width="9.5703125" style="268" customWidth="1"/>
    <col min="7718" max="7718" width="10.42578125" style="268" customWidth="1"/>
    <col min="7719" max="7720" width="12.42578125" style="268" customWidth="1"/>
    <col min="7721" max="7721" width="11.42578125" style="268" customWidth="1"/>
    <col min="7722" max="7934" width="9.140625" style="268"/>
    <col min="7935" max="7935" width="5.28515625" style="268" customWidth="1"/>
    <col min="7936" max="7936" width="35.42578125" style="268" customWidth="1"/>
    <col min="7937" max="7937" width="13.7109375" style="268" customWidth="1"/>
    <col min="7938" max="7938" width="11.7109375" style="268" customWidth="1"/>
    <col min="7939" max="7939" width="11.5703125" style="268" customWidth="1"/>
    <col min="7940" max="7940" width="11.140625" style="268" customWidth="1"/>
    <col min="7941" max="7951" width="12.140625" style="268" customWidth="1"/>
    <col min="7952" max="7956" width="13.7109375" style="268" customWidth="1"/>
    <col min="7957" max="7957" width="11.5703125" style="268" customWidth="1"/>
    <col min="7958" max="7958" width="10.42578125" style="268" customWidth="1"/>
    <col min="7959" max="7960" width="13" style="268" customWidth="1"/>
    <col min="7961" max="7962" width="13.42578125" style="268" customWidth="1"/>
    <col min="7963" max="7964" width="11.28515625" style="268" customWidth="1"/>
    <col min="7965" max="7965" width="9.5703125" style="268" customWidth="1"/>
    <col min="7966" max="7966" width="11.28515625" style="268" customWidth="1"/>
    <col min="7967" max="7967" width="9" style="268" customWidth="1"/>
    <col min="7968" max="7968" width="9.7109375" style="268" customWidth="1"/>
    <col min="7969" max="7969" width="8.5703125" style="268" customWidth="1"/>
    <col min="7970" max="7970" width="9.5703125" style="268" customWidth="1"/>
    <col min="7971" max="7971" width="11.42578125" style="268" customWidth="1"/>
    <col min="7972" max="7972" width="10.140625" style="268" customWidth="1"/>
    <col min="7973" max="7973" width="9.5703125" style="268" customWidth="1"/>
    <col min="7974" max="7974" width="10.42578125" style="268" customWidth="1"/>
    <col min="7975" max="7976" width="12.42578125" style="268" customWidth="1"/>
    <col min="7977" max="7977" width="11.42578125" style="268" customWidth="1"/>
    <col min="7978" max="8190" width="9.140625" style="268"/>
    <col min="8191" max="8191" width="5.28515625" style="268" customWidth="1"/>
    <col min="8192" max="8192" width="35.42578125" style="268" customWidth="1"/>
    <col min="8193" max="8193" width="13.7109375" style="268" customWidth="1"/>
    <col min="8194" max="8194" width="11.7109375" style="268" customWidth="1"/>
    <col min="8195" max="8195" width="11.5703125" style="268" customWidth="1"/>
    <col min="8196" max="8196" width="11.140625" style="268" customWidth="1"/>
    <col min="8197" max="8207" width="12.140625" style="268" customWidth="1"/>
    <col min="8208" max="8212" width="13.7109375" style="268" customWidth="1"/>
    <col min="8213" max="8213" width="11.5703125" style="268" customWidth="1"/>
    <col min="8214" max="8214" width="10.42578125" style="268" customWidth="1"/>
    <col min="8215" max="8216" width="13" style="268" customWidth="1"/>
    <col min="8217" max="8218" width="13.42578125" style="268" customWidth="1"/>
    <col min="8219" max="8220" width="11.28515625" style="268" customWidth="1"/>
    <col min="8221" max="8221" width="9.5703125" style="268" customWidth="1"/>
    <col min="8222" max="8222" width="11.28515625" style="268" customWidth="1"/>
    <col min="8223" max="8223" width="9" style="268" customWidth="1"/>
    <col min="8224" max="8224" width="9.7109375" style="268" customWidth="1"/>
    <col min="8225" max="8225" width="8.5703125" style="268" customWidth="1"/>
    <col min="8226" max="8226" width="9.5703125" style="268" customWidth="1"/>
    <col min="8227" max="8227" width="11.42578125" style="268" customWidth="1"/>
    <col min="8228" max="8228" width="10.140625" style="268" customWidth="1"/>
    <col min="8229" max="8229" width="9.5703125" style="268" customWidth="1"/>
    <col min="8230" max="8230" width="10.42578125" style="268" customWidth="1"/>
    <col min="8231" max="8232" width="12.42578125" style="268" customWidth="1"/>
    <col min="8233" max="8233" width="11.42578125" style="268" customWidth="1"/>
    <col min="8234" max="8446" width="9.140625" style="268"/>
    <col min="8447" max="8447" width="5.28515625" style="268" customWidth="1"/>
    <col min="8448" max="8448" width="35.42578125" style="268" customWidth="1"/>
    <col min="8449" max="8449" width="13.7109375" style="268" customWidth="1"/>
    <col min="8450" max="8450" width="11.7109375" style="268" customWidth="1"/>
    <col min="8451" max="8451" width="11.5703125" style="268" customWidth="1"/>
    <col min="8452" max="8452" width="11.140625" style="268" customWidth="1"/>
    <col min="8453" max="8463" width="12.140625" style="268" customWidth="1"/>
    <col min="8464" max="8468" width="13.7109375" style="268" customWidth="1"/>
    <col min="8469" max="8469" width="11.5703125" style="268" customWidth="1"/>
    <col min="8470" max="8470" width="10.42578125" style="268" customWidth="1"/>
    <col min="8471" max="8472" width="13" style="268" customWidth="1"/>
    <col min="8473" max="8474" width="13.42578125" style="268" customWidth="1"/>
    <col min="8475" max="8476" width="11.28515625" style="268" customWidth="1"/>
    <col min="8477" max="8477" width="9.5703125" style="268" customWidth="1"/>
    <col min="8478" max="8478" width="11.28515625" style="268" customWidth="1"/>
    <col min="8479" max="8479" width="9" style="268" customWidth="1"/>
    <col min="8480" max="8480" width="9.7109375" style="268" customWidth="1"/>
    <col min="8481" max="8481" width="8.5703125" style="268" customWidth="1"/>
    <col min="8482" max="8482" width="9.5703125" style="268" customWidth="1"/>
    <col min="8483" max="8483" width="11.42578125" style="268" customWidth="1"/>
    <col min="8484" max="8484" width="10.140625" style="268" customWidth="1"/>
    <col min="8485" max="8485" width="9.5703125" style="268" customWidth="1"/>
    <col min="8486" max="8486" width="10.42578125" style="268" customWidth="1"/>
    <col min="8487" max="8488" width="12.42578125" style="268" customWidth="1"/>
    <col min="8489" max="8489" width="11.42578125" style="268" customWidth="1"/>
    <col min="8490" max="8702" width="9.140625" style="268"/>
    <col min="8703" max="8703" width="5.28515625" style="268" customWidth="1"/>
    <col min="8704" max="8704" width="35.42578125" style="268" customWidth="1"/>
    <col min="8705" max="8705" width="13.7109375" style="268" customWidth="1"/>
    <col min="8706" max="8706" width="11.7109375" style="268" customWidth="1"/>
    <col min="8707" max="8707" width="11.5703125" style="268" customWidth="1"/>
    <col min="8708" max="8708" width="11.140625" style="268" customWidth="1"/>
    <col min="8709" max="8719" width="12.140625" style="268" customWidth="1"/>
    <col min="8720" max="8724" width="13.7109375" style="268" customWidth="1"/>
    <col min="8725" max="8725" width="11.5703125" style="268" customWidth="1"/>
    <col min="8726" max="8726" width="10.42578125" style="268" customWidth="1"/>
    <col min="8727" max="8728" width="13" style="268" customWidth="1"/>
    <col min="8729" max="8730" width="13.42578125" style="268" customWidth="1"/>
    <col min="8731" max="8732" width="11.28515625" style="268" customWidth="1"/>
    <col min="8733" max="8733" width="9.5703125" style="268" customWidth="1"/>
    <col min="8734" max="8734" width="11.28515625" style="268" customWidth="1"/>
    <col min="8735" max="8735" width="9" style="268" customWidth="1"/>
    <col min="8736" max="8736" width="9.7109375" style="268" customWidth="1"/>
    <col min="8737" max="8737" width="8.5703125" style="268" customWidth="1"/>
    <col min="8738" max="8738" width="9.5703125" style="268" customWidth="1"/>
    <col min="8739" max="8739" width="11.42578125" style="268" customWidth="1"/>
    <col min="8740" max="8740" width="10.140625" style="268" customWidth="1"/>
    <col min="8741" max="8741" width="9.5703125" style="268" customWidth="1"/>
    <col min="8742" max="8742" width="10.42578125" style="268" customWidth="1"/>
    <col min="8743" max="8744" width="12.42578125" style="268" customWidth="1"/>
    <col min="8745" max="8745" width="11.42578125" style="268" customWidth="1"/>
    <col min="8746" max="8958" width="9.140625" style="268"/>
    <col min="8959" max="8959" width="5.28515625" style="268" customWidth="1"/>
    <col min="8960" max="8960" width="35.42578125" style="268" customWidth="1"/>
    <col min="8961" max="8961" width="13.7109375" style="268" customWidth="1"/>
    <col min="8962" max="8962" width="11.7109375" style="268" customWidth="1"/>
    <col min="8963" max="8963" width="11.5703125" style="268" customWidth="1"/>
    <col min="8964" max="8964" width="11.140625" style="268" customWidth="1"/>
    <col min="8965" max="8975" width="12.140625" style="268" customWidth="1"/>
    <col min="8976" max="8980" width="13.7109375" style="268" customWidth="1"/>
    <col min="8981" max="8981" width="11.5703125" style="268" customWidth="1"/>
    <col min="8982" max="8982" width="10.42578125" style="268" customWidth="1"/>
    <col min="8983" max="8984" width="13" style="268" customWidth="1"/>
    <col min="8985" max="8986" width="13.42578125" style="268" customWidth="1"/>
    <col min="8987" max="8988" width="11.28515625" style="268" customWidth="1"/>
    <col min="8989" max="8989" width="9.5703125" style="268" customWidth="1"/>
    <col min="8990" max="8990" width="11.28515625" style="268" customWidth="1"/>
    <col min="8991" max="8991" width="9" style="268" customWidth="1"/>
    <col min="8992" max="8992" width="9.7109375" style="268" customWidth="1"/>
    <col min="8993" max="8993" width="8.5703125" style="268" customWidth="1"/>
    <col min="8994" max="8994" width="9.5703125" style="268" customWidth="1"/>
    <col min="8995" max="8995" width="11.42578125" style="268" customWidth="1"/>
    <col min="8996" max="8996" width="10.140625" style="268" customWidth="1"/>
    <col min="8997" max="8997" width="9.5703125" style="268" customWidth="1"/>
    <col min="8998" max="8998" width="10.42578125" style="268" customWidth="1"/>
    <col min="8999" max="9000" width="12.42578125" style="268" customWidth="1"/>
    <col min="9001" max="9001" width="11.42578125" style="268" customWidth="1"/>
    <col min="9002" max="9214" width="9.140625" style="268"/>
    <col min="9215" max="9215" width="5.28515625" style="268" customWidth="1"/>
    <col min="9216" max="9216" width="35.42578125" style="268" customWidth="1"/>
    <col min="9217" max="9217" width="13.7109375" style="268" customWidth="1"/>
    <col min="9218" max="9218" width="11.7109375" style="268" customWidth="1"/>
    <col min="9219" max="9219" width="11.5703125" style="268" customWidth="1"/>
    <col min="9220" max="9220" width="11.140625" style="268" customWidth="1"/>
    <col min="9221" max="9231" width="12.140625" style="268" customWidth="1"/>
    <col min="9232" max="9236" width="13.7109375" style="268" customWidth="1"/>
    <col min="9237" max="9237" width="11.5703125" style="268" customWidth="1"/>
    <col min="9238" max="9238" width="10.42578125" style="268" customWidth="1"/>
    <col min="9239" max="9240" width="13" style="268" customWidth="1"/>
    <col min="9241" max="9242" width="13.42578125" style="268" customWidth="1"/>
    <col min="9243" max="9244" width="11.28515625" style="268" customWidth="1"/>
    <col min="9245" max="9245" width="9.5703125" style="268" customWidth="1"/>
    <col min="9246" max="9246" width="11.28515625" style="268" customWidth="1"/>
    <col min="9247" max="9247" width="9" style="268" customWidth="1"/>
    <col min="9248" max="9248" width="9.7109375" style="268" customWidth="1"/>
    <col min="9249" max="9249" width="8.5703125" style="268" customWidth="1"/>
    <col min="9250" max="9250" width="9.5703125" style="268" customWidth="1"/>
    <col min="9251" max="9251" width="11.42578125" style="268" customWidth="1"/>
    <col min="9252" max="9252" width="10.140625" style="268" customWidth="1"/>
    <col min="9253" max="9253" width="9.5703125" style="268" customWidth="1"/>
    <col min="9254" max="9254" width="10.42578125" style="268" customWidth="1"/>
    <col min="9255" max="9256" width="12.42578125" style="268" customWidth="1"/>
    <col min="9257" max="9257" width="11.42578125" style="268" customWidth="1"/>
    <col min="9258" max="9470" width="9.140625" style="268"/>
    <col min="9471" max="9471" width="5.28515625" style="268" customWidth="1"/>
    <col min="9472" max="9472" width="35.42578125" style="268" customWidth="1"/>
    <col min="9473" max="9473" width="13.7109375" style="268" customWidth="1"/>
    <col min="9474" max="9474" width="11.7109375" style="268" customWidth="1"/>
    <col min="9475" max="9475" width="11.5703125" style="268" customWidth="1"/>
    <col min="9476" max="9476" width="11.140625" style="268" customWidth="1"/>
    <col min="9477" max="9487" width="12.140625" style="268" customWidth="1"/>
    <col min="9488" max="9492" width="13.7109375" style="268" customWidth="1"/>
    <col min="9493" max="9493" width="11.5703125" style="268" customWidth="1"/>
    <col min="9494" max="9494" width="10.42578125" style="268" customWidth="1"/>
    <col min="9495" max="9496" width="13" style="268" customWidth="1"/>
    <col min="9497" max="9498" width="13.42578125" style="268" customWidth="1"/>
    <col min="9499" max="9500" width="11.28515625" style="268" customWidth="1"/>
    <col min="9501" max="9501" width="9.5703125" style="268" customWidth="1"/>
    <col min="9502" max="9502" width="11.28515625" style="268" customWidth="1"/>
    <col min="9503" max="9503" width="9" style="268" customWidth="1"/>
    <col min="9504" max="9504" width="9.7109375" style="268" customWidth="1"/>
    <col min="9505" max="9505" width="8.5703125" style="268" customWidth="1"/>
    <col min="9506" max="9506" width="9.5703125" style="268" customWidth="1"/>
    <col min="9507" max="9507" width="11.42578125" style="268" customWidth="1"/>
    <col min="9508" max="9508" width="10.140625" style="268" customWidth="1"/>
    <col min="9509" max="9509" width="9.5703125" style="268" customWidth="1"/>
    <col min="9510" max="9510" width="10.42578125" style="268" customWidth="1"/>
    <col min="9511" max="9512" width="12.42578125" style="268" customWidth="1"/>
    <col min="9513" max="9513" width="11.42578125" style="268" customWidth="1"/>
    <col min="9514" max="9726" width="9.140625" style="268"/>
    <col min="9727" max="9727" width="5.28515625" style="268" customWidth="1"/>
    <col min="9728" max="9728" width="35.42578125" style="268" customWidth="1"/>
    <col min="9729" max="9729" width="13.7109375" style="268" customWidth="1"/>
    <col min="9730" max="9730" width="11.7109375" style="268" customWidth="1"/>
    <col min="9731" max="9731" width="11.5703125" style="268" customWidth="1"/>
    <col min="9732" max="9732" width="11.140625" style="268" customWidth="1"/>
    <col min="9733" max="9743" width="12.140625" style="268" customWidth="1"/>
    <col min="9744" max="9748" width="13.7109375" style="268" customWidth="1"/>
    <col min="9749" max="9749" width="11.5703125" style="268" customWidth="1"/>
    <col min="9750" max="9750" width="10.42578125" style="268" customWidth="1"/>
    <col min="9751" max="9752" width="13" style="268" customWidth="1"/>
    <col min="9753" max="9754" width="13.42578125" style="268" customWidth="1"/>
    <col min="9755" max="9756" width="11.28515625" style="268" customWidth="1"/>
    <col min="9757" max="9757" width="9.5703125" style="268" customWidth="1"/>
    <col min="9758" max="9758" width="11.28515625" style="268" customWidth="1"/>
    <col min="9759" max="9759" width="9" style="268" customWidth="1"/>
    <col min="9760" max="9760" width="9.7109375" style="268" customWidth="1"/>
    <col min="9761" max="9761" width="8.5703125" style="268" customWidth="1"/>
    <col min="9762" max="9762" width="9.5703125" style="268" customWidth="1"/>
    <col min="9763" max="9763" width="11.42578125" style="268" customWidth="1"/>
    <col min="9764" max="9764" width="10.140625" style="268" customWidth="1"/>
    <col min="9765" max="9765" width="9.5703125" style="268" customWidth="1"/>
    <col min="9766" max="9766" width="10.42578125" style="268" customWidth="1"/>
    <col min="9767" max="9768" width="12.42578125" style="268" customWidth="1"/>
    <col min="9769" max="9769" width="11.42578125" style="268" customWidth="1"/>
    <col min="9770" max="9982" width="9.140625" style="268"/>
    <col min="9983" max="9983" width="5.28515625" style="268" customWidth="1"/>
    <col min="9984" max="9984" width="35.42578125" style="268" customWidth="1"/>
    <col min="9985" max="9985" width="13.7109375" style="268" customWidth="1"/>
    <col min="9986" max="9986" width="11.7109375" style="268" customWidth="1"/>
    <col min="9987" max="9987" width="11.5703125" style="268" customWidth="1"/>
    <col min="9988" max="9988" width="11.140625" style="268" customWidth="1"/>
    <col min="9989" max="9999" width="12.140625" style="268" customWidth="1"/>
    <col min="10000" max="10004" width="13.7109375" style="268" customWidth="1"/>
    <col min="10005" max="10005" width="11.5703125" style="268" customWidth="1"/>
    <col min="10006" max="10006" width="10.42578125" style="268" customWidth="1"/>
    <col min="10007" max="10008" width="13" style="268" customWidth="1"/>
    <col min="10009" max="10010" width="13.42578125" style="268" customWidth="1"/>
    <col min="10011" max="10012" width="11.28515625" style="268" customWidth="1"/>
    <col min="10013" max="10013" width="9.5703125" style="268" customWidth="1"/>
    <col min="10014" max="10014" width="11.28515625" style="268" customWidth="1"/>
    <col min="10015" max="10015" width="9" style="268" customWidth="1"/>
    <col min="10016" max="10016" width="9.7109375" style="268" customWidth="1"/>
    <col min="10017" max="10017" width="8.5703125" style="268" customWidth="1"/>
    <col min="10018" max="10018" width="9.5703125" style="268" customWidth="1"/>
    <col min="10019" max="10019" width="11.42578125" style="268" customWidth="1"/>
    <col min="10020" max="10020" width="10.140625" style="268" customWidth="1"/>
    <col min="10021" max="10021" width="9.5703125" style="268" customWidth="1"/>
    <col min="10022" max="10022" width="10.42578125" style="268" customWidth="1"/>
    <col min="10023" max="10024" width="12.42578125" style="268" customWidth="1"/>
    <col min="10025" max="10025" width="11.42578125" style="268" customWidth="1"/>
    <col min="10026" max="10238" width="9.140625" style="268"/>
    <col min="10239" max="10239" width="5.28515625" style="268" customWidth="1"/>
    <col min="10240" max="10240" width="35.42578125" style="268" customWidth="1"/>
    <col min="10241" max="10241" width="13.7109375" style="268" customWidth="1"/>
    <col min="10242" max="10242" width="11.7109375" style="268" customWidth="1"/>
    <col min="10243" max="10243" width="11.5703125" style="268" customWidth="1"/>
    <col min="10244" max="10244" width="11.140625" style="268" customWidth="1"/>
    <col min="10245" max="10255" width="12.140625" style="268" customWidth="1"/>
    <col min="10256" max="10260" width="13.7109375" style="268" customWidth="1"/>
    <col min="10261" max="10261" width="11.5703125" style="268" customWidth="1"/>
    <col min="10262" max="10262" width="10.42578125" style="268" customWidth="1"/>
    <col min="10263" max="10264" width="13" style="268" customWidth="1"/>
    <col min="10265" max="10266" width="13.42578125" style="268" customWidth="1"/>
    <col min="10267" max="10268" width="11.28515625" style="268" customWidth="1"/>
    <col min="10269" max="10269" width="9.5703125" style="268" customWidth="1"/>
    <col min="10270" max="10270" width="11.28515625" style="268" customWidth="1"/>
    <col min="10271" max="10271" width="9" style="268" customWidth="1"/>
    <col min="10272" max="10272" width="9.7109375" style="268" customWidth="1"/>
    <col min="10273" max="10273" width="8.5703125" style="268" customWidth="1"/>
    <col min="10274" max="10274" width="9.5703125" style="268" customWidth="1"/>
    <col min="10275" max="10275" width="11.42578125" style="268" customWidth="1"/>
    <col min="10276" max="10276" width="10.140625" style="268" customWidth="1"/>
    <col min="10277" max="10277" width="9.5703125" style="268" customWidth="1"/>
    <col min="10278" max="10278" width="10.42578125" style="268" customWidth="1"/>
    <col min="10279" max="10280" width="12.42578125" style="268" customWidth="1"/>
    <col min="10281" max="10281" width="11.42578125" style="268" customWidth="1"/>
    <col min="10282" max="10494" width="9.140625" style="268"/>
    <col min="10495" max="10495" width="5.28515625" style="268" customWidth="1"/>
    <col min="10496" max="10496" width="35.42578125" style="268" customWidth="1"/>
    <col min="10497" max="10497" width="13.7109375" style="268" customWidth="1"/>
    <col min="10498" max="10498" width="11.7109375" style="268" customWidth="1"/>
    <col min="10499" max="10499" width="11.5703125" style="268" customWidth="1"/>
    <col min="10500" max="10500" width="11.140625" style="268" customWidth="1"/>
    <col min="10501" max="10511" width="12.140625" style="268" customWidth="1"/>
    <col min="10512" max="10516" width="13.7109375" style="268" customWidth="1"/>
    <col min="10517" max="10517" width="11.5703125" style="268" customWidth="1"/>
    <col min="10518" max="10518" width="10.42578125" style="268" customWidth="1"/>
    <col min="10519" max="10520" width="13" style="268" customWidth="1"/>
    <col min="10521" max="10522" width="13.42578125" style="268" customWidth="1"/>
    <col min="10523" max="10524" width="11.28515625" style="268" customWidth="1"/>
    <col min="10525" max="10525" width="9.5703125" style="268" customWidth="1"/>
    <col min="10526" max="10526" width="11.28515625" style="268" customWidth="1"/>
    <col min="10527" max="10527" width="9" style="268" customWidth="1"/>
    <col min="10528" max="10528" width="9.7109375" style="268" customWidth="1"/>
    <col min="10529" max="10529" width="8.5703125" style="268" customWidth="1"/>
    <col min="10530" max="10530" width="9.5703125" style="268" customWidth="1"/>
    <col min="10531" max="10531" width="11.42578125" style="268" customWidth="1"/>
    <col min="10532" max="10532" width="10.140625" style="268" customWidth="1"/>
    <col min="10533" max="10533" width="9.5703125" style="268" customWidth="1"/>
    <col min="10534" max="10534" width="10.42578125" style="268" customWidth="1"/>
    <col min="10535" max="10536" width="12.42578125" style="268" customWidth="1"/>
    <col min="10537" max="10537" width="11.42578125" style="268" customWidth="1"/>
    <col min="10538" max="10750" width="9.140625" style="268"/>
    <col min="10751" max="10751" width="5.28515625" style="268" customWidth="1"/>
    <col min="10752" max="10752" width="35.42578125" style="268" customWidth="1"/>
    <col min="10753" max="10753" width="13.7109375" style="268" customWidth="1"/>
    <col min="10754" max="10754" width="11.7109375" style="268" customWidth="1"/>
    <col min="10755" max="10755" width="11.5703125" style="268" customWidth="1"/>
    <col min="10756" max="10756" width="11.140625" style="268" customWidth="1"/>
    <col min="10757" max="10767" width="12.140625" style="268" customWidth="1"/>
    <col min="10768" max="10772" width="13.7109375" style="268" customWidth="1"/>
    <col min="10773" max="10773" width="11.5703125" style="268" customWidth="1"/>
    <col min="10774" max="10774" width="10.42578125" style="268" customWidth="1"/>
    <col min="10775" max="10776" width="13" style="268" customWidth="1"/>
    <col min="10777" max="10778" width="13.42578125" style="268" customWidth="1"/>
    <col min="10779" max="10780" width="11.28515625" style="268" customWidth="1"/>
    <col min="10781" max="10781" width="9.5703125" style="268" customWidth="1"/>
    <col min="10782" max="10782" width="11.28515625" style="268" customWidth="1"/>
    <col min="10783" max="10783" width="9" style="268" customWidth="1"/>
    <col min="10784" max="10784" width="9.7109375" style="268" customWidth="1"/>
    <col min="10785" max="10785" width="8.5703125" style="268" customWidth="1"/>
    <col min="10786" max="10786" width="9.5703125" style="268" customWidth="1"/>
    <col min="10787" max="10787" width="11.42578125" style="268" customWidth="1"/>
    <col min="10788" max="10788" width="10.140625" style="268" customWidth="1"/>
    <col min="10789" max="10789" width="9.5703125" style="268" customWidth="1"/>
    <col min="10790" max="10790" width="10.42578125" style="268" customWidth="1"/>
    <col min="10791" max="10792" width="12.42578125" style="268" customWidth="1"/>
    <col min="10793" max="10793" width="11.42578125" style="268" customWidth="1"/>
    <col min="10794" max="11006" width="9.140625" style="268"/>
    <col min="11007" max="11007" width="5.28515625" style="268" customWidth="1"/>
    <col min="11008" max="11008" width="35.42578125" style="268" customWidth="1"/>
    <col min="11009" max="11009" width="13.7109375" style="268" customWidth="1"/>
    <col min="11010" max="11010" width="11.7109375" style="268" customWidth="1"/>
    <col min="11011" max="11011" width="11.5703125" style="268" customWidth="1"/>
    <col min="11012" max="11012" width="11.140625" style="268" customWidth="1"/>
    <col min="11013" max="11023" width="12.140625" style="268" customWidth="1"/>
    <col min="11024" max="11028" width="13.7109375" style="268" customWidth="1"/>
    <col min="11029" max="11029" width="11.5703125" style="268" customWidth="1"/>
    <col min="11030" max="11030" width="10.42578125" style="268" customWidth="1"/>
    <col min="11031" max="11032" width="13" style="268" customWidth="1"/>
    <col min="11033" max="11034" width="13.42578125" style="268" customWidth="1"/>
    <col min="11035" max="11036" width="11.28515625" style="268" customWidth="1"/>
    <col min="11037" max="11037" width="9.5703125" style="268" customWidth="1"/>
    <col min="11038" max="11038" width="11.28515625" style="268" customWidth="1"/>
    <col min="11039" max="11039" width="9" style="268" customWidth="1"/>
    <col min="11040" max="11040" width="9.7109375" style="268" customWidth="1"/>
    <col min="11041" max="11041" width="8.5703125" style="268" customWidth="1"/>
    <col min="11042" max="11042" width="9.5703125" style="268" customWidth="1"/>
    <col min="11043" max="11043" width="11.42578125" style="268" customWidth="1"/>
    <col min="11044" max="11044" width="10.140625" style="268" customWidth="1"/>
    <col min="11045" max="11045" width="9.5703125" style="268" customWidth="1"/>
    <col min="11046" max="11046" width="10.42578125" style="268" customWidth="1"/>
    <col min="11047" max="11048" width="12.42578125" style="268" customWidth="1"/>
    <col min="11049" max="11049" width="11.42578125" style="268" customWidth="1"/>
    <col min="11050" max="11262" width="9.140625" style="268"/>
    <col min="11263" max="11263" width="5.28515625" style="268" customWidth="1"/>
    <col min="11264" max="11264" width="35.42578125" style="268" customWidth="1"/>
    <col min="11265" max="11265" width="13.7109375" style="268" customWidth="1"/>
    <col min="11266" max="11266" width="11.7109375" style="268" customWidth="1"/>
    <col min="11267" max="11267" width="11.5703125" style="268" customWidth="1"/>
    <col min="11268" max="11268" width="11.140625" style="268" customWidth="1"/>
    <col min="11269" max="11279" width="12.140625" style="268" customWidth="1"/>
    <col min="11280" max="11284" width="13.7109375" style="268" customWidth="1"/>
    <col min="11285" max="11285" width="11.5703125" style="268" customWidth="1"/>
    <col min="11286" max="11286" width="10.42578125" style="268" customWidth="1"/>
    <col min="11287" max="11288" width="13" style="268" customWidth="1"/>
    <col min="11289" max="11290" width="13.42578125" style="268" customWidth="1"/>
    <col min="11291" max="11292" width="11.28515625" style="268" customWidth="1"/>
    <col min="11293" max="11293" width="9.5703125" style="268" customWidth="1"/>
    <col min="11294" max="11294" width="11.28515625" style="268" customWidth="1"/>
    <col min="11295" max="11295" width="9" style="268" customWidth="1"/>
    <col min="11296" max="11296" width="9.7109375" style="268" customWidth="1"/>
    <col min="11297" max="11297" width="8.5703125" style="268" customWidth="1"/>
    <col min="11298" max="11298" width="9.5703125" style="268" customWidth="1"/>
    <col min="11299" max="11299" width="11.42578125" style="268" customWidth="1"/>
    <col min="11300" max="11300" width="10.140625" style="268" customWidth="1"/>
    <col min="11301" max="11301" width="9.5703125" style="268" customWidth="1"/>
    <col min="11302" max="11302" width="10.42578125" style="268" customWidth="1"/>
    <col min="11303" max="11304" width="12.42578125" style="268" customWidth="1"/>
    <col min="11305" max="11305" width="11.42578125" style="268" customWidth="1"/>
    <col min="11306" max="11518" width="9.140625" style="268"/>
    <col min="11519" max="11519" width="5.28515625" style="268" customWidth="1"/>
    <col min="11520" max="11520" width="35.42578125" style="268" customWidth="1"/>
    <col min="11521" max="11521" width="13.7109375" style="268" customWidth="1"/>
    <col min="11522" max="11522" width="11.7109375" style="268" customWidth="1"/>
    <col min="11523" max="11523" width="11.5703125" style="268" customWidth="1"/>
    <col min="11524" max="11524" width="11.140625" style="268" customWidth="1"/>
    <col min="11525" max="11535" width="12.140625" style="268" customWidth="1"/>
    <col min="11536" max="11540" width="13.7109375" style="268" customWidth="1"/>
    <col min="11541" max="11541" width="11.5703125" style="268" customWidth="1"/>
    <col min="11542" max="11542" width="10.42578125" style="268" customWidth="1"/>
    <col min="11543" max="11544" width="13" style="268" customWidth="1"/>
    <col min="11545" max="11546" width="13.42578125" style="268" customWidth="1"/>
    <col min="11547" max="11548" width="11.28515625" style="268" customWidth="1"/>
    <col min="11549" max="11549" width="9.5703125" style="268" customWidth="1"/>
    <col min="11550" max="11550" width="11.28515625" style="268" customWidth="1"/>
    <col min="11551" max="11551" width="9" style="268" customWidth="1"/>
    <col min="11552" max="11552" width="9.7109375" style="268" customWidth="1"/>
    <col min="11553" max="11553" width="8.5703125" style="268" customWidth="1"/>
    <col min="11554" max="11554" width="9.5703125" style="268" customWidth="1"/>
    <col min="11555" max="11555" width="11.42578125" style="268" customWidth="1"/>
    <col min="11556" max="11556" width="10.140625" style="268" customWidth="1"/>
    <col min="11557" max="11557" width="9.5703125" style="268" customWidth="1"/>
    <col min="11558" max="11558" width="10.42578125" style="268" customWidth="1"/>
    <col min="11559" max="11560" width="12.42578125" style="268" customWidth="1"/>
    <col min="11561" max="11561" width="11.42578125" style="268" customWidth="1"/>
    <col min="11562" max="11774" width="9.140625" style="268"/>
    <col min="11775" max="11775" width="5.28515625" style="268" customWidth="1"/>
    <col min="11776" max="11776" width="35.42578125" style="268" customWidth="1"/>
    <col min="11777" max="11777" width="13.7109375" style="268" customWidth="1"/>
    <col min="11778" max="11778" width="11.7109375" style="268" customWidth="1"/>
    <col min="11779" max="11779" width="11.5703125" style="268" customWidth="1"/>
    <col min="11780" max="11780" width="11.140625" style="268" customWidth="1"/>
    <col min="11781" max="11791" width="12.140625" style="268" customWidth="1"/>
    <col min="11792" max="11796" width="13.7109375" style="268" customWidth="1"/>
    <col min="11797" max="11797" width="11.5703125" style="268" customWidth="1"/>
    <col min="11798" max="11798" width="10.42578125" style="268" customWidth="1"/>
    <col min="11799" max="11800" width="13" style="268" customWidth="1"/>
    <col min="11801" max="11802" width="13.42578125" style="268" customWidth="1"/>
    <col min="11803" max="11804" width="11.28515625" style="268" customWidth="1"/>
    <col min="11805" max="11805" width="9.5703125" style="268" customWidth="1"/>
    <col min="11806" max="11806" width="11.28515625" style="268" customWidth="1"/>
    <col min="11807" max="11807" width="9" style="268" customWidth="1"/>
    <col min="11808" max="11808" width="9.7109375" style="268" customWidth="1"/>
    <col min="11809" max="11809" width="8.5703125" style="268" customWidth="1"/>
    <col min="11810" max="11810" width="9.5703125" style="268" customWidth="1"/>
    <col min="11811" max="11811" width="11.42578125" style="268" customWidth="1"/>
    <col min="11812" max="11812" width="10.140625" style="268" customWidth="1"/>
    <col min="11813" max="11813" width="9.5703125" style="268" customWidth="1"/>
    <col min="11814" max="11814" width="10.42578125" style="268" customWidth="1"/>
    <col min="11815" max="11816" width="12.42578125" style="268" customWidth="1"/>
    <col min="11817" max="11817" width="11.42578125" style="268" customWidth="1"/>
    <col min="11818" max="12030" width="9.140625" style="268"/>
    <col min="12031" max="12031" width="5.28515625" style="268" customWidth="1"/>
    <col min="12032" max="12032" width="35.42578125" style="268" customWidth="1"/>
    <col min="12033" max="12033" width="13.7109375" style="268" customWidth="1"/>
    <col min="12034" max="12034" width="11.7109375" style="268" customWidth="1"/>
    <col min="12035" max="12035" width="11.5703125" style="268" customWidth="1"/>
    <col min="12036" max="12036" width="11.140625" style="268" customWidth="1"/>
    <col min="12037" max="12047" width="12.140625" style="268" customWidth="1"/>
    <col min="12048" max="12052" width="13.7109375" style="268" customWidth="1"/>
    <col min="12053" max="12053" width="11.5703125" style="268" customWidth="1"/>
    <col min="12054" max="12054" width="10.42578125" style="268" customWidth="1"/>
    <col min="12055" max="12056" width="13" style="268" customWidth="1"/>
    <col min="12057" max="12058" width="13.42578125" style="268" customWidth="1"/>
    <col min="12059" max="12060" width="11.28515625" style="268" customWidth="1"/>
    <col min="12061" max="12061" width="9.5703125" style="268" customWidth="1"/>
    <col min="12062" max="12062" width="11.28515625" style="268" customWidth="1"/>
    <col min="12063" max="12063" width="9" style="268" customWidth="1"/>
    <col min="12064" max="12064" width="9.7109375" style="268" customWidth="1"/>
    <col min="12065" max="12065" width="8.5703125" style="268" customWidth="1"/>
    <col min="12066" max="12066" width="9.5703125" style="268" customWidth="1"/>
    <col min="12067" max="12067" width="11.42578125" style="268" customWidth="1"/>
    <col min="12068" max="12068" width="10.140625" style="268" customWidth="1"/>
    <col min="12069" max="12069" width="9.5703125" style="268" customWidth="1"/>
    <col min="12070" max="12070" width="10.42578125" style="268" customWidth="1"/>
    <col min="12071" max="12072" width="12.42578125" style="268" customWidth="1"/>
    <col min="12073" max="12073" width="11.42578125" style="268" customWidth="1"/>
    <col min="12074" max="12286" width="9.140625" style="268"/>
    <col min="12287" max="12287" width="5.28515625" style="268" customWidth="1"/>
    <col min="12288" max="12288" width="35.42578125" style="268" customWidth="1"/>
    <col min="12289" max="12289" width="13.7109375" style="268" customWidth="1"/>
    <col min="12290" max="12290" width="11.7109375" style="268" customWidth="1"/>
    <col min="12291" max="12291" width="11.5703125" style="268" customWidth="1"/>
    <col min="12292" max="12292" width="11.140625" style="268" customWidth="1"/>
    <col min="12293" max="12303" width="12.140625" style="268" customWidth="1"/>
    <col min="12304" max="12308" width="13.7109375" style="268" customWidth="1"/>
    <col min="12309" max="12309" width="11.5703125" style="268" customWidth="1"/>
    <col min="12310" max="12310" width="10.42578125" style="268" customWidth="1"/>
    <col min="12311" max="12312" width="13" style="268" customWidth="1"/>
    <col min="12313" max="12314" width="13.42578125" style="268" customWidth="1"/>
    <col min="12315" max="12316" width="11.28515625" style="268" customWidth="1"/>
    <col min="12317" max="12317" width="9.5703125" style="268" customWidth="1"/>
    <col min="12318" max="12318" width="11.28515625" style="268" customWidth="1"/>
    <col min="12319" max="12319" width="9" style="268" customWidth="1"/>
    <col min="12320" max="12320" width="9.7109375" style="268" customWidth="1"/>
    <col min="12321" max="12321" width="8.5703125" style="268" customWidth="1"/>
    <col min="12322" max="12322" width="9.5703125" style="268" customWidth="1"/>
    <col min="12323" max="12323" width="11.42578125" style="268" customWidth="1"/>
    <col min="12324" max="12324" width="10.140625" style="268" customWidth="1"/>
    <col min="12325" max="12325" width="9.5703125" style="268" customWidth="1"/>
    <col min="12326" max="12326" width="10.42578125" style="268" customWidth="1"/>
    <col min="12327" max="12328" width="12.42578125" style="268" customWidth="1"/>
    <col min="12329" max="12329" width="11.42578125" style="268" customWidth="1"/>
    <col min="12330" max="12542" width="9.140625" style="268"/>
    <col min="12543" max="12543" width="5.28515625" style="268" customWidth="1"/>
    <col min="12544" max="12544" width="35.42578125" style="268" customWidth="1"/>
    <col min="12545" max="12545" width="13.7109375" style="268" customWidth="1"/>
    <col min="12546" max="12546" width="11.7109375" style="268" customWidth="1"/>
    <col min="12547" max="12547" width="11.5703125" style="268" customWidth="1"/>
    <col min="12548" max="12548" width="11.140625" style="268" customWidth="1"/>
    <col min="12549" max="12559" width="12.140625" style="268" customWidth="1"/>
    <col min="12560" max="12564" width="13.7109375" style="268" customWidth="1"/>
    <col min="12565" max="12565" width="11.5703125" style="268" customWidth="1"/>
    <col min="12566" max="12566" width="10.42578125" style="268" customWidth="1"/>
    <col min="12567" max="12568" width="13" style="268" customWidth="1"/>
    <col min="12569" max="12570" width="13.42578125" style="268" customWidth="1"/>
    <col min="12571" max="12572" width="11.28515625" style="268" customWidth="1"/>
    <col min="12573" max="12573" width="9.5703125" style="268" customWidth="1"/>
    <col min="12574" max="12574" width="11.28515625" style="268" customWidth="1"/>
    <col min="12575" max="12575" width="9" style="268" customWidth="1"/>
    <col min="12576" max="12576" width="9.7109375" style="268" customWidth="1"/>
    <col min="12577" max="12577" width="8.5703125" style="268" customWidth="1"/>
    <col min="12578" max="12578" width="9.5703125" style="268" customWidth="1"/>
    <col min="12579" max="12579" width="11.42578125" style="268" customWidth="1"/>
    <col min="12580" max="12580" width="10.140625" style="268" customWidth="1"/>
    <col min="12581" max="12581" width="9.5703125" style="268" customWidth="1"/>
    <col min="12582" max="12582" width="10.42578125" style="268" customWidth="1"/>
    <col min="12583" max="12584" width="12.42578125" style="268" customWidth="1"/>
    <col min="12585" max="12585" width="11.42578125" style="268" customWidth="1"/>
    <col min="12586" max="12798" width="9.140625" style="268"/>
    <col min="12799" max="12799" width="5.28515625" style="268" customWidth="1"/>
    <col min="12800" max="12800" width="35.42578125" style="268" customWidth="1"/>
    <col min="12801" max="12801" width="13.7109375" style="268" customWidth="1"/>
    <col min="12802" max="12802" width="11.7109375" style="268" customWidth="1"/>
    <col min="12803" max="12803" width="11.5703125" style="268" customWidth="1"/>
    <col min="12804" max="12804" width="11.140625" style="268" customWidth="1"/>
    <col min="12805" max="12815" width="12.140625" style="268" customWidth="1"/>
    <col min="12816" max="12820" width="13.7109375" style="268" customWidth="1"/>
    <col min="12821" max="12821" width="11.5703125" style="268" customWidth="1"/>
    <col min="12822" max="12822" width="10.42578125" style="268" customWidth="1"/>
    <col min="12823" max="12824" width="13" style="268" customWidth="1"/>
    <col min="12825" max="12826" width="13.42578125" style="268" customWidth="1"/>
    <col min="12827" max="12828" width="11.28515625" style="268" customWidth="1"/>
    <col min="12829" max="12829" width="9.5703125" style="268" customWidth="1"/>
    <col min="12830" max="12830" width="11.28515625" style="268" customWidth="1"/>
    <col min="12831" max="12831" width="9" style="268" customWidth="1"/>
    <col min="12832" max="12832" width="9.7109375" style="268" customWidth="1"/>
    <col min="12833" max="12833" width="8.5703125" style="268" customWidth="1"/>
    <col min="12834" max="12834" width="9.5703125" style="268" customWidth="1"/>
    <col min="12835" max="12835" width="11.42578125" style="268" customWidth="1"/>
    <col min="12836" max="12836" width="10.140625" style="268" customWidth="1"/>
    <col min="12837" max="12837" width="9.5703125" style="268" customWidth="1"/>
    <col min="12838" max="12838" width="10.42578125" style="268" customWidth="1"/>
    <col min="12839" max="12840" width="12.42578125" style="268" customWidth="1"/>
    <col min="12841" max="12841" width="11.42578125" style="268" customWidth="1"/>
    <col min="12842" max="13054" width="9.140625" style="268"/>
    <col min="13055" max="13055" width="5.28515625" style="268" customWidth="1"/>
    <col min="13056" max="13056" width="35.42578125" style="268" customWidth="1"/>
    <col min="13057" max="13057" width="13.7109375" style="268" customWidth="1"/>
    <col min="13058" max="13058" width="11.7109375" style="268" customWidth="1"/>
    <col min="13059" max="13059" width="11.5703125" style="268" customWidth="1"/>
    <col min="13060" max="13060" width="11.140625" style="268" customWidth="1"/>
    <col min="13061" max="13071" width="12.140625" style="268" customWidth="1"/>
    <col min="13072" max="13076" width="13.7109375" style="268" customWidth="1"/>
    <col min="13077" max="13077" width="11.5703125" style="268" customWidth="1"/>
    <col min="13078" max="13078" width="10.42578125" style="268" customWidth="1"/>
    <col min="13079" max="13080" width="13" style="268" customWidth="1"/>
    <col min="13081" max="13082" width="13.42578125" style="268" customWidth="1"/>
    <col min="13083" max="13084" width="11.28515625" style="268" customWidth="1"/>
    <col min="13085" max="13085" width="9.5703125" style="268" customWidth="1"/>
    <col min="13086" max="13086" width="11.28515625" style="268" customWidth="1"/>
    <col min="13087" max="13087" width="9" style="268" customWidth="1"/>
    <col min="13088" max="13088" width="9.7109375" style="268" customWidth="1"/>
    <col min="13089" max="13089" width="8.5703125" style="268" customWidth="1"/>
    <col min="13090" max="13090" width="9.5703125" style="268" customWidth="1"/>
    <col min="13091" max="13091" width="11.42578125" style="268" customWidth="1"/>
    <col min="13092" max="13092" width="10.140625" style="268" customWidth="1"/>
    <col min="13093" max="13093" width="9.5703125" style="268" customWidth="1"/>
    <col min="13094" max="13094" width="10.42578125" style="268" customWidth="1"/>
    <col min="13095" max="13096" width="12.42578125" style="268" customWidth="1"/>
    <col min="13097" max="13097" width="11.42578125" style="268" customWidth="1"/>
    <col min="13098" max="13310" width="9.140625" style="268"/>
    <col min="13311" max="13311" width="5.28515625" style="268" customWidth="1"/>
    <col min="13312" max="13312" width="35.42578125" style="268" customWidth="1"/>
    <col min="13313" max="13313" width="13.7109375" style="268" customWidth="1"/>
    <col min="13314" max="13314" width="11.7109375" style="268" customWidth="1"/>
    <col min="13315" max="13315" width="11.5703125" style="268" customWidth="1"/>
    <col min="13316" max="13316" width="11.140625" style="268" customWidth="1"/>
    <col min="13317" max="13327" width="12.140625" style="268" customWidth="1"/>
    <col min="13328" max="13332" width="13.7109375" style="268" customWidth="1"/>
    <col min="13333" max="13333" width="11.5703125" style="268" customWidth="1"/>
    <col min="13334" max="13334" width="10.42578125" style="268" customWidth="1"/>
    <col min="13335" max="13336" width="13" style="268" customWidth="1"/>
    <col min="13337" max="13338" width="13.42578125" style="268" customWidth="1"/>
    <col min="13339" max="13340" width="11.28515625" style="268" customWidth="1"/>
    <col min="13341" max="13341" width="9.5703125" style="268" customWidth="1"/>
    <col min="13342" max="13342" width="11.28515625" style="268" customWidth="1"/>
    <col min="13343" max="13343" width="9" style="268" customWidth="1"/>
    <col min="13344" max="13344" width="9.7109375" style="268" customWidth="1"/>
    <col min="13345" max="13345" width="8.5703125" style="268" customWidth="1"/>
    <col min="13346" max="13346" width="9.5703125" style="268" customWidth="1"/>
    <col min="13347" max="13347" width="11.42578125" style="268" customWidth="1"/>
    <col min="13348" max="13348" width="10.140625" style="268" customWidth="1"/>
    <col min="13349" max="13349" width="9.5703125" style="268" customWidth="1"/>
    <col min="13350" max="13350" width="10.42578125" style="268" customWidth="1"/>
    <col min="13351" max="13352" width="12.42578125" style="268" customWidth="1"/>
    <col min="13353" max="13353" width="11.42578125" style="268" customWidth="1"/>
    <col min="13354" max="13566" width="9.140625" style="268"/>
    <col min="13567" max="13567" width="5.28515625" style="268" customWidth="1"/>
    <col min="13568" max="13568" width="35.42578125" style="268" customWidth="1"/>
    <col min="13569" max="13569" width="13.7109375" style="268" customWidth="1"/>
    <col min="13570" max="13570" width="11.7109375" style="268" customWidth="1"/>
    <col min="13571" max="13571" width="11.5703125" style="268" customWidth="1"/>
    <col min="13572" max="13572" width="11.140625" style="268" customWidth="1"/>
    <col min="13573" max="13583" width="12.140625" style="268" customWidth="1"/>
    <col min="13584" max="13588" width="13.7109375" style="268" customWidth="1"/>
    <col min="13589" max="13589" width="11.5703125" style="268" customWidth="1"/>
    <col min="13590" max="13590" width="10.42578125" style="268" customWidth="1"/>
    <col min="13591" max="13592" width="13" style="268" customWidth="1"/>
    <col min="13593" max="13594" width="13.42578125" style="268" customWidth="1"/>
    <col min="13595" max="13596" width="11.28515625" style="268" customWidth="1"/>
    <col min="13597" max="13597" width="9.5703125" style="268" customWidth="1"/>
    <col min="13598" max="13598" width="11.28515625" style="268" customWidth="1"/>
    <col min="13599" max="13599" width="9" style="268" customWidth="1"/>
    <col min="13600" max="13600" width="9.7109375" style="268" customWidth="1"/>
    <col min="13601" max="13601" width="8.5703125" style="268" customWidth="1"/>
    <col min="13602" max="13602" width="9.5703125" style="268" customWidth="1"/>
    <col min="13603" max="13603" width="11.42578125" style="268" customWidth="1"/>
    <col min="13604" max="13604" width="10.140625" style="268" customWidth="1"/>
    <col min="13605" max="13605" width="9.5703125" style="268" customWidth="1"/>
    <col min="13606" max="13606" width="10.42578125" style="268" customWidth="1"/>
    <col min="13607" max="13608" width="12.42578125" style="268" customWidth="1"/>
    <col min="13609" max="13609" width="11.42578125" style="268" customWidth="1"/>
    <col min="13610" max="13822" width="9.140625" style="268"/>
    <col min="13823" max="13823" width="5.28515625" style="268" customWidth="1"/>
    <col min="13824" max="13824" width="35.42578125" style="268" customWidth="1"/>
    <col min="13825" max="13825" width="13.7109375" style="268" customWidth="1"/>
    <col min="13826" max="13826" width="11.7109375" style="268" customWidth="1"/>
    <col min="13827" max="13827" width="11.5703125" style="268" customWidth="1"/>
    <col min="13828" max="13828" width="11.140625" style="268" customWidth="1"/>
    <col min="13829" max="13839" width="12.140625" style="268" customWidth="1"/>
    <col min="13840" max="13844" width="13.7109375" style="268" customWidth="1"/>
    <col min="13845" max="13845" width="11.5703125" style="268" customWidth="1"/>
    <col min="13846" max="13846" width="10.42578125" style="268" customWidth="1"/>
    <col min="13847" max="13848" width="13" style="268" customWidth="1"/>
    <col min="13849" max="13850" width="13.42578125" style="268" customWidth="1"/>
    <col min="13851" max="13852" width="11.28515625" style="268" customWidth="1"/>
    <col min="13853" max="13853" width="9.5703125" style="268" customWidth="1"/>
    <col min="13854" max="13854" width="11.28515625" style="268" customWidth="1"/>
    <col min="13855" max="13855" width="9" style="268" customWidth="1"/>
    <col min="13856" max="13856" width="9.7109375" style="268" customWidth="1"/>
    <col min="13857" max="13857" width="8.5703125" style="268" customWidth="1"/>
    <col min="13858" max="13858" width="9.5703125" style="268" customWidth="1"/>
    <col min="13859" max="13859" width="11.42578125" style="268" customWidth="1"/>
    <col min="13860" max="13860" width="10.140625" style="268" customWidth="1"/>
    <col min="13861" max="13861" width="9.5703125" style="268" customWidth="1"/>
    <col min="13862" max="13862" width="10.42578125" style="268" customWidth="1"/>
    <col min="13863" max="13864" width="12.42578125" style="268" customWidth="1"/>
    <col min="13865" max="13865" width="11.42578125" style="268" customWidth="1"/>
    <col min="13866" max="14078" width="9.140625" style="268"/>
    <col min="14079" max="14079" width="5.28515625" style="268" customWidth="1"/>
    <col min="14080" max="14080" width="35.42578125" style="268" customWidth="1"/>
    <col min="14081" max="14081" width="13.7109375" style="268" customWidth="1"/>
    <col min="14082" max="14082" width="11.7109375" style="268" customWidth="1"/>
    <col min="14083" max="14083" width="11.5703125" style="268" customWidth="1"/>
    <col min="14084" max="14084" width="11.140625" style="268" customWidth="1"/>
    <col min="14085" max="14095" width="12.140625" style="268" customWidth="1"/>
    <col min="14096" max="14100" width="13.7109375" style="268" customWidth="1"/>
    <col min="14101" max="14101" width="11.5703125" style="268" customWidth="1"/>
    <col min="14102" max="14102" width="10.42578125" style="268" customWidth="1"/>
    <col min="14103" max="14104" width="13" style="268" customWidth="1"/>
    <col min="14105" max="14106" width="13.42578125" style="268" customWidth="1"/>
    <col min="14107" max="14108" width="11.28515625" style="268" customWidth="1"/>
    <col min="14109" max="14109" width="9.5703125" style="268" customWidth="1"/>
    <col min="14110" max="14110" width="11.28515625" style="268" customWidth="1"/>
    <col min="14111" max="14111" width="9" style="268" customWidth="1"/>
    <col min="14112" max="14112" width="9.7109375" style="268" customWidth="1"/>
    <col min="14113" max="14113" width="8.5703125" style="268" customWidth="1"/>
    <col min="14114" max="14114" width="9.5703125" style="268" customWidth="1"/>
    <col min="14115" max="14115" width="11.42578125" style="268" customWidth="1"/>
    <col min="14116" max="14116" width="10.140625" style="268" customWidth="1"/>
    <col min="14117" max="14117" width="9.5703125" style="268" customWidth="1"/>
    <col min="14118" max="14118" width="10.42578125" style="268" customWidth="1"/>
    <col min="14119" max="14120" width="12.42578125" style="268" customWidth="1"/>
    <col min="14121" max="14121" width="11.42578125" style="268" customWidth="1"/>
    <col min="14122" max="14334" width="9.140625" style="268"/>
    <col min="14335" max="14335" width="5.28515625" style="268" customWidth="1"/>
    <col min="14336" max="14336" width="35.42578125" style="268" customWidth="1"/>
    <col min="14337" max="14337" width="13.7109375" style="268" customWidth="1"/>
    <col min="14338" max="14338" width="11.7109375" style="268" customWidth="1"/>
    <col min="14339" max="14339" width="11.5703125" style="268" customWidth="1"/>
    <col min="14340" max="14340" width="11.140625" style="268" customWidth="1"/>
    <col min="14341" max="14351" width="12.140625" style="268" customWidth="1"/>
    <col min="14352" max="14356" width="13.7109375" style="268" customWidth="1"/>
    <col min="14357" max="14357" width="11.5703125" style="268" customWidth="1"/>
    <col min="14358" max="14358" width="10.42578125" style="268" customWidth="1"/>
    <col min="14359" max="14360" width="13" style="268" customWidth="1"/>
    <col min="14361" max="14362" width="13.42578125" style="268" customWidth="1"/>
    <col min="14363" max="14364" width="11.28515625" style="268" customWidth="1"/>
    <col min="14365" max="14365" width="9.5703125" style="268" customWidth="1"/>
    <col min="14366" max="14366" width="11.28515625" style="268" customWidth="1"/>
    <col min="14367" max="14367" width="9" style="268" customWidth="1"/>
    <col min="14368" max="14368" width="9.7109375" style="268" customWidth="1"/>
    <col min="14369" max="14369" width="8.5703125" style="268" customWidth="1"/>
    <col min="14370" max="14370" width="9.5703125" style="268" customWidth="1"/>
    <col min="14371" max="14371" width="11.42578125" style="268" customWidth="1"/>
    <col min="14372" max="14372" width="10.140625" style="268" customWidth="1"/>
    <col min="14373" max="14373" width="9.5703125" style="268" customWidth="1"/>
    <col min="14374" max="14374" width="10.42578125" style="268" customWidth="1"/>
    <col min="14375" max="14376" width="12.42578125" style="268" customWidth="1"/>
    <col min="14377" max="14377" width="11.42578125" style="268" customWidth="1"/>
    <col min="14378" max="14590" width="9.140625" style="268"/>
    <col min="14591" max="14591" width="5.28515625" style="268" customWidth="1"/>
    <col min="14592" max="14592" width="35.42578125" style="268" customWidth="1"/>
    <col min="14593" max="14593" width="13.7109375" style="268" customWidth="1"/>
    <col min="14594" max="14594" width="11.7109375" style="268" customWidth="1"/>
    <col min="14595" max="14595" width="11.5703125" style="268" customWidth="1"/>
    <col min="14596" max="14596" width="11.140625" style="268" customWidth="1"/>
    <col min="14597" max="14607" width="12.140625" style="268" customWidth="1"/>
    <col min="14608" max="14612" width="13.7109375" style="268" customWidth="1"/>
    <col min="14613" max="14613" width="11.5703125" style="268" customWidth="1"/>
    <col min="14614" max="14614" width="10.42578125" style="268" customWidth="1"/>
    <col min="14615" max="14616" width="13" style="268" customWidth="1"/>
    <col min="14617" max="14618" width="13.42578125" style="268" customWidth="1"/>
    <col min="14619" max="14620" width="11.28515625" style="268" customWidth="1"/>
    <col min="14621" max="14621" width="9.5703125" style="268" customWidth="1"/>
    <col min="14622" max="14622" width="11.28515625" style="268" customWidth="1"/>
    <col min="14623" max="14623" width="9" style="268" customWidth="1"/>
    <col min="14624" max="14624" width="9.7109375" style="268" customWidth="1"/>
    <col min="14625" max="14625" width="8.5703125" style="268" customWidth="1"/>
    <col min="14626" max="14626" width="9.5703125" style="268" customWidth="1"/>
    <col min="14627" max="14627" width="11.42578125" style="268" customWidth="1"/>
    <col min="14628" max="14628" width="10.140625" style="268" customWidth="1"/>
    <col min="14629" max="14629" width="9.5703125" style="268" customWidth="1"/>
    <col min="14630" max="14630" width="10.42578125" style="268" customWidth="1"/>
    <col min="14631" max="14632" width="12.42578125" style="268" customWidth="1"/>
    <col min="14633" max="14633" width="11.42578125" style="268" customWidth="1"/>
    <col min="14634" max="14846" width="9.140625" style="268"/>
    <col min="14847" max="14847" width="5.28515625" style="268" customWidth="1"/>
    <col min="14848" max="14848" width="35.42578125" style="268" customWidth="1"/>
    <col min="14849" max="14849" width="13.7109375" style="268" customWidth="1"/>
    <col min="14850" max="14850" width="11.7109375" style="268" customWidth="1"/>
    <col min="14851" max="14851" width="11.5703125" style="268" customWidth="1"/>
    <col min="14852" max="14852" width="11.140625" style="268" customWidth="1"/>
    <col min="14853" max="14863" width="12.140625" style="268" customWidth="1"/>
    <col min="14864" max="14868" width="13.7109375" style="268" customWidth="1"/>
    <col min="14869" max="14869" width="11.5703125" style="268" customWidth="1"/>
    <col min="14870" max="14870" width="10.42578125" style="268" customWidth="1"/>
    <col min="14871" max="14872" width="13" style="268" customWidth="1"/>
    <col min="14873" max="14874" width="13.42578125" style="268" customWidth="1"/>
    <col min="14875" max="14876" width="11.28515625" style="268" customWidth="1"/>
    <col min="14877" max="14877" width="9.5703125" style="268" customWidth="1"/>
    <col min="14878" max="14878" width="11.28515625" style="268" customWidth="1"/>
    <col min="14879" max="14879" width="9" style="268" customWidth="1"/>
    <col min="14880" max="14880" width="9.7109375" style="268" customWidth="1"/>
    <col min="14881" max="14881" width="8.5703125" style="268" customWidth="1"/>
    <col min="14882" max="14882" width="9.5703125" style="268" customWidth="1"/>
    <col min="14883" max="14883" width="11.42578125" style="268" customWidth="1"/>
    <col min="14884" max="14884" width="10.140625" style="268" customWidth="1"/>
    <col min="14885" max="14885" width="9.5703125" style="268" customWidth="1"/>
    <col min="14886" max="14886" width="10.42578125" style="268" customWidth="1"/>
    <col min="14887" max="14888" width="12.42578125" style="268" customWidth="1"/>
    <col min="14889" max="14889" width="11.42578125" style="268" customWidth="1"/>
    <col min="14890" max="15102" width="9.140625" style="268"/>
    <col min="15103" max="15103" width="5.28515625" style="268" customWidth="1"/>
    <col min="15104" max="15104" width="35.42578125" style="268" customWidth="1"/>
    <col min="15105" max="15105" width="13.7109375" style="268" customWidth="1"/>
    <col min="15106" max="15106" width="11.7109375" style="268" customWidth="1"/>
    <col min="15107" max="15107" width="11.5703125" style="268" customWidth="1"/>
    <col min="15108" max="15108" width="11.140625" style="268" customWidth="1"/>
    <col min="15109" max="15119" width="12.140625" style="268" customWidth="1"/>
    <col min="15120" max="15124" width="13.7109375" style="268" customWidth="1"/>
    <col min="15125" max="15125" width="11.5703125" style="268" customWidth="1"/>
    <col min="15126" max="15126" width="10.42578125" style="268" customWidth="1"/>
    <col min="15127" max="15128" width="13" style="268" customWidth="1"/>
    <col min="15129" max="15130" width="13.42578125" style="268" customWidth="1"/>
    <col min="15131" max="15132" width="11.28515625" style="268" customWidth="1"/>
    <col min="15133" max="15133" width="9.5703125" style="268" customWidth="1"/>
    <col min="15134" max="15134" width="11.28515625" style="268" customWidth="1"/>
    <col min="15135" max="15135" width="9" style="268" customWidth="1"/>
    <col min="15136" max="15136" width="9.7109375" style="268" customWidth="1"/>
    <col min="15137" max="15137" width="8.5703125" style="268" customWidth="1"/>
    <col min="15138" max="15138" width="9.5703125" style="268" customWidth="1"/>
    <col min="15139" max="15139" width="11.42578125" style="268" customWidth="1"/>
    <col min="15140" max="15140" width="10.140625" style="268" customWidth="1"/>
    <col min="15141" max="15141" width="9.5703125" style="268" customWidth="1"/>
    <col min="15142" max="15142" width="10.42578125" style="268" customWidth="1"/>
    <col min="15143" max="15144" width="12.42578125" style="268" customWidth="1"/>
    <col min="15145" max="15145" width="11.42578125" style="268" customWidth="1"/>
    <col min="15146" max="15358" width="9.140625" style="268"/>
    <col min="15359" max="15359" width="5.28515625" style="268" customWidth="1"/>
    <col min="15360" max="15360" width="35.42578125" style="268" customWidth="1"/>
    <col min="15361" max="15361" width="13.7109375" style="268" customWidth="1"/>
    <col min="15362" max="15362" width="11.7109375" style="268" customWidth="1"/>
    <col min="15363" max="15363" width="11.5703125" style="268" customWidth="1"/>
    <col min="15364" max="15364" width="11.140625" style="268" customWidth="1"/>
    <col min="15365" max="15375" width="12.140625" style="268" customWidth="1"/>
    <col min="15376" max="15380" width="13.7109375" style="268" customWidth="1"/>
    <col min="15381" max="15381" width="11.5703125" style="268" customWidth="1"/>
    <col min="15382" max="15382" width="10.42578125" style="268" customWidth="1"/>
    <col min="15383" max="15384" width="13" style="268" customWidth="1"/>
    <col min="15385" max="15386" width="13.42578125" style="268" customWidth="1"/>
    <col min="15387" max="15388" width="11.28515625" style="268" customWidth="1"/>
    <col min="15389" max="15389" width="9.5703125" style="268" customWidth="1"/>
    <col min="15390" max="15390" width="11.28515625" style="268" customWidth="1"/>
    <col min="15391" max="15391" width="9" style="268" customWidth="1"/>
    <col min="15392" max="15392" width="9.7109375" style="268" customWidth="1"/>
    <col min="15393" max="15393" width="8.5703125" style="268" customWidth="1"/>
    <col min="15394" max="15394" width="9.5703125" style="268" customWidth="1"/>
    <col min="15395" max="15395" width="11.42578125" style="268" customWidth="1"/>
    <col min="15396" max="15396" width="10.140625" style="268" customWidth="1"/>
    <col min="15397" max="15397" width="9.5703125" style="268" customWidth="1"/>
    <col min="15398" max="15398" width="10.42578125" style="268" customWidth="1"/>
    <col min="15399" max="15400" width="12.42578125" style="268" customWidth="1"/>
    <col min="15401" max="15401" width="11.42578125" style="268" customWidth="1"/>
    <col min="15402" max="15614" width="9.140625" style="268"/>
    <col min="15615" max="15615" width="5.28515625" style="268" customWidth="1"/>
    <col min="15616" max="15616" width="35.42578125" style="268" customWidth="1"/>
    <col min="15617" max="15617" width="13.7109375" style="268" customWidth="1"/>
    <col min="15618" max="15618" width="11.7109375" style="268" customWidth="1"/>
    <col min="15619" max="15619" width="11.5703125" style="268" customWidth="1"/>
    <col min="15620" max="15620" width="11.140625" style="268" customWidth="1"/>
    <col min="15621" max="15631" width="12.140625" style="268" customWidth="1"/>
    <col min="15632" max="15636" width="13.7109375" style="268" customWidth="1"/>
    <col min="15637" max="15637" width="11.5703125" style="268" customWidth="1"/>
    <col min="15638" max="15638" width="10.42578125" style="268" customWidth="1"/>
    <col min="15639" max="15640" width="13" style="268" customWidth="1"/>
    <col min="15641" max="15642" width="13.42578125" style="268" customWidth="1"/>
    <col min="15643" max="15644" width="11.28515625" style="268" customWidth="1"/>
    <col min="15645" max="15645" width="9.5703125" style="268" customWidth="1"/>
    <col min="15646" max="15646" width="11.28515625" style="268" customWidth="1"/>
    <col min="15647" max="15647" width="9" style="268" customWidth="1"/>
    <col min="15648" max="15648" width="9.7109375" style="268" customWidth="1"/>
    <col min="15649" max="15649" width="8.5703125" style="268" customWidth="1"/>
    <col min="15650" max="15650" width="9.5703125" style="268" customWidth="1"/>
    <col min="15651" max="15651" width="11.42578125" style="268" customWidth="1"/>
    <col min="15652" max="15652" width="10.140625" style="268" customWidth="1"/>
    <col min="15653" max="15653" width="9.5703125" style="268" customWidth="1"/>
    <col min="15654" max="15654" width="10.42578125" style="268" customWidth="1"/>
    <col min="15655" max="15656" width="12.42578125" style="268" customWidth="1"/>
    <col min="15657" max="15657" width="11.42578125" style="268" customWidth="1"/>
    <col min="15658" max="15870" width="9.140625" style="268"/>
    <col min="15871" max="15871" width="5.28515625" style="268" customWidth="1"/>
    <col min="15872" max="15872" width="35.42578125" style="268" customWidth="1"/>
    <col min="15873" max="15873" width="13.7109375" style="268" customWidth="1"/>
    <col min="15874" max="15874" width="11.7109375" style="268" customWidth="1"/>
    <col min="15875" max="15875" width="11.5703125" style="268" customWidth="1"/>
    <col min="15876" max="15876" width="11.140625" style="268" customWidth="1"/>
    <col min="15877" max="15887" width="12.140625" style="268" customWidth="1"/>
    <col min="15888" max="15892" width="13.7109375" style="268" customWidth="1"/>
    <col min="15893" max="15893" width="11.5703125" style="268" customWidth="1"/>
    <col min="15894" max="15894" width="10.42578125" style="268" customWidth="1"/>
    <col min="15895" max="15896" width="13" style="268" customWidth="1"/>
    <col min="15897" max="15898" width="13.42578125" style="268" customWidth="1"/>
    <col min="15899" max="15900" width="11.28515625" style="268" customWidth="1"/>
    <col min="15901" max="15901" width="9.5703125" style="268" customWidth="1"/>
    <col min="15902" max="15902" width="11.28515625" style="268" customWidth="1"/>
    <col min="15903" max="15903" width="9" style="268" customWidth="1"/>
    <col min="15904" max="15904" width="9.7109375" style="268" customWidth="1"/>
    <col min="15905" max="15905" width="8.5703125" style="268" customWidth="1"/>
    <col min="15906" max="15906" width="9.5703125" style="268" customWidth="1"/>
    <col min="15907" max="15907" width="11.42578125" style="268" customWidth="1"/>
    <col min="15908" max="15908" width="10.140625" style="268" customWidth="1"/>
    <col min="15909" max="15909" width="9.5703125" style="268" customWidth="1"/>
    <col min="15910" max="15910" width="10.42578125" style="268" customWidth="1"/>
    <col min="15911" max="15912" width="12.42578125" style="268" customWidth="1"/>
    <col min="15913" max="15913" width="11.42578125" style="268" customWidth="1"/>
    <col min="15914" max="16126" width="9.140625" style="268"/>
    <col min="16127" max="16127" width="5.28515625" style="268" customWidth="1"/>
    <col min="16128" max="16128" width="35.42578125" style="268" customWidth="1"/>
    <col min="16129" max="16129" width="13.7109375" style="268" customWidth="1"/>
    <col min="16130" max="16130" width="11.7109375" style="268" customWidth="1"/>
    <col min="16131" max="16131" width="11.5703125" style="268" customWidth="1"/>
    <col min="16132" max="16132" width="11.140625" style="268" customWidth="1"/>
    <col min="16133" max="16143" width="12.140625" style="268" customWidth="1"/>
    <col min="16144" max="16148" width="13.7109375" style="268" customWidth="1"/>
    <col min="16149" max="16149" width="11.5703125" style="268" customWidth="1"/>
    <col min="16150" max="16150" width="10.42578125" style="268" customWidth="1"/>
    <col min="16151" max="16152" width="13" style="268" customWidth="1"/>
    <col min="16153" max="16154" width="13.42578125" style="268" customWidth="1"/>
    <col min="16155" max="16156" width="11.28515625" style="268" customWidth="1"/>
    <col min="16157" max="16157" width="9.5703125" style="268" customWidth="1"/>
    <col min="16158" max="16158" width="11.28515625" style="268" customWidth="1"/>
    <col min="16159" max="16159" width="9" style="268" customWidth="1"/>
    <col min="16160" max="16160" width="9.7109375" style="268" customWidth="1"/>
    <col min="16161" max="16161" width="8.5703125" style="268" customWidth="1"/>
    <col min="16162" max="16162" width="9.5703125" style="268" customWidth="1"/>
    <col min="16163" max="16163" width="11.42578125" style="268" customWidth="1"/>
    <col min="16164" max="16164" width="10.140625" style="268" customWidth="1"/>
    <col min="16165" max="16165" width="9.5703125" style="268" customWidth="1"/>
    <col min="16166" max="16166" width="10.42578125" style="268" customWidth="1"/>
    <col min="16167" max="16168" width="12.42578125" style="268" customWidth="1"/>
    <col min="16169" max="16169" width="11.42578125" style="268" customWidth="1"/>
    <col min="16170" max="16384" width="9.140625" style="268"/>
  </cols>
  <sheetData>
    <row r="1" spans="1:51" s="251" customFormat="1">
      <c r="A1" s="279" t="s">
        <v>263</v>
      </c>
      <c r="Z1" s="280"/>
    </row>
    <row r="2" spans="1:51" s="251" customFormat="1">
      <c r="A2" s="279" t="s">
        <v>264</v>
      </c>
      <c r="Z2" s="280"/>
    </row>
    <row r="3" spans="1:51" s="251" customFormat="1">
      <c r="A3" s="279" t="s">
        <v>265</v>
      </c>
      <c r="Z3" s="280"/>
    </row>
    <row r="4" spans="1:51" s="251" customFormat="1">
      <c r="A4" s="279" t="str">
        <f>Index!A4</f>
        <v>Test Year Ended December 31, 2021</v>
      </c>
      <c r="Z4" s="280"/>
    </row>
    <row r="5" spans="1:51" s="251" customFormat="1">
      <c r="A5" s="279" t="s">
        <v>266</v>
      </c>
      <c r="Z5" s="280"/>
    </row>
    <row r="6" spans="1:51" s="251" customFormat="1">
      <c r="A6" s="279" t="str">
        <f>RevReq!A2</f>
        <v>Docket No. NG22-___</v>
      </c>
      <c r="Z6" s="280"/>
    </row>
    <row r="7" spans="1:51" s="251" customFormat="1">
      <c r="A7" s="281"/>
      <c r="Z7" s="280"/>
    </row>
    <row r="8" spans="1:51" s="251" customFormat="1">
      <c r="A8" s="282" t="s">
        <v>267</v>
      </c>
      <c r="Z8" s="280"/>
    </row>
    <row r="9" spans="1:51" s="251" customFormat="1">
      <c r="A9" s="282"/>
      <c r="Z9" s="280"/>
    </row>
    <row r="10" spans="1:51" s="251" customFormat="1">
      <c r="B10" s="283" t="s">
        <v>53</v>
      </c>
      <c r="C10" s="283" t="s">
        <v>54</v>
      </c>
      <c r="D10" s="283" t="s">
        <v>97</v>
      </c>
      <c r="E10" s="283" t="s">
        <v>98</v>
      </c>
      <c r="F10" s="284" t="s">
        <v>99</v>
      </c>
      <c r="G10" s="283" t="s">
        <v>100</v>
      </c>
      <c r="H10" s="284" t="s">
        <v>152</v>
      </c>
      <c r="I10" s="284" t="s">
        <v>153</v>
      </c>
      <c r="J10" s="284" t="s">
        <v>154</v>
      </c>
      <c r="K10" s="284" t="s">
        <v>155</v>
      </c>
      <c r="L10" s="284" t="s">
        <v>156</v>
      </c>
      <c r="M10" s="284" t="s">
        <v>157</v>
      </c>
      <c r="N10" s="284" t="s">
        <v>158</v>
      </c>
      <c r="O10" s="284" t="s">
        <v>159</v>
      </c>
      <c r="P10" s="284" t="s">
        <v>160</v>
      </c>
      <c r="Q10" s="284" t="s">
        <v>161</v>
      </c>
      <c r="R10" s="284" t="s">
        <v>268</v>
      </c>
      <c r="S10" s="285" t="s">
        <v>162</v>
      </c>
      <c r="T10" s="285" t="s">
        <v>269</v>
      </c>
      <c r="U10" s="285" t="s">
        <v>270</v>
      </c>
      <c r="AN10" s="280" t="s">
        <v>271</v>
      </c>
    </row>
    <row r="11" spans="1:51" s="251" customFormat="1">
      <c r="C11" s="283" t="s">
        <v>86</v>
      </c>
      <c r="D11" s="286" t="s">
        <v>271</v>
      </c>
      <c r="E11" s="283"/>
      <c r="F11" s="287" t="s">
        <v>271</v>
      </c>
      <c r="G11" s="286"/>
      <c r="H11" s="288"/>
      <c r="I11" s="288"/>
      <c r="J11" s="288"/>
      <c r="K11" s="288" t="s">
        <v>272</v>
      </c>
      <c r="L11" s="288" t="s">
        <v>127</v>
      </c>
      <c r="M11" s="288"/>
      <c r="N11" s="288"/>
      <c r="O11" s="288"/>
      <c r="P11" s="286"/>
      <c r="Q11" s="286"/>
      <c r="R11" s="286"/>
      <c r="S11" s="286"/>
      <c r="T11" s="286" t="s">
        <v>273</v>
      </c>
      <c r="U11" s="287" t="s">
        <v>274</v>
      </c>
    </row>
    <row r="12" spans="1:51" s="251" customFormat="1">
      <c r="A12" s="283" t="s">
        <v>275</v>
      </c>
      <c r="B12" s="283"/>
      <c r="C12" s="283" t="s">
        <v>52</v>
      </c>
      <c r="D12" s="287" t="s">
        <v>128</v>
      </c>
      <c r="E12" s="283" t="s">
        <v>129</v>
      </c>
      <c r="F12" s="288" t="s">
        <v>130</v>
      </c>
      <c r="G12" s="288" t="s">
        <v>131</v>
      </c>
      <c r="H12" s="288" t="s">
        <v>132</v>
      </c>
      <c r="I12" s="288" t="s">
        <v>133</v>
      </c>
      <c r="J12" s="288" t="s">
        <v>276</v>
      </c>
      <c r="K12" s="288" t="s">
        <v>277</v>
      </c>
      <c r="L12" s="288" t="s">
        <v>136</v>
      </c>
      <c r="M12" s="288" t="s">
        <v>137</v>
      </c>
      <c r="N12" s="281" t="s">
        <v>138</v>
      </c>
      <c r="O12" s="288" t="s">
        <v>278</v>
      </c>
      <c r="P12" s="288" t="s">
        <v>140</v>
      </c>
      <c r="Q12" s="288" t="s">
        <v>93</v>
      </c>
      <c r="R12" s="288" t="s">
        <v>88</v>
      </c>
      <c r="S12" s="288"/>
      <c r="T12" s="288" t="s">
        <v>93</v>
      </c>
      <c r="U12" s="287" t="s">
        <v>279</v>
      </c>
    </row>
    <row r="13" spans="1:51" s="251" customFormat="1">
      <c r="A13" s="289" t="s">
        <v>5</v>
      </c>
      <c r="B13" s="289" t="s">
        <v>280</v>
      </c>
      <c r="C13" s="289" t="s">
        <v>281</v>
      </c>
      <c r="D13" s="290" t="s">
        <v>282</v>
      </c>
      <c r="E13" s="289" t="s">
        <v>95</v>
      </c>
      <c r="F13" s="291" t="s">
        <v>142</v>
      </c>
      <c r="G13" s="291" t="s">
        <v>143</v>
      </c>
      <c r="H13" s="291" t="s">
        <v>95</v>
      </c>
      <c r="I13" s="291" t="s">
        <v>144</v>
      </c>
      <c r="J13" s="291" t="s">
        <v>145</v>
      </c>
      <c r="K13" s="292" t="s">
        <v>146</v>
      </c>
      <c r="L13" s="292" t="s">
        <v>147</v>
      </c>
      <c r="M13" s="292" t="s">
        <v>148</v>
      </c>
      <c r="N13" s="293" t="s">
        <v>95</v>
      </c>
      <c r="O13" s="292" t="s">
        <v>283</v>
      </c>
      <c r="P13" s="291" t="s">
        <v>150</v>
      </c>
      <c r="Q13" s="291" t="s">
        <v>151</v>
      </c>
      <c r="R13" s="291" t="s">
        <v>95</v>
      </c>
      <c r="S13" s="291" t="s">
        <v>284</v>
      </c>
      <c r="T13" s="291" t="s">
        <v>285</v>
      </c>
      <c r="U13" s="290" t="s">
        <v>286</v>
      </c>
    </row>
    <row r="14" spans="1:51" s="270" customFormat="1">
      <c r="A14" s="271"/>
      <c r="B14" s="271"/>
      <c r="C14" s="272"/>
      <c r="D14" s="273"/>
      <c r="E14" s="272"/>
      <c r="F14" s="274"/>
      <c r="G14" s="274"/>
      <c r="H14" s="275"/>
      <c r="I14" s="275"/>
      <c r="J14" s="275"/>
      <c r="K14" s="275"/>
      <c r="L14" s="275"/>
      <c r="M14" s="275"/>
      <c r="N14" s="275"/>
      <c r="O14" s="275"/>
      <c r="P14" s="274"/>
      <c r="Q14" s="274"/>
      <c r="R14" s="274"/>
      <c r="S14" s="274"/>
      <c r="T14" s="274"/>
      <c r="U14" s="273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</row>
    <row r="15" spans="1:51" s="270" customFormat="1">
      <c r="A15" s="251"/>
      <c r="B15" s="251" t="s">
        <v>287</v>
      </c>
      <c r="C15" s="252">
        <v>128665245</v>
      </c>
      <c r="D15" s="252"/>
      <c r="E15" s="252"/>
      <c r="F15" s="253">
        <f>'Pro Formas'!E60</f>
        <v>894948</v>
      </c>
      <c r="G15" s="252"/>
      <c r="H15" s="252"/>
      <c r="I15" s="253">
        <f>'Pro Formas'!E126</f>
        <v>390712.71485581715</v>
      </c>
      <c r="J15" s="252"/>
      <c r="K15" s="253">
        <v>0</v>
      </c>
      <c r="L15" s="253">
        <f>'Pro Formas'!E190</f>
        <v>-122196</v>
      </c>
      <c r="M15" s="253">
        <v>0</v>
      </c>
      <c r="N15" s="253"/>
      <c r="O15" s="253">
        <f>'Pro Formas'!E259</f>
        <v>-80455035</v>
      </c>
      <c r="P15" s="252"/>
      <c r="Q15" s="253">
        <f>'Pro Formas'!E311+'Pro Formas'!E313</f>
        <v>0</v>
      </c>
      <c r="R15" s="252">
        <f>SUM(D15:Q15)</f>
        <v>-79291570.28514418</v>
      </c>
      <c r="S15" s="252">
        <f>+C15+R15</f>
        <v>49373674.71485582</v>
      </c>
      <c r="T15" s="253">
        <f>opincsum!K13*1000</f>
        <v>7037083.6975232214</v>
      </c>
      <c r="U15" s="254">
        <f>+S15+T15</f>
        <v>56410758.412379041</v>
      </c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</row>
    <row r="16" spans="1:51" s="270" customFormat="1">
      <c r="A16" s="251"/>
      <c r="B16" s="251" t="s">
        <v>288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 t="s">
        <v>271</v>
      </c>
      <c r="S16" s="255" t="s">
        <v>271</v>
      </c>
      <c r="T16" s="255"/>
      <c r="U16" s="256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</row>
    <row r="17" spans="1:51" s="270" customFormat="1">
      <c r="A17" s="251">
        <v>710</v>
      </c>
      <c r="B17" s="251" t="s">
        <v>289</v>
      </c>
      <c r="C17" s="252">
        <v>0</v>
      </c>
      <c r="D17" s="252"/>
      <c r="E17" s="252">
        <f>SUMIF('WP5 p.6 Detail Dist'!$B$13:$B$47,'Statement H'!A17,'WP5 p.6 Detail Dist'!$H$13:$H$47)</f>
        <v>0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>
        <f t="shared" ref="R17:R70" si="0">SUM(D17:Q17)</f>
        <v>0</v>
      </c>
      <c r="S17" s="252">
        <f t="shared" ref="S17:S48" si="1">+C17+R17</f>
        <v>0</v>
      </c>
      <c r="T17" s="252"/>
      <c r="U17" s="254">
        <f t="shared" ref="U17:U48" si="2">+S17+T17</f>
        <v>0</v>
      </c>
      <c r="W17" s="276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</row>
    <row r="18" spans="1:51" s="270" customFormat="1">
      <c r="A18" s="251">
        <v>712</v>
      </c>
      <c r="B18" s="251" t="s">
        <v>290</v>
      </c>
      <c r="C18" s="255">
        <v>0</v>
      </c>
      <c r="D18" s="255"/>
      <c r="E18" s="255">
        <f>SUMIF('WP5 p.6 Detail Dist'!$B$13:$B$47,'Statement H'!A18,'WP5 p.6 Detail Dist'!$H$13:$H$47)</f>
        <v>0</v>
      </c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>
        <f t="shared" si="0"/>
        <v>0</v>
      </c>
      <c r="S18" s="255">
        <f t="shared" si="1"/>
        <v>0</v>
      </c>
      <c r="T18" s="255"/>
      <c r="U18" s="256">
        <f t="shared" si="2"/>
        <v>0</v>
      </c>
      <c r="W18" s="276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</row>
    <row r="19" spans="1:51" s="270" customFormat="1">
      <c r="A19" s="251">
        <v>714</v>
      </c>
      <c r="B19" s="251" t="s">
        <v>291</v>
      </c>
      <c r="C19" s="255">
        <v>0</v>
      </c>
      <c r="D19" s="255"/>
      <c r="E19" s="255">
        <f>SUMIF('WP5 p.6 Detail Dist'!$B$13:$B$47,'Statement H'!A19,'WP5 p.6 Detail Dist'!$H$13:$H$47)</f>
        <v>0</v>
      </c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>
        <f t="shared" si="0"/>
        <v>0</v>
      </c>
      <c r="S19" s="255">
        <f t="shared" si="1"/>
        <v>0</v>
      </c>
      <c r="T19" s="255"/>
      <c r="U19" s="256">
        <f t="shared" si="2"/>
        <v>0</v>
      </c>
      <c r="W19" s="276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</row>
    <row r="20" spans="1:51" s="270" customFormat="1">
      <c r="A20" s="251">
        <v>728</v>
      </c>
      <c r="B20" s="251" t="s">
        <v>292</v>
      </c>
      <c r="C20" s="255">
        <v>0</v>
      </c>
      <c r="D20" s="255"/>
      <c r="E20" s="255">
        <f>SUMIF('WP5 p.6 Detail Dist'!$B$13:$B$47,'Statement H'!A20,'WP5 p.6 Detail Dist'!$H$13:$H$47)</f>
        <v>0</v>
      </c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>
        <f t="shared" si="0"/>
        <v>0</v>
      </c>
      <c r="S20" s="255">
        <f t="shared" si="1"/>
        <v>0</v>
      </c>
      <c r="T20" s="255"/>
      <c r="U20" s="256">
        <f t="shared" si="2"/>
        <v>0</v>
      </c>
      <c r="W20" s="276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</row>
    <row r="21" spans="1:51" s="270" customFormat="1">
      <c r="A21" s="251">
        <v>735</v>
      </c>
      <c r="B21" s="251" t="s">
        <v>293</v>
      </c>
      <c r="C21" s="255">
        <v>0</v>
      </c>
      <c r="D21" s="255"/>
      <c r="E21" s="255">
        <f>SUMIF('WP5 p.6 Detail Dist'!$B$13:$B$47,'Statement H'!A21,'WP5 p.6 Detail Dist'!$H$13:$H$47)</f>
        <v>0</v>
      </c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>
        <f t="shared" si="0"/>
        <v>0</v>
      </c>
      <c r="S21" s="255">
        <f t="shared" si="1"/>
        <v>0</v>
      </c>
      <c r="T21" s="255"/>
      <c r="U21" s="256">
        <f t="shared" si="2"/>
        <v>0</v>
      </c>
      <c r="W21" s="276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</row>
    <row r="22" spans="1:51" s="270" customFormat="1">
      <c r="A22" s="251">
        <v>741</v>
      </c>
      <c r="B22" s="251" t="s">
        <v>294</v>
      </c>
      <c r="C22" s="255">
        <v>0</v>
      </c>
      <c r="D22" s="255"/>
      <c r="E22" s="255">
        <f>SUMIF('WP5 p.6 Detail Dist'!$B$13:$B$47,'Statement H'!A22,'WP5 p.6 Detail Dist'!$H$13:$H$47)</f>
        <v>0</v>
      </c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>
        <f t="shared" si="0"/>
        <v>0</v>
      </c>
      <c r="S22" s="255">
        <f t="shared" si="1"/>
        <v>0</v>
      </c>
      <c r="T22" s="255"/>
      <c r="U22" s="256">
        <f t="shared" si="2"/>
        <v>0</v>
      </c>
      <c r="W22" s="276"/>
      <c r="X22" s="277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</row>
    <row r="23" spans="1:51" s="270" customFormat="1">
      <c r="A23" s="251">
        <v>742</v>
      </c>
      <c r="B23" s="251" t="s">
        <v>295</v>
      </c>
      <c r="C23" s="255">
        <v>0</v>
      </c>
      <c r="D23" s="255"/>
      <c r="E23" s="255">
        <f>SUMIF('WP5 p.6 Detail Dist'!$B$13:$B$47,'Statement H'!A23,'WP5 p.6 Detail Dist'!$H$13:$H$47)</f>
        <v>0</v>
      </c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>
        <f t="shared" si="0"/>
        <v>0</v>
      </c>
      <c r="S23" s="255">
        <f t="shared" si="1"/>
        <v>0</v>
      </c>
      <c r="T23" s="255"/>
      <c r="U23" s="256">
        <f t="shared" si="2"/>
        <v>0</v>
      </c>
      <c r="W23" s="276"/>
      <c r="X23" s="277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</row>
    <row r="24" spans="1:51" s="270" customFormat="1">
      <c r="A24" s="251">
        <v>804</v>
      </c>
      <c r="B24" s="251" t="s">
        <v>296</v>
      </c>
      <c r="C24" s="255">
        <v>85883317</v>
      </c>
      <c r="D24" s="255"/>
      <c r="E24" s="255">
        <f>SUMIF('WP5 p.6 Detail Dist'!$B$13:$B$47,'Statement H'!A24,'WP5 p.6 Detail Dist'!$H$13:$H$47)</f>
        <v>0</v>
      </c>
      <c r="F24" s="255"/>
      <c r="G24" s="255"/>
      <c r="H24" s="255"/>
      <c r="I24" s="255"/>
      <c r="J24" s="255"/>
      <c r="K24" s="255"/>
      <c r="L24" s="255"/>
      <c r="M24" s="255"/>
      <c r="N24" s="255"/>
      <c r="O24" s="253">
        <f>'Pro Formas'!E263</f>
        <v>-80436965</v>
      </c>
      <c r="P24" s="255"/>
      <c r="Q24" s="255"/>
      <c r="R24" s="255">
        <f t="shared" si="0"/>
        <v>-80436965</v>
      </c>
      <c r="S24" s="255">
        <f t="shared" si="1"/>
        <v>5446352</v>
      </c>
      <c r="T24" s="255"/>
      <c r="U24" s="256">
        <f t="shared" si="2"/>
        <v>5446352</v>
      </c>
      <c r="W24" s="276"/>
      <c r="X24" s="277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</row>
    <row r="25" spans="1:51" s="270" customFormat="1">
      <c r="A25" s="251">
        <v>805</v>
      </c>
      <c r="B25" s="251" t="s">
        <v>297</v>
      </c>
      <c r="C25" s="255">
        <v>-4924625</v>
      </c>
      <c r="D25" s="255"/>
      <c r="E25" s="255">
        <f>SUMIF('WP5 p.6 Detail Dist'!$B$13:$B$47,'Statement H'!A25,'WP5 p.6 Detail Dist'!$H$13:$H$47)</f>
        <v>0</v>
      </c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>
        <f t="shared" si="0"/>
        <v>0</v>
      </c>
      <c r="S25" s="255">
        <f t="shared" si="1"/>
        <v>-4924625</v>
      </c>
      <c r="T25" s="255"/>
      <c r="U25" s="256">
        <f t="shared" si="2"/>
        <v>-4924625</v>
      </c>
      <c r="W25" s="276"/>
      <c r="X25" s="277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</row>
    <row r="26" spans="1:51" s="270" customFormat="1">
      <c r="A26" s="251">
        <v>807</v>
      </c>
      <c r="B26" s="251" t="s">
        <v>298</v>
      </c>
      <c r="C26" s="255">
        <v>19206045</v>
      </c>
      <c r="D26" s="255"/>
      <c r="E26" s="255">
        <f>SUMIF('WP5 p.6 Detail Dist'!$B$13:$B$47,'Statement H'!A26,'WP5 p.6 Detail Dist'!$H$13:$H$47)</f>
        <v>0</v>
      </c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3"/>
      <c r="R26" s="255">
        <f t="shared" si="0"/>
        <v>0</v>
      </c>
      <c r="S26" s="255">
        <f t="shared" si="1"/>
        <v>19206045</v>
      </c>
      <c r="T26" s="255"/>
      <c r="U26" s="256">
        <f t="shared" si="2"/>
        <v>19206045</v>
      </c>
      <c r="W26" s="276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</row>
    <row r="27" spans="1:51" s="270" customFormat="1">
      <c r="A27" s="251">
        <v>808.1</v>
      </c>
      <c r="B27" s="251" t="s">
        <v>299</v>
      </c>
      <c r="C27" s="255">
        <f>7956276+220396</f>
        <v>8176672</v>
      </c>
      <c r="D27" s="255"/>
      <c r="E27" s="255">
        <f>SUMIF('WP5 p.6 Detail Dist'!$B$13:$B$47,'Statement H'!A27,'WP5 p.6 Detail Dist'!$H$13:$H$47)</f>
        <v>0</v>
      </c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>
        <f t="shared" si="0"/>
        <v>0</v>
      </c>
      <c r="S27" s="255">
        <f t="shared" si="1"/>
        <v>8176672</v>
      </c>
      <c r="T27" s="255"/>
      <c r="U27" s="256">
        <f t="shared" si="2"/>
        <v>8176672</v>
      </c>
      <c r="W27" s="276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</row>
    <row r="28" spans="1:51" s="270" customFormat="1">
      <c r="A28" s="251">
        <v>808.2</v>
      </c>
      <c r="B28" s="251" t="s">
        <v>300</v>
      </c>
      <c r="C28" s="255">
        <f>-8657255-41144</f>
        <v>-8698399</v>
      </c>
      <c r="D28" s="255"/>
      <c r="E28" s="255">
        <f>SUMIF('WP5 p.6 Detail Dist'!$B$13:$B$47,'Statement H'!A28,'WP5 p.6 Detail Dist'!$H$13:$H$47)</f>
        <v>0</v>
      </c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>
        <f t="shared" si="0"/>
        <v>0</v>
      </c>
      <c r="S28" s="255">
        <f t="shared" si="1"/>
        <v>-8698399</v>
      </c>
      <c r="T28" s="255"/>
      <c r="U28" s="256">
        <f t="shared" si="2"/>
        <v>-8698399</v>
      </c>
      <c r="W28" s="276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</row>
    <row r="29" spans="1:51" s="270" customFormat="1">
      <c r="A29" s="251">
        <v>813</v>
      </c>
      <c r="B29" s="251" t="s">
        <v>301</v>
      </c>
      <c r="C29" s="255">
        <v>281925</v>
      </c>
      <c r="D29" s="255"/>
      <c r="E29" s="255">
        <f>SUMIF('WP5 p.6 Detail Dist'!$B$13:$B$47,'Statement H'!A29,'WP5 p.6 Detail Dist'!$H$13:$H$47)</f>
        <v>8685.8430446314978</v>
      </c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>
        <f t="shared" si="0"/>
        <v>8685.8430446314978</v>
      </c>
      <c r="S29" s="255">
        <f t="shared" si="1"/>
        <v>290610.84304463147</v>
      </c>
      <c r="T29" s="255"/>
      <c r="U29" s="256">
        <f t="shared" si="2"/>
        <v>290610.84304463147</v>
      </c>
      <c r="W29" s="276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</row>
    <row r="30" spans="1:51" s="270" customFormat="1">
      <c r="A30" s="251">
        <v>840</v>
      </c>
      <c r="B30" s="251" t="s">
        <v>302</v>
      </c>
      <c r="C30" s="255">
        <v>72172</v>
      </c>
      <c r="D30" s="255"/>
      <c r="E30" s="255">
        <f>SUMIF('WP5 p.6 Detail Dist'!$B$13:$B$47,'Statement H'!A30,'WP5 p.6 Detail Dist'!$H$13:$H$47)</f>
        <v>2201.0354582171412</v>
      </c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>
        <f t="shared" si="0"/>
        <v>2201.0354582171412</v>
      </c>
      <c r="S30" s="255">
        <f t="shared" si="1"/>
        <v>74373.035458217142</v>
      </c>
      <c r="T30" s="255"/>
      <c r="U30" s="256">
        <f t="shared" si="2"/>
        <v>74373.035458217142</v>
      </c>
      <c r="W30" s="276"/>
      <c r="X30" s="276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</row>
    <row r="31" spans="1:51" s="270" customFormat="1">
      <c r="A31" s="251">
        <v>841</v>
      </c>
      <c r="B31" s="251" t="s">
        <v>303</v>
      </c>
      <c r="C31" s="255">
        <v>139153</v>
      </c>
      <c r="D31" s="255"/>
      <c r="E31" s="255">
        <f>SUMIF('WP5 p.6 Detail Dist'!$B$13:$B$47,'Statement H'!A31,'WP5 p.6 Detail Dist'!$H$13:$H$47)</f>
        <v>4126.8197174531742</v>
      </c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>
        <f t="shared" si="0"/>
        <v>4126.8197174531742</v>
      </c>
      <c r="S31" s="255">
        <f t="shared" si="1"/>
        <v>143279.81971745318</v>
      </c>
      <c r="T31" s="255"/>
      <c r="U31" s="256">
        <f t="shared" si="2"/>
        <v>143279.81971745318</v>
      </c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</row>
    <row r="32" spans="1:51" s="270" customFormat="1">
      <c r="A32" s="251">
        <v>842</v>
      </c>
      <c r="B32" s="251" t="s">
        <v>304</v>
      </c>
      <c r="C32" s="255">
        <v>51004</v>
      </c>
      <c r="D32" s="255"/>
      <c r="E32" s="255">
        <f>SUMIF('WP5 p.6 Detail Dist'!$B$13:$B$47,'Statement H'!A32,'WP5 p.6 Detail Dist'!$H$13:$H$47)</f>
        <v>0</v>
      </c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>
        <f t="shared" si="0"/>
        <v>0</v>
      </c>
      <c r="S32" s="255">
        <f t="shared" si="1"/>
        <v>51004</v>
      </c>
      <c r="T32" s="255"/>
      <c r="U32" s="256">
        <f t="shared" si="2"/>
        <v>51004</v>
      </c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</row>
    <row r="33" spans="1:51" s="270" customFormat="1">
      <c r="A33" s="251">
        <v>843</v>
      </c>
      <c r="B33" s="251" t="s">
        <v>305</v>
      </c>
      <c r="C33" s="255">
        <v>162195</v>
      </c>
      <c r="D33" s="255"/>
      <c r="E33" s="255">
        <f>SUMIF('WP5 p.6 Detail Dist'!$B$13:$B$47,'Statement H'!A33,'WP5 p.6 Detail Dist'!$H$13:$H$47)</f>
        <v>1531.7277225293578</v>
      </c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>
        <f t="shared" si="0"/>
        <v>1531.7277225293578</v>
      </c>
      <c r="S33" s="255">
        <f t="shared" si="1"/>
        <v>163726.72772252935</v>
      </c>
      <c r="T33" s="255"/>
      <c r="U33" s="256">
        <f t="shared" si="2"/>
        <v>163726.72772252935</v>
      </c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</row>
    <row r="34" spans="1:51" s="270" customFormat="1">
      <c r="A34" s="251">
        <v>870</v>
      </c>
      <c r="B34" s="251" t="s">
        <v>302</v>
      </c>
      <c r="C34" s="255">
        <v>1001074</v>
      </c>
      <c r="D34" s="255"/>
      <c r="E34" s="255">
        <f>SUMIF('WP5 p.6 Detail Dist'!$B$13:$B$47,'Statement H'!A34,'WP5 p.6 Detail Dist'!$H$13:$H$47)</f>
        <v>33852.741281709568</v>
      </c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>
        <f t="shared" si="0"/>
        <v>33852.741281709568</v>
      </c>
      <c r="S34" s="255">
        <f t="shared" si="1"/>
        <v>1034926.7412817095</v>
      </c>
      <c r="T34" s="255"/>
      <c r="U34" s="256">
        <f t="shared" si="2"/>
        <v>1034926.7412817095</v>
      </c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</row>
    <row r="35" spans="1:51" s="270" customFormat="1">
      <c r="A35" s="251">
        <v>871</v>
      </c>
      <c r="B35" s="251" t="s">
        <v>306</v>
      </c>
      <c r="C35" s="255">
        <v>168894</v>
      </c>
      <c r="D35" s="255"/>
      <c r="E35" s="255">
        <f>SUMIF('WP5 p.6 Detail Dist'!$B$13:$B$47,'Statement H'!A35,'WP5 p.6 Detail Dist'!$H$13:$H$47)</f>
        <v>6357.07918462216</v>
      </c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>
        <f t="shared" si="0"/>
        <v>6357.07918462216</v>
      </c>
      <c r="S35" s="255">
        <f t="shared" si="1"/>
        <v>175251.07918462215</v>
      </c>
      <c r="T35" s="255"/>
      <c r="U35" s="256">
        <f t="shared" si="2"/>
        <v>175251.07918462215</v>
      </c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</row>
    <row r="36" spans="1:51" s="270" customFormat="1">
      <c r="A36" s="251">
        <v>874</v>
      </c>
      <c r="B36" s="251" t="s">
        <v>307</v>
      </c>
      <c r="C36" s="255">
        <v>1722795</v>
      </c>
      <c r="D36" s="255"/>
      <c r="E36" s="255">
        <f>SUMIF('WP5 p.6 Detail Dist'!$B$13:$B$47,'Statement H'!A36,'WP5 p.6 Detail Dist'!$H$13:$H$47)</f>
        <v>20801.649571923113</v>
      </c>
      <c r="F36" s="255"/>
      <c r="G36" s="255"/>
      <c r="H36" s="253"/>
      <c r="I36" s="253"/>
      <c r="J36" s="253"/>
      <c r="K36" s="253"/>
      <c r="L36" s="253"/>
      <c r="M36" s="253"/>
      <c r="N36" s="253"/>
      <c r="O36" s="253"/>
      <c r="P36" s="255"/>
      <c r="Q36" s="255"/>
      <c r="R36" s="255">
        <f t="shared" si="0"/>
        <v>20801.649571923113</v>
      </c>
      <c r="S36" s="255">
        <f t="shared" si="1"/>
        <v>1743596.6495719231</v>
      </c>
      <c r="T36" s="255"/>
      <c r="U36" s="256">
        <f t="shared" ref="U36:U37" si="3">+S36+T36</f>
        <v>1743596.6495719231</v>
      </c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</row>
    <row r="37" spans="1:51" s="270" customFormat="1">
      <c r="A37" s="251">
        <v>875</v>
      </c>
      <c r="B37" s="251" t="s">
        <v>308</v>
      </c>
      <c r="C37" s="255">
        <v>140415</v>
      </c>
      <c r="D37" s="255"/>
      <c r="E37" s="255">
        <f>SUMIF('WP5 p.6 Detail Dist'!$B$13:$B$47,'Statement H'!A37,'WP5 p.6 Detail Dist'!$H$13:$H$47)</f>
        <v>4168.7464289627542</v>
      </c>
      <c r="F37" s="255"/>
      <c r="G37" s="255"/>
      <c r="H37" s="253"/>
      <c r="I37" s="253"/>
      <c r="J37" s="253"/>
      <c r="K37" s="253"/>
      <c r="L37" s="253"/>
      <c r="M37" s="253"/>
      <c r="N37" s="253"/>
      <c r="O37" s="253"/>
      <c r="P37" s="255"/>
      <c r="Q37" s="255"/>
      <c r="R37" s="255">
        <f t="shared" si="0"/>
        <v>4168.7464289627542</v>
      </c>
      <c r="S37" s="255">
        <f t="shared" si="1"/>
        <v>144583.74642896277</v>
      </c>
      <c r="T37" s="255"/>
      <c r="U37" s="256">
        <f t="shared" si="3"/>
        <v>144583.74642896277</v>
      </c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</row>
    <row r="38" spans="1:51" s="270" customFormat="1">
      <c r="A38" s="251">
        <v>877</v>
      </c>
      <c r="B38" s="251" t="s">
        <v>309</v>
      </c>
      <c r="C38" s="255">
        <v>109514</v>
      </c>
      <c r="D38" s="255"/>
      <c r="E38" s="255">
        <f>SUMIF('WP5 p.6 Detail Dist'!$B$13:$B$47,'Statement H'!A38,'WP5 p.6 Detail Dist'!$H$13:$H$47)</f>
        <v>1739.8026662664925</v>
      </c>
      <c r="F38" s="255"/>
      <c r="G38" s="255"/>
      <c r="H38" s="253"/>
      <c r="I38" s="253"/>
      <c r="J38" s="253"/>
      <c r="K38" s="253"/>
      <c r="L38" s="253"/>
      <c r="M38" s="253"/>
      <c r="N38" s="253"/>
      <c r="O38" s="253"/>
      <c r="P38" s="255"/>
      <c r="Q38" s="255"/>
      <c r="R38" s="255">
        <f t="shared" si="0"/>
        <v>1739.8026662664925</v>
      </c>
      <c r="S38" s="255">
        <f t="shared" si="1"/>
        <v>111253.80266626649</v>
      </c>
      <c r="T38" s="255"/>
      <c r="U38" s="256">
        <f t="shared" si="2"/>
        <v>111253.80266626649</v>
      </c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</row>
    <row r="39" spans="1:51" s="270" customFormat="1">
      <c r="A39" s="251">
        <v>878</v>
      </c>
      <c r="B39" s="251" t="s">
        <v>310</v>
      </c>
      <c r="C39" s="255">
        <v>50675</v>
      </c>
      <c r="D39" s="255"/>
      <c r="E39" s="255">
        <f>SUMIF('WP5 p.6 Detail Dist'!$B$13:$B$47,'Statement H'!A39,'WP5 p.6 Detail Dist'!$H$13:$H$47)</f>
        <v>17871.02698888685</v>
      </c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>
        <f t="shared" si="0"/>
        <v>17871.02698888685</v>
      </c>
      <c r="S39" s="255">
        <f t="shared" si="1"/>
        <v>68546.02698888685</v>
      </c>
      <c r="T39" s="255"/>
      <c r="U39" s="256">
        <f t="shared" si="2"/>
        <v>68546.02698888685</v>
      </c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</row>
    <row r="40" spans="1:51" s="270" customFormat="1">
      <c r="A40" s="251">
        <v>879</v>
      </c>
      <c r="B40" s="251" t="s">
        <v>311</v>
      </c>
      <c r="C40" s="255">
        <v>673996</v>
      </c>
      <c r="D40" s="255"/>
      <c r="E40" s="255">
        <f>SUMIF('WP5 p.6 Detail Dist'!$B$13:$B$47,'Statement H'!A40,'WP5 p.6 Detail Dist'!$H$13:$H$47)</f>
        <v>24099.910187573583</v>
      </c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>
        <f t="shared" si="0"/>
        <v>24099.910187573583</v>
      </c>
      <c r="S40" s="255">
        <f t="shared" si="1"/>
        <v>698095.91018757364</v>
      </c>
      <c r="T40" s="255"/>
      <c r="U40" s="256">
        <f t="shared" si="2"/>
        <v>698095.91018757364</v>
      </c>
      <c r="AP40" s="268"/>
      <c r="AQ40" s="268"/>
      <c r="AR40" s="268"/>
      <c r="AS40" s="268"/>
      <c r="AT40" s="268"/>
      <c r="AU40" s="268"/>
      <c r="AV40" s="268"/>
      <c r="AW40" s="268"/>
      <c r="AX40" s="268"/>
      <c r="AY40" s="268"/>
    </row>
    <row r="41" spans="1:51" s="270" customFormat="1">
      <c r="A41" s="251">
        <v>880</v>
      </c>
      <c r="B41" s="251" t="s">
        <v>312</v>
      </c>
      <c r="C41" s="255">
        <v>1577044</v>
      </c>
      <c r="D41" s="255"/>
      <c r="E41" s="255">
        <f>SUMIF('WP5 p.6 Detail Dist'!$B$13:$B$47,'Statement H'!A41,'WP5 p.6 Detail Dist'!$H$13:$H$47)</f>
        <v>33162.080536814305</v>
      </c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>
        <f t="shared" si="0"/>
        <v>33162.080536814305</v>
      </c>
      <c r="S41" s="255">
        <f t="shared" si="1"/>
        <v>1610206.0805368144</v>
      </c>
      <c r="T41" s="255"/>
      <c r="U41" s="256">
        <f t="shared" ref="U41" si="4">+S41+T41</f>
        <v>1610206.0805368144</v>
      </c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</row>
    <row r="42" spans="1:51" s="270" customFormat="1">
      <c r="A42" s="251">
        <v>881</v>
      </c>
      <c r="B42" s="251" t="s">
        <v>304</v>
      </c>
      <c r="C42" s="255">
        <v>510</v>
      </c>
      <c r="D42" s="255"/>
      <c r="E42" s="255">
        <f>SUMIF('WP5 p.6 Detail Dist'!$B$13:$B$47,'Statement H'!A42,'WP5 p.6 Detail Dist'!$H$13:$H$47)</f>
        <v>0</v>
      </c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>
        <f t="shared" si="0"/>
        <v>0</v>
      </c>
      <c r="S42" s="255">
        <f t="shared" si="1"/>
        <v>510</v>
      </c>
      <c r="T42" s="255"/>
      <c r="U42" s="256">
        <f t="shared" si="2"/>
        <v>510</v>
      </c>
      <c r="AP42" s="268"/>
      <c r="AQ42" s="268"/>
      <c r="AR42" s="268"/>
      <c r="AS42" s="268"/>
      <c r="AT42" s="268"/>
      <c r="AU42" s="268"/>
      <c r="AV42" s="268"/>
      <c r="AW42" s="268"/>
      <c r="AX42" s="268"/>
      <c r="AY42" s="268"/>
    </row>
    <row r="43" spans="1:51" s="270" customFormat="1">
      <c r="A43" s="251">
        <v>887</v>
      </c>
      <c r="B43" s="251" t="s">
        <v>313</v>
      </c>
      <c r="C43" s="255">
        <v>330634</v>
      </c>
      <c r="D43" s="255"/>
      <c r="E43" s="255">
        <f>SUMIF('WP5 p.6 Detail Dist'!$B$13:$B$47,'Statement H'!A43,'WP5 p.6 Detail Dist'!$H$13:$H$47)</f>
        <v>18807.091478287075</v>
      </c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>
        <f t="shared" si="0"/>
        <v>18807.091478287075</v>
      </c>
      <c r="S43" s="255">
        <f t="shared" si="1"/>
        <v>349441.09147828707</v>
      </c>
      <c r="T43" s="255"/>
      <c r="U43" s="256">
        <f t="shared" si="2"/>
        <v>349441.09147828707</v>
      </c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</row>
    <row r="44" spans="1:51" s="270" customFormat="1">
      <c r="A44" s="251">
        <v>889</v>
      </c>
      <c r="B44" s="251" t="s">
        <v>314</v>
      </c>
      <c r="C44" s="255">
        <v>91935</v>
      </c>
      <c r="D44" s="255"/>
      <c r="E44" s="255">
        <f>SUMIF('WP5 p.6 Detail Dist'!$B$13:$B$47,'Statement H'!A44,'WP5 p.6 Detail Dist'!$H$13:$H$47)</f>
        <v>1455.6673685640228</v>
      </c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>
        <f t="shared" si="0"/>
        <v>1455.6673685640228</v>
      </c>
      <c r="S44" s="255">
        <f t="shared" si="1"/>
        <v>93390.667368564027</v>
      </c>
      <c r="T44" s="255"/>
      <c r="U44" s="256">
        <f t="shared" ref="U44" si="5">+S44+T44</f>
        <v>93390.667368564027</v>
      </c>
      <c r="AP44" s="268"/>
      <c r="AQ44" s="268"/>
      <c r="AR44" s="268"/>
      <c r="AS44" s="268"/>
      <c r="AT44" s="268"/>
      <c r="AU44" s="268"/>
      <c r="AV44" s="268"/>
      <c r="AW44" s="268"/>
      <c r="AX44" s="268"/>
      <c r="AY44" s="268"/>
    </row>
    <row r="45" spans="1:51" s="270" customFormat="1">
      <c r="A45" s="251">
        <v>891</v>
      </c>
      <c r="B45" s="251" t="s">
        <v>315</v>
      </c>
      <c r="C45" s="255">
        <v>44844</v>
      </c>
      <c r="D45" s="255"/>
      <c r="E45" s="255">
        <f>SUMIF('WP5 p.6 Detail Dist'!$B$13:$B$47,'Statement H'!A45,'WP5 p.6 Detail Dist'!$H$13:$H$47)</f>
        <v>1422.3519983589199</v>
      </c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>
        <f t="shared" si="0"/>
        <v>1422.3519983589199</v>
      </c>
      <c r="S45" s="255">
        <f t="shared" si="1"/>
        <v>46266.351998358921</v>
      </c>
      <c r="T45" s="255"/>
      <c r="U45" s="256">
        <f t="shared" si="2"/>
        <v>46266.351998358921</v>
      </c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</row>
    <row r="46" spans="1:51" s="270" customFormat="1">
      <c r="A46" s="251">
        <v>892</v>
      </c>
      <c r="B46" s="251" t="s">
        <v>316</v>
      </c>
      <c r="C46" s="255">
        <v>588508</v>
      </c>
      <c r="D46" s="255"/>
      <c r="E46" s="255">
        <f>SUMIF('WP5 p.6 Detail Dist'!$B$13:$B$47,'Statement H'!A46,'WP5 p.6 Detail Dist'!$H$13:$H$47)</f>
        <v>12642.267307222783</v>
      </c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>
        <f t="shared" si="0"/>
        <v>12642.267307222783</v>
      </c>
      <c r="S46" s="255">
        <f t="shared" si="1"/>
        <v>601150.26730722282</v>
      </c>
      <c r="T46" s="255"/>
      <c r="U46" s="256">
        <f t="shared" si="2"/>
        <v>601150.26730722282</v>
      </c>
      <c r="AP46" s="268"/>
      <c r="AQ46" s="268"/>
      <c r="AR46" s="268"/>
      <c r="AS46" s="268"/>
      <c r="AT46" s="268"/>
      <c r="AU46" s="268"/>
      <c r="AV46" s="268"/>
      <c r="AW46" s="268"/>
      <c r="AX46" s="268"/>
      <c r="AY46" s="268"/>
    </row>
    <row r="47" spans="1:51" s="270" customFormat="1">
      <c r="A47" s="251">
        <v>893</v>
      </c>
      <c r="B47" s="251" t="s">
        <v>317</v>
      </c>
      <c r="C47" s="255">
        <v>154329</v>
      </c>
      <c r="D47" s="255"/>
      <c r="E47" s="255">
        <f>SUMIF('WP5 p.6 Detail Dist'!$B$13:$B$47,'Statement H'!A47,'WP5 p.6 Detail Dist'!$H$13:$H$47)</f>
        <v>4897.2035587690716</v>
      </c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>
        <f t="shared" si="0"/>
        <v>4897.2035587690716</v>
      </c>
      <c r="S47" s="255">
        <f t="shared" si="1"/>
        <v>159226.20355876908</v>
      </c>
      <c r="T47" s="255"/>
      <c r="U47" s="256">
        <f t="shared" si="2"/>
        <v>159226.20355876908</v>
      </c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</row>
    <row r="48" spans="1:51" s="270" customFormat="1">
      <c r="A48" s="251">
        <v>901</v>
      </c>
      <c r="B48" s="251" t="s">
        <v>318</v>
      </c>
      <c r="C48" s="255">
        <v>122935</v>
      </c>
      <c r="D48" s="255"/>
      <c r="E48" s="255">
        <f>SUMIF('WP5 p.6 Detail Dist'!$B$13:$B$47,'Statement H'!A48,'WP5 p.6 Detail Dist'!$H$13:$H$47)</f>
        <v>4614.3930828057519</v>
      </c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>
        <f t="shared" si="0"/>
        <v>4614.3930828057519</v>
      </c>
      <c r="S48" s="255">
        <f t="shared" si="1"/>
        <v>127549.39308280575</v>
      </c>
      <c r="T48" s="255"/>
      <c r="U48" s="256">
        <f t="shared" si="2"/>
        <v>127549.39308280575</v>
      </c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</row>
    <row r="49" spans="1:51" s="270" customFormat="1">
      <c r="A49" s="251">
        <v>902</v>
      </c>
      <c r="B49" s="251" t="s">
        <v>319</v>
      </c>
      <c r="C49" s="255">
        <v>295110</v>
      </c>
      <c r="D49" s="255"/>
      <c r="E49" s="255">
        <f>SUMIF('WP5 p.6 Detail Dist'!$B$13:$B$47,'Statement H'!A49,'WP5 p.6 Detail Dist'!$H$13:$H$47)</f>
        <v>9215.2651908031185</v>
      </c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>
        <f t="shared" si="0"/>
        <v>9215.2651908031185</v>
      </c>
      <c r="S49" s="255">
        <f t="shared" ref="S49:S70" si="6">+C49+R49</f>
        <v>304325.2651908031</v>
      </c>
      <c r="T49" s="255"/>
      <c r="U49" s="256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</row>
    <row r="50" spans="1:51" s="270" customFormat="1">
      <c r="A50" s="251">
        <v>903</v>
      </c>
      <c r="B50" s="251" t="s">
        <v>320</v>
      </c>
      <c r="C50" s="255">
        <v>2003688</v>
      </c>
      <c r="D50" s="255"/>
      <c r="E50" s="255">
        <f>SUMIF('WP5 p.6 Detail Dist'!$B$13:$B$47,'Statement H'!A50,'WP5 p.6 Detail Dist'!$H$13:$H$47)</f>
        <v>60350.96847059788</v>
      </c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>
        <f t="shared" si="0"/>
        <v>60350.96847059788</v>
      </c>
      <c r="S50" s="255">
        <f t="shared" si="6"/>
        <v>2064038.9684705979</v>
      </c>
      <c r="T50" s="255"/>
      <c r="U50" s="256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</row>
    <row r="51" spans="1:51" s="270" customFormat="1">
      <c r="A51" s="251">
        <v>904</v>
      </c>
      <c r="B51" s="251" t="s">
        <v>321</v>
      </c>
      <c r="C51" s="255">
        <v>441277</v>
      </c>
      <c r="D51" s="255"/>
      <c r="E51" s="255">
        <f>SUMIF('WP5 p.6 Detail Dist'!$B$13:$B$47,'Statement H'!A51,'WP5 p.6 Detail Dist'!$H$13:$H$47)</f>
        <v>0</v>
      </c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>
        <f t="shared" si="0"/>
        <v>0</v>
      </c>
      <c r="S51" s="255">
        <f t="shared" si="6"/>
        <v>441277</v>
      </c>
      <c r="T51" s="255">
        <f>opincsum!K18*1000</f>
        <v>23754.743507042138</v>
      </c>
      <c r="U51" s="256">
        <f t="shared" ref="U51:U81" si="7">+S51+T51</f>
        <v>465031.74350704212</v>
      </c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</row>
    <row r="52" spans="1:51" s="270" customFormat="1">
      <c r="A52" s="251">
        <v>905</v>
      </c>
      <c r="B52" s="251" t="s">
        <v>322</v>
      </c>
      <c r="C52" s="255">
        <v>29723</v>
      </c>
      <c r="D52" s="255"/>
      <c r="E52" s="255">
        <f>SUMIF('WP5 p.6 Detail Dist'!$B$13:$B$47,'Statement H'!A52,'WP5 p.6 Detail Dist'!$H$13:$H$47)</f>
        <v>236.4027497477897</v>
      </c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>
        <f t="shared" si="0"/>
        <v>236.4027497477897</v>
      </c>
      <c r="S52" s="255">
        <f t="shared" si="6"/>
        <v>29959.402749747791</v>
      </c>
      <c r="T52" s="255"/>
      <c r="U52" s="256">
        <f t="shared" si="7"/>
        <v>29959.402749747791</v>
      </c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</row>
    <row r="53" spans="1:51" s="270" customFormat="1">
      <c r="A53" s="251">
        <v>908</v>
      </c>
      <c r="B53" s="251" t="s">
        <v>323</v>
      </c>
      <c r="C53" s="255">
        <v>1484</v>
      </c>
      <c r="D53" s="255"/>
      <c r="E53" s="255">
        <f>SUMIF('WP5 p.6 Detail Dist'!$B$13:$B$47,'Statement H'!A53,'WP5 p.6 Detail Dist'!$H$13:$H$47)</f>
        <v>0</v>
      </c>
      <c r="F53" s="255"/>
      <c r="G53" s="255"/>
      <c r="H53" s="255"/>
      <c r="I53" s="255"/>
      <c r="J53" s="255"/>
      <c r="K53" s="255"/>
      <c r="L53" s="255"/>
      <c r="M53" s="255"/>
      <c r="N53" s="253"/>
      <c r="O53" s="255"/>
      <c r="P53" s="255"/>
      <c r="Q53" s="255"/>
      <c r="R53" s="255">
        <f t="shared" si="0"/>
        <v>0</v>
      </c>
      <c r="S53" s="255">
        <f t="shared" si="6"/>
        <v>1484</v>
      </c>
      <c r="T53" s="255"/>
      <c r="U53" s="256">
        <f t="shared" si="7"/>
        <v>1484</v>
      </c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</row>
    <row r="54" spans="1:51" s="270" customFormat="1">
      <c r="A54" s="251">
        <v>909</v>
      </c>
      <c r="B54" s="251" t="s">
        <v>324</v>
      </c>
      <c r="C54" s="255">
        <v>18371</v>
      </c>
      <c r="D54" s="255"/>
      <c r="E54" s="255">
        <f>SUMIF('WP5 p.6 Detail Dist'!$B$13:$B$47,'Statement H'!A54,'WP5 p.6 Detail Dist'!$H$13:$H$47)</f>
        <v>0</v>
      </c>
      <c r="F54" s="255"/>
      <c r="G54" s="255"/>
      <c r="H54" s="255"/>
      <c r="I54" s="255"/>
      <c r="J54" s="253">
        <f>'Pro Formas'!E146</f>
        <v>952514</v>
      </c>
      <c r="K54" s="255"/>
      <c r="L54" s="255"/>
      <c r="M54" s="255"/>
      <c r="N54" s="255"/>
      <c r="O54" s="255"/>
      <c r="P54" s="255"/>
      <c r="Q54" s="255"/>
      <c r="R54" s="255">
        <f t="shared" si="0"/>
        <v>952514</v>
      </c>
      <c r="S54" s="255">
        <f t="shared" si="6"/>
        <v>970885</v>
      </c>
      <c r="T54" s="255"/>
      <c r="U54" s="256">
        <f t="shared" ref="U54" si="8">+S54+T54</f>
        <v>970885</v>
      </c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</row>
    <row r="55" spans="1:51" s="270" customFormat="1">
      <c r="A55" s="251">
        <v>910</v>
      </c>
      <c r="B55" s="251" t="s">
        <v>325</v>
      </c>
      <c r="C55" s="255">
        <v>7352</v>
      </c>
      <c r="D55" s="255"/>
      <c r="E55" s="255">
        <f>SUMIF('WP5 p.6 Detail Dist'!$B$13:$B$47,'Statement H'!A55,'WP5 p.6 Detail Dist'!$H$13:$H$47)</f>
        <v>0</v>
      </c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>
        <f t="shared" si="0"/>
        <v>0</v>
      </c>
      <c r="S55" s="255">
        <f t="shared" si="6"/>
        <v>7352</v>
      </c>
      <c r="T55" s="255"/>
      <c r="U55" s="256">
        <f t="shared" si="7"/>
        <v>7352</v>
      </c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</row>
    <row r="56" spans="1:51" s="270" customFormat="1">
      <c r="A56" s="251">
        <v>911</v>
      </c>
      <c r="B56" s="251" t="s">
        <v>318</v>
      </c>
      <c r="C56" s="255">
        <v>0</v>
      </c>
      <c r="D56" s="255"/>
      <c r="E56" s="255">
        <f>SUMIF('WP5 p.6 Detail Dist'!$B$13:$B$47,'Statement H'!A56,'WP5 p.6 Detail Dist'!$H$13:$H$47)</f>
        <v>0</v>
      </c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>
        <f t="shared" si="0"/>
        <v>0</v>
      </c>
      <c r="S56" s="255">
        <f t="shared" si="6"/>
        <v>0</v>
      </c>
      <c r="T56" s="255"/>
      <c r="U56" s="256">
        <f t="shared" si="7"/>
        <v>0</v>
      </c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</row>
    <row r="57" spans="1:51" s="270" customFormat="1">
      <c r="A57" s="251">
        <v>912</v>
      </c>
      <c r="B57" s="251" t="s">
        <v>326</v>
      </c>
      <c r="C57" s="255">
        <v>181251</v>
      </c>
      <c r="D57" s="255"/>
      <c r="E57" s="255">
        <f>SUMIF('WP5 p.6 Detail Dist'!$B$13:$B$47,'Statement H'!A57,'WP5 p.6 Detail Dist'!$H$13:$H$47)</f>
        <v>3090.8091174376423</v>
      </c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3">
        <f>'Pro Formas'!E290</f>
        <v>-79498</v>
      </c>
      <c r="Q57" s="253"/>
      <c r="R57" s="255">
        <f t="shared" si="0"/>
        <v>-76407.190882562354</v>
      </c>
      <c r="S57" s="255">
        <f t="shared" si="6"/>
        <v>104843.80911743765</v>
      </c>
      <c r="T57" s="255"/>
      <c r="U57" s="256">
        <f t="shared" si="7"/>
        <v>104843.80911743765</v>
      </c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</row>
    <row r="58" spans="1:51" s="270" customFormat="1">
      <c r="A58" s="251">
        <v>916</v>
      </c>
      <c r="B58" s="251" t="s">
        <v>327</v>
      </c>
      <c r="C58" s="255">
        <v>50167</v>
      </c>
      <c r="D58" s="255"/>
      <c r="E58" s="255">
        <f>SUMIF('WP5 p.6 Detail Dist'!$B$13:$B$47,'Statement H'!A58,'WP5 p.6 Detail Dist'!$H$13:$H$47)</f>
        <v>258.61299655119171</v>
      </c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>
        <f t="shared" si="0"/>
        <v>258.61299655119171</v>
      </c>
      <c r="S58" s="255">
        <f t="shared" si="6"/>
        <v>50425.612996551194</v>
      </c>
      <c r="T58" s="255"/>
      <c r="U58" s="256">
        <f t="shared" si="7"/>
        <v>50425.612996551194</v>
      </c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</row>
    <row r="59" spans="1:51" s="270" customFormat="1">
      <c r="A59" s="251">
        <v>920</v>
      </c>
      <c r="B59" s="251" t="s">
        <v>328</v>
      </c>
      <c r="C59" s="255">
        <v>673692</v>
      </c>
      <c r="D59" s="255"/>
      <c r="E59" s="255">
        <f>SUMIF('WP5 p.6 Detail Dist'!$B$13:$B$47,'Statement H'!A59,'WP5 p.6 Detail Dist'!$H$13:$H$47)</f>
        <v>26176.412402310598</v>
      </c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>
        <f t="shared" si="0"/>
        <v>26176.412402310598</v>
      </c>
      <c r="S59" s="255">
        <f t="shared" si="6"/>
        <v>699868.41240231064</v>
      </c>
      <c r="T59" s="255"/>
      <c r="U59" s="256">
        <f t="shared" si="7"/>
        <v>699868.41240231064</v>
      </c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</row>
    <row r="60" spans="1:51" s="270" customFormat="1">
      <c r="A60" s="251">
        <v>921</v>
      </c>
      <c r="B60" s="251" t="s">
        <v>329</v>
      </c>
      <c r="C60" s="255">
        <v>304192</v>
      </c>
      <c r="D60" s="255"/>
      <c r="E60" s="255">
        <f>SUMIF('WP5 p.6 Detail Dist'!$B$13:$B$47,'Statement H'!A60,'WP5 p.6 Detail Dist'!$H$13:$H$47)</f>
        <v>0</v>
      </c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>
        <f t="shared" si="0"/>
        <v>0</v>
      </c>
      <c r="S60" s="255">
        <f t="shared" si="6"/>
        <v>304192</v>
      </c>
      <c r="T60" s="255"/>
      <c r="U60" s="256">
        <f t="shared" si="7"/>
        <v>304192</v>
      </c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</row>
    <row r="61" spans="1:51" s="270" customFormat="1">
      <c r="A61" s="251">
        <v>922</v>
      </c>
      <c r="B61" s="251" t="s">
        <v>330</v>
      </c>
      <c r="C61" s="255">
        <v>-125723</v>
      </c>
      <c r="D61" s="255"/>
      <c r="E61" s="255">
        <f>SUMIF('WP5 p.6 Detail Dist'!$B$13:$B$47,'Statement H'!A61,'WP5 p.6 Detail Dist'!$H$13:$H$47)</f>
        <v>-4212.9720958432126</v>
      </c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>
        <f t="shared" si="0"/>
        <v>-4212.9720958432126</v>
      </c>
      <c r="S61" s="255">
        <f t="shared" si="6"/>
        <v>-129935.97209584322</v>
      </c>
      <c r="T61" s="255"/>
      <c r="U61" s="256">
        <f t="shared" si="7"/>
        <v>-129935.97209584322</v>
      </c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</row>
    <row r="62" spans="1:51" s="270" customFormat="1">
      <c r="A62" s="251">
        <v>923</v>
      </c>
      <c r="B62" s="251" t="s">
        <v>331</v>
      </c>
      <c r="C62" s="255">
        <v>176942</v>
      </c>
      <c r="D62" s="255"/>
      <c r="E62" s="255">
        <f>SUMIF('WP5 p.6 Detail Dist'!$B$13:$B$47,'Statement H'!A62,'WP5 p.6 Detail Dist'!$H$13:$H$47)</f>
        <v>0</v>
      </c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>
        <f t="shared" si="0"/>
        <v>0</v>
      </c>
      <c r="S62" s="255">
        <f t="shared" si="6"/>
        <v>176942</v>
      </c>
      <c r="T62" s="255"/>
      <c r="U62" s="256">
        <f t="shared" si="7"/>
        <v>176942</v>
      </c>
      <c r="AP62" s="268"/>
      <c r="AQ62" s="268"/>
      <c r="AR62" s="268"/>
      <c r="AS62" s="268"/>
      <c r="AT62" s="268"/>
      <c r="AU62" s="268"/>
      <c r="AV62" s="268"/>
      <c r="AW62" s="268"/>
      <c r="AX62" s="268"/>
      <c r="AY62" s="268"/>
    </row>
    <row r="63" spans="1:51" s="270" customFormat="1">
      <c r="A63" s="251">
        <v>924</v>
      </c>
      <c r="B63" s="251" t="s">
        <v>332</v>
      </c>
      <c r="C63" s="255">
        <v>12947</v>
      </c>
      <c r="D63" s="255"/>
      <c r="E63" s="255">
        <f>SUMIF('WP5 p.6 Detail Dist'!$B$13:$B$47,'Statement H'!A63,'WP5 p.6 Detail Dist'!$H$13:$H$47)</f>
        <v>368.69009693647376</v>
      </c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>
        <f t="shared" si="0"/>
        <v>368.69009693647376</v>
      </c>
      <c r="S63" s="255">
        <f t="shared" si="6"/>
        <v>13315.690096936474</v>
      </c>
      <c r="T63" s="255"/>
      <c r="U63" s="256">
        <f t="shared" si="7"/>
        <v>13315.690096936474</v>
      </c>
      <c r="AP63" s="268"/>
      <c r="AQ63" s="268"/>
      <c r="AR63" s="268"/>
      <c r="AS63" s="268"/>
      <c r="AT63" s="268"/>
      <c r="AU63" s="268"/>
      <c r="AV63" s="268"/>
      <c r="AW63" s="268"/>
      <c r="AX63" s="268"/>
      <c r="AY63" s="268"/>
    </row>
    <row r="64" spans="1:51" s="270" customFormat="1">
      <c r="A64" s="251">
        <v>925</v>
      </c>
      <c r="B64" s="251" t="s">
        <v>333</v>
      </c>
      <c r="C64" s="255">
        <v>169945</v>
      </c>
      <c r="D64" s="255"/>
      <c r="E64" s="255">
        <f>SUMIF('WP5 p.6 Detail Dist'!$B$13:$B$47,'Statement H'!A64,'WP5 p.6 Detail Dist'!$H$13:$H$47)</f>
        <v>551.71032366556028</v>
      </c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>
        <f t="shared" si="0"/>
        <v>551.71032366556028</v>
      </c>
      <c r="S64" s="255">
        <f t="shared" si="6"/>
        <v>170496.71032366555</v>
      </c>
      <c r="T64" s="255"/>
      <c r="U64" s="256">
        <f t="shared" si="7"/>
        <v>170496.71032366555</v>
      </c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</row>
    <row r="65" spans="1:51" s="270" customFormat="1">
      <c r="A65" s="251">
        <v>926</v>
      </c>
      <c r="B65" s="251" t="s">
        <v>334</v>
      </c>
      <c r="C65" s="255">
        <v>778855</v>
      </c>
      <c r="D65" s="255"/>
      <c r="E65" s="255">
        <f>SUMIF('WP5 p.6 Detail Dist'!$B$13:$B$47,'Statement H'!A65,'WP5 p.6 Detail Dist'!$H$13:$H$47)</f>
        <v>-14689.201480181491</v>
      </c>
      <c r="F65" s="255"/>
      <c r="G65" s="253">
        <f>'Pro Formas'!E82</f>
        <v>143956.27754787778</v>
      </c>
      <c r="H65" s="255"/>
      <c r="I65" s="255"/>
      <c r="J65" s="255"/>
      <c r="K65" s="255"/>
      <c r="L65" s="255"/>
      <c r="M65" s="253">
        <f>'Pro Formas'!E212</f>
        <v>-179429</v>
      </c>
      <c r="N65" s="255"/>
      <c r="O65" s="255"/>
      <c r="P65" s="255"/>
      <c r="Q65" s="255"/>
      <c r="R65" s="255">
        <f t="shared" si="0"/>
        <v>-50161.923932303718</v>
      </c>
      <c r="S65" s="255">
        <f t="shared" si="6"/>
        <v>728693.07606769633</v>
      </c>
      <c r="T65" s="255"/>
      <c r="U65" s="256">
        <f t="shared" si="7"/>
        <v>728693.07606769633</v>
      </c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</row>
    <row r="66" spans="1:51" s="270" customFormat="1">
      <c r="A66" s="251">
        <v>928</v>
      </c>
      <c r="B66" s="251" t="s">
        <v>335</v>
      </c>
      <c r="C66" s="255">
        <v>161730</v>
      </c>
      <c r="D66" s="255"/>
      <c r="E66" s="255">
        <f>SUMIF('WP5 p.6 Detail Dist'!$B$13:$B$47,'Statement H'!A66,'WP5 p.6 Detail Dist'!$H$13:$H$47)</f>
        <v>51.278394374170304</v>
      </c>
      <c r="F66" s="255"/>
      <c r="G66" s="255"/>
      <c r="H66" s="255"/>
      <c r="I66" s="255"/>
      <c r="J66" s="255"/>
      <c r="K66" s="253">
        <f>'Pro Formas'!E167</f>
        <v>65800</v>
      </c>
      <c r="L66" s="255"/>
      <c r="M66" s="255"/>
      <c r="N66" s="255"/>
      <c r="O66" s="255"/>
      <c r="P66" s="255"/>
      <c r="Q66" s="255"/>
      <c r="R66" s="255">
        <f t="shared" si="0"/>
        <v>65851.278394374167</v>
      </c>
      <c r="S66" s="255">
        <f t="shared" si="6"/>
        <v>227581.27839437418</v>
      </c>
      <c r="T66" s="255"/>
      <c r="U66" s="256">
        <f t="shared" si="7"/>
        <v>227581.27839437418</v>
      </c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</row>
    <row r="67" spans="1:51" s="270" customFormat="1">
      <c r="A67" s="251">
        <v>929</v>
      </c>
      <c r="B67" s="251" t="s">
        <v>336</v>
      </c>
      <c r="C67" s="255">
        <v>-29220</v>
      </c>
      <c r="D67" s="255"/>
      <c r="E67" s="255">
        <f>SUMIF('WP5 p.6 Detail Dist'!$B$13:$B$47,'Statement H'!A67,'WP5 p.6 Detail Dist'!$H$13:$H$47)</f>
        <v>0</v>
      </c>
      <c r="F67" s="255"/>
      <c r="G67" s="255"/>
      <c r="H67" s="255"/>
      <c r="I67" s="255"/>
      <c r="J67" s="255"/>
      <c r="K67" s="255"/>
      <c r="L67" s="255"/>
      <c r="M67" s="255"/>
      <c r="N67" s="255"/>
      <c r="O67" s="253">
        <f>-'Pro Formas'!E264</f>
        <v>22916</v>
      </c>
      <c r="P67" s="255"/>
      <c r="Q67" s="255"/>
      <c r="R67" s="255">
        <f t="shared" si="0"/>
        <v>22916</v>
      </c>
      <c r="S67" s="255">
        <f t="shared" si="6"/>
        <v>-6304</v>
      </c>
      <c r="T67" s="255"/>
      <c r="U67" s="256">
        <f t="shared" si="7"/>
        <v>-6304</v>
      </c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</row>
    <row r="68" spans="1:51" s="270" customFormat="1">
      <c r="A68" s="251">
        <v>930</v>
      </c>
      <c r="B68" s="251" t="s">
        <v>337</v>
      </c>
      <c r="C68" s="255">
        <v>82949</v>
      </c>
      <c r="D68" s="255"/>
      <c r="E68" s="255">
        <f>SUMIF('WP5 p.6 Detail Dist'!$B$13:$B$47,'Statement H'!A68,'WP5 p.6 Detail Dist'!$H$13:$H$47)</f>
        <v>323.52926176955623</v>
      </c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>
        <f t="shared" si="0"/>
        <v>323.52926176955623</v>
      </c>
      <c r="S68" s="255">
        <f t="shared" si="6"/>
        <v>83272.529261769552</v>
      </c>
      <c r="T68" s="255"/>
      <c r="U68" s="256">
        <f t="shared" si="7"/>
        <v>83272.529261769552</v>
      </c>
      <c r="AP68" s="268"/>
      <c r="AQ68" s="268"/>
      <c r="AR68" s="268"/>
      <c r="AS68" s="268"/>
      <c r="AT68" s="268"/>
      <c r="AU68" s="268"/>
      <c r="AV68" s="268"/>
      <c r="AW68" s="268"/>
      <c r="AX68" s="268"/>
      <c r="AY68" s="268"/>
    </row>
    <row r="69" spans="1:51" s="270" customFormat="1">
      <c r="A69" s="251">
        <v>931</v>
      </c>
      <c r="B69" s="251" t="s">
        <v>304</v>
      </c>
      <c r="C69" s="255">
        <v>-308066</v>
      </c>
      <c r="D69" s="255"/>
      <c r="E69" s="255">
        <f>SUMIF('WP5 p.6 Detail Dist'!$B$13:$B$47,'Statement H'!A69,'WP5 p.6 Detail Dist'!$H$13:$H$47)</f>
        <v>0</v>
      </c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>
        <f t="shared" si="0"/>
        <v>0</v>
      </c>
      <c r="S69" s="255">
        <f t="shared" si="6"/>
        <v>-308066</v>
      </c>
      <c r="T69" s="255"/>
      <c r="U69" s="256">
        <f t="shared" si="7"/>
        <v>-308066</v>
      </c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</row>
    <row r="70" spans="1:51" s="270" customFormat="1">
      <c r="A70" s="251">
        <v>935</v>
      </c>
      <c r="B70" s="251" t="s">
        <v>338</v>
      </c>
      <c r="C70" s="257">
        <v>173</v>
      </c>
      <c r="D70" s="257"/>
      <c r="E70" s="257">
        <f>SUMIF('WP5 p.6 Detail Dist'!$B$13:$B$47,'Statement H'!A70,'WP5 p.6 Detail Dist'!$H$13:$H$47)</f>
        <v>0</v>
      </c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>
        <f t="shared" si="0"/>
        <v>0</v>
      </c>
      <c r="S70" s="257">
        <f t="shared" si="6"/>
        <v>173</v>
      </c>
      <c r="T70" s="257"/>
      <c r="U70" s="258">
        <f t="shared" si="7"/>
        <v>173</v>
      </c>
      <c r="AP70" s="268"/>
      <c r="AQ70" s="268"/>
      <c r="AR70" s="268"/>
      <c r="AS70" s="268"/>
      <c r="AT70" s="268"/>
      <c r="AU70" s="268"/>
      <c r="AV70" s="268"/>
      <c r="AW70" s="268"/>
      <c r="AX70" s="268"/>
      <c r="AY70" s="268"/>
    </row>
    <row r="71" spans="1:51">
      <c r="A71" s="251"/>
      <c r="B71" s="251" t="s">
        <v>339</v>
      </c>
      <c r="C71" s="254">
        <f t="shared" ref="C71:H71" si="9">SUM(C17:C70)</f>
        <v>112054400</v>
      </c>
      <c r="D71" s="254">
        <f t="shared" si="9"/>
        <v>0</v>
      </c>
      <c r="E71" s="254">
        <f t="shared" si="9"/>
        <v>284158.94301176694</v>
      </c>
      <c r="F71" s="254">
        <f t="shared" si="9"/>
        <v>0</v>
      </c>
      <c r="G71" s="254">
        <f t="shared" si="9"/>
        <v>143956.27754787778</v>
      </c>
      <c r="H71" s="254">
        <f t="shared" si="9"/>
        <v>0</v>
      </c>
      <c r="I71" s="254"/>
      <c r="J71" s="254">
        <f t="shared" ref="J71:T71" si="10">SUM(J17:J70)</f>
        <v>952514</v>
      </c>
      <c r="K71" s="254">
        <f t="shared" si="10"/>
        <v>65800</v>
      </c>
      <c r="L71" s="254">
        <f t="shared" si="10"/>
        <v>0</v>
      </c>
      <c r="M71" s="254">
        <f t="shared" si="10"/>
        <v>-179429</v>
      </c>
      <c r="N71" s="254">
        <f t="shared" si="10"/>
        <v>0</v>
      </c>
      <c r="O71" s="254">
        <f t="shared" si="10"/>
        <v>-80414049</v>
      </c>
      <c r="P71" s="254">
        <f t="shared" si="10"/>
        <v>-79498</v>
      </c>
      <c r="Q71" s="254">
        <f t="shared" ref="Q71" si="11">SUM(Q17:Q70)</f>
        <v>0</v>
      </c>
      <c r="R71" s="254">
        <f t="shared" si="10"/>
        <v>-79226546.779440343</v>
      </c>
      <c r="S71" s="254">
        <f t="shared" si="10"/>
        <v>32827853.220559642</v>
      </c>
      <c r="T71" s="254">
        <f t="shared" si="10"/>
        <v>23754.743507042138</v>
      </c>
      <c r="U71" s="254">
        <f t="shared" si="7"/>
        <v>32851607.964066684</v>
      </c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</row>
    <row r="72" spans="1:51">
      <c r="A72" s="251"/>
      <c r="B72" s="251" t="s">
        <v>217</v>
      </c>
      <c r="C72" s="252">
        <f>6578402+414545</f>
        <v>6992947</v>
      </c>
      <c r="D72" s="259"/>
      <c r="E72" s="252"/>
      <c r="F72" s="259"/>
      <c r="G72" s="259"/>
      <c r="H72" s="260">
        <f>'Pro Formas'!E104</f>
        <v>1043030.8436159776</v>
      </c>
      <c r="I72" s="260"/>
      <c r="J72" s="260"/>
      <c r="K72" s="260"/>
      <c r="L72" s="260"/>
      <c r="M72" s="260"/>
      <c r="N72" s="260"/>
      <c r="O72" s="260"/>
      <c r="P72" s="259"/>
      <c r="Q72" s="259"/>
      <c r="R72" s="252">
        <f t="shared" ref="R72:R79" si="12">SUM(D72:Q72)</f>
        <v>1043030.8436159776</v>
      </c>
      <c r="S72" s="252">
        <f t="shared" ref="S72:S79" si="13">+C72+R72</f>
        <v>8035977.8436159771</v>
      </c>
      <c r="T72" s="252"/>
      <c r="U72" s="254">
        <f t="shared" si="7"/>
        <v>8035977.8436159771</v>
      </c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0"/>
      <c r="AL72" s="270"/>
      <c r="AM72" s="270"/>
      <c r="AN72" s="270"/>
    </row>
    <row r="73" spans="1:51">
      <c r="A73" s="251"/>
      <c r="B73" s="251" t="s">
        <v>340</v>
      </c>
      <c r="C73" s="256">
        <f>1328704+40986</f>
        <v>1369690</v>
      </c>
      <c r="D73" s="261"/>
      <c r="E73" s="256"/>
      <c r="F73" s="261"/>
      <c r="G73" s="261"/>
      <c r="H73" s="261"/>
      <c r="I73" s="261"/>
      <c r="J73" s="261"/>
      <c r="K73" s="261"/>
      <c r="L73" s="261"/>
      <c r="M73" s="261"/>
      <c r="N73" s="262">
        <f>'Pro Formas'!E235</f>
        <v>-50804</v>
      </c>
      <c r="O73" s="260">
        <f>'Pro Formas'!E265</f>
        <v>-40986</v>
      </c>
      <c r="P73" s="261"/>
      <c r="Q73" s="261"/>
      <c r="R73" s="255">
        <f t="shared" si="12"/>
        <v>-91790</v>
      </c>
      <c r="S73" s="255">
        <f t="shared" si="13"/>
        <v>1277900</v>
      </c>
      <c r="T73" s="255"/>
      <c r="U73" s="256">
        <f t="shared" si="7"/>
        <v>1277900</v>
      </c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</row>
    <row r="74" spans="1:51">
      <c r="A74" s="251"/>
      <c r="B74" s="251" t="s">
        <v>341</v>
      </c>
      <c r="C74" s="256">
        <f>740+132</f>
        <v>872</v>
      </c>
      <c r="D74" s="261"/>
      <c r="E74" s="256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55">
        <f t="shared" si="12"/>
        <v>0</v>
      </c>
      <c r="S74" s="255">
        <f t="shared" si="13"/>
        <v>872</v>
      </c>
      <c r="T74" s="255">
        <f>opincsum!K20*1000</f>
        <v>26639.687239079736</v>
      </c>
      <c r="U74" s="256">
        <f t="shared" si="7"/>
        <v>27511.687239079736</v>
      </c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</row>
    <row r="75" spans="1:51">
      <c r="A75" s="251"/>
      <c r="B75" s="251" t="s">
        <v>342</v>
      </c>
      <c r="C75" s="256">
        <f>520908+3574+4641</f>
        <v>529123</v>
      </c>
      <c r="D75" s="261"/>
      <c r="E75" s="256">
        <f>'WP5 p.6 Detail Dist'!H48</f>
        <v>22734.763617843862</v>
      </c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55">
        <f t="shared" si="12"/>
        <v>22734.763617843862</v>
      </c>
      <c r="S75" s="255">
        <f t="shared" si="13"/>
        <v>551857.76361784386</v>
      </c>
      <c r="T75" s="255"/>
      <c r="U75" s="256">
        <f t="shared" si="7"/>
        <v>551857.76361784386</v>
      </c>
      <c r="V75" s="278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P75" s="270"/>
    </row>
    <row r="76" spans="1:51">
      <c r="A76" s="251"/>
      <c r="B76" s="251" t="s">
        <v>343</v>
      </c>
      <c r="C76" s="256">
        <v>1032</v>
      </c>
      <c r="D76" s="262"/>
      <c r="E76" s="256"/>
      <c r="F76" s="262"/>
      <c r="G76" s="262"/>
      <c r="H76" s="262"/>
      <c r="I76" s="262"/>
      <c r="J76" s="262"/>
      <c r="K76" s="262"/>
      <c r="L76" s="262"/>
      <c r="M76" s="262"/>
      <c r="N76" s="256">
        <f>-C76</f>
        <v>-1032</v>
      </c>
      <c r="O76" s="262"/>
      <c r="P76" s="256"/>
      <c r="Q76" s="256"/>
      <c r="R76" s="255">
        <f t="shared" si="12"/>
        <v>-1032</v>
      </c>
      <c r="S76" s="255">
        <f t="shared" si="13"/>
        <v>0</v>
      </c>
      <c r="T76" s="256"/>
      <c r="U76" s="256">
        <f t="shared" si="7"/>
        <v>0</v>
      </c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P76" s="270"/>
    </row>
    <row r="77" spans="1:51">
      <c r="A77" s="251"/>
      <c r="B77" s="251" t="s">
        <v>344</v>
      </c>
      <c r="C77" s="256">
        <v>-1050697</v>
      </c>
      <c r="D77" s="262">
        <f>'WP4-Interest Sync'!E29</f>
        <v>-75228.562810015952</v>
      </c>
      <c r="E77" s="256">
        <f>'Pro Formas'!E39</f>
        <v>-64448</v>
      </c>
      <c r="F77" s="262">
        <f>'Pro Formas'!E62</f>
        <v>187939</v>
      </c>
      <c r="G77" s="262">
        <f>'Pro Formas'!E84</f>
        <v>-30231</v>
      </c>
      <c r="H77" s="262">
        <f>'Pro Formas'!E106</f>
        <v>-219036</v>
      </c>
      <c r="I77" s="262">
        <f>'Pro Formas'!E128</f>
        <v>82050</v>
      </c>
      <c r="J77" s="262">
        <f>'Pro Formas'!E148</f>
        <v>-200028</v>
      </c>
      <c r="K77" s="262">
        <f>'Pro Formas'!E169</f>
        <v>-13818</v>
      </c>
      <c r="L77" s="262">
        <f>'Pro Formas'!E192</f>
        <v>-25661</v>
      </c>
      <c r="M77" s="262">
        <f>'Pro Formas'!E214</f>
        <v>37680</v>
      </c>
      <c r="N77" s="262">
        <f>'Pro Formas'!E237</f>
        <v>10669</v>
      </c>
      <c r="O77" s="262">
        <f>'Pro Formas'!E268</f>
        <v>0</v>
      </c>
      <c r="P77" s="262">
        <f>'Pro Formas'!E292</f>
        <v>16695</v>
      </c>
      <c r="Q77" s="262"/>
      <c r="R77" s="255">
        <f t="shared" si="12"/>
        <v>-293417.56281001598</v>
      </c>
      <c r="S77" s="255">
        <f t="shared" si="13"/>
        <v>-1344114.5628100159</v>
      </c>
      <c r="T77" s="256">
        <f>opincsum!K22*1000</f>
        <v>1467204.7460231909</v>
      </c>
      <c r="U77" s="256">
        <f t="shared" si="7"/>
        <v>123090.18321317504</v>
      </c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</row>
    <row r="78" spans="1:51">
      <c r="A78" s="251"/>
      <c r="B78" s="251" t="s">
        <v>345</v>
      </c>
      <c r="C78" s="256">
        <f>14480357-12509709</f>
        <v>1970648</v>
      </c>
      <c r="D78" s="261"/>
      <c r="E78" s="256"/>
      <c r="F78" s="261"/>
      <c r="G78" s="261"/>
      <c r="H78" s="261"/>
      <c r="I78" s="261"/>
      <c r="J78" s="261"/>
      <c r="K78" s="261"/>
      <c r="L78" s="261"/>
      <c r="M78" s="261"/>
      <c r="N78" s="261">
        <f>-'WP14-Prop Tax'!F17</f>
        <v>1464.019999999553</v>
      </c>
      <c r="O78" s="261"/>
      <c r="P78" s="261"/>
      <c r="Q78" s="261"/>
      <c r="R78" s="255">
        <f t="shared" si="12"/>
        <v>1464.019999999553</v>
      </c>
      <c r="S78" s="255">
        <f t="shared" si="13"/>
        <v>1972112.0199999996</v>
      </c>
      <c r="T78" s="255"/>
      <c r="U78" s="256">
        <f t="shared" si="7"/>
        <v>1972112.0199999996</v>
      </c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</row>
    <row r="79" spans="1:51">
      <c r="A79" s="251"/>
      <c r="B79" s="251" t="s">
        <v>112</v>
      </c>
      <c r="C79" s="258">
        <v>-1696</v>
      </c>
      <c r="D79" s="263"/>
      <c r="E79" s="258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57">
        <f t="shared" si="12"/>
        <v>0</v>
      </c>
      <c r="S79" s="257">
        <f t="shared" si="13"/>
        <v>-1696</v>
      </c>
      <c r="T79" s="257"/>
      <c r="U79" s="256">
        <f t="shared" si="7"/>
        <v>-1696</v>
      </c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</row>
    <row r="80" spans="1:51">
      <c r="A80" s="251"/>
      <c r="B80" s="251" t="s">
        <v>346</v>
      </c>
      <c r="C80" s="264">
        <f t="shared" ref="C80:E80" si="14">SUM(C71:C79)</f>
        <v>121866319</v>
      </c>
      <c r="D80" s="264">
        <f t="shared" si="14"/>
        <v>-75228.562810015952</v>
      </c>
      <c r="E80" s="264">
        <f t="shared" si="14"/>
        <v>242445.7066296108</v>
      </c>
      <c r="F80" s="264">
        <f>SUM(F71:F79)</f>
        <v>187939</v>
      </c>
      <c r="G80" s="264">
        <f t="shared" ref="G80" si="15">SUM(G71:G79)</f>
        <v>113725.27754787778</v>
      </c>
      <c r="H80" s="264">
        <f>SUM(H71:H79)</f>
        <v>823994.84361597756</v>
      </c>
      <c r="I80" s="264">
        <f>SUM(I71:I79)</f>
        <v>82050</v>
      </c>
      <c r="J80" s="264">
        <f>SUM(J71:J79)</f>
        <v>752486</v>
      </c>
      <c r="K80" s="264">
        <f>SUM(K71:K79)</f>
        <v>51982</v>
      </c>
      <c r="L80" s="264">
        <f>SUM(L71:L79)</f>
        <v>-25661</v>
      </c>
      <c r="M80" s="264">
        <f t="shared" ref="M80:O80" si="16">SUM(M71:M79)</f>
        <v>-141749</v>
      </c>
      <c r="N80" s="264">
        <f t="shared" si="16"/>
        <v>-39702.980000000447</v>
      </c>
      <c r="O80" s="264">
        <f t="shared" si="16"/>
        <v>-80455035</v>
      </c>
      <c r="P80" s="264">
        <f t="shared" ref="P80:Q80" si="17">SUM(P71:P79)</f>
        <v>-62803</v>
      </c>
      <c r="Q80" s="264">
        <f t="shared" si="17"/>
        <v>0</v>
      </c>
      <c r="R80" s="264">
        <f>SUM(D80:Q80)</f>
        <v>-78545556.715016544</v>
      </c>
      <c r="S80" s="264">
        <f>SUM(S71:S79)</f>
        <v>43320762.284983441</v>
      </c>
      <c r="T80" s="264">
        <f>SUM(T71:T79)</f>
        <v>1517599.1767693127</v>
      </c>
      <c r="U80" s="265">
        <f t="shared" si="7"/>
        <v>44838361.461752757</v>
      </c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</row>
    <row r="81" spans="1:40">
      <c r="A81" s="251"/>
      <c r="B81" s="251" t="s">
        <v>347</v>
      </c>
      <c r="C81" s="266">
        <f t="shared" ref="C81:P81" si="18">+C15-C80</f>
        <v>6798926</v>
      </c>
      <c r="D81" s="266">
        <f t="shared" si="18"/>
        <v>75228.562810015952</v>
      </c>
      <c r="E81" s="266">
        <f t="shared" si="18"/>
        <v>-242445.7066296108</v>
      </c>
      <c r="F81" s="266">
        <f t="shared" si="18"/>
        <v>707009</v>
      </c>
      <c r="G81" s="266">
        <f t="shared" si="18"/>
        <v>-113725.27754787778</v>
      </c>
      <c r="H81" s="266">
        <f t="shared" si="18"/>
        <v>-823994.84361597756</v>
      </c>
      <c r="I81" s="266">
        <f t="shared" si="18"/>
        <v>308662.71485581715</v>
      </c>
      <c r="J81" s="266">
        <f t="shared" si="18"/>
        <v>-752486</v>
      </c>
      <c r="K81" s="266">
        <f t="shared" si="18"/>
        <v>-51982</v>
      </c>
      <c r="L81" s="266">
        <f t="shared" si="18"/>
        <v>-96535</v>
      </c>
      <c r="M81" s="266">
        <f t="shared" si="18"/>
        <v>141749</v>
      </c>
      <c r="N81" s="266">
        <f t="shared" si="18"/>
        <v>39702.980000000447</v>
      </c>
      <c r="O81" s="266">
        <f t="shared" si="18"/>
        <v>0</v>
      </c>
      <c r="P81" s="266">
        <f t="shared" si="18"/>
        <v>62803</v>
      </c>
      <c r="Q81" s="266">
        <f t="shared" ref="Q81" si="19">+Q15-Q80</f>
        <v>0</v>
      </c>
      <c r="R81" s="266">
        <f>SUM(D81:Q81)</f>
        <v>-746013.57012763259</v>
      </c>
      <c r="S81" s="266">
        <f>+S15-S80</f>
        <v>6052912.4298723787</v>
      </c>
      <c r="T81" s="266">
        <f>+T15-T80</f>
        <v>5519484.5207539089</v>
      </c>
      <c r="U81" s="266">
        <f t="shared" si="7"/>
        <v>11572396.950626288</v>
      </c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</row>
    <row r="82" spans="1:40" s="251" customFormat="1">
      <c r="Z82" s="280"/>
    </row>
    <row r="83" spans="1:40" s="251" customFormat="1">
      <c r="C83" s="294"/>
      <c r="D83" s="295" t="s">
        <v>176</v>
      </c>
      <c r="E83" s="295" t="s">
        <v>177</v>
      </c>
      <c r="F83" s="295" t="s">
        <v>178</v>
      </c>
      <c r="G83" s="295" t="s">
        <v>179</v>
      </c>
      <c r="H83" s="295" t="s">
        <v>180</v>
      </c>
      <c r="I83" s="295" t="s">
        <v>181</v>
      </c>
      <c r="J83" s="295" t="s">
        <v>182</v>
      </c>
      <c r="K83" s="295" t="s">
        <v>183</v>
      </c>
      <c r="L83" s="295" t="s">
        <v>184</v>
      </c>
      <c r="M83" s="295" t="s">
        <v>185</v>
      </c>
      <c r="N83" s="295" t="s">
        <v>186</v>
      </c>
      <c r="O83" s="295" t="s">
        <v>187</v>
      </c>
      <c r="P83" s="295" t="s">
        <v>188</v>
      </c>
      <c r="Q83" s="295" t="s">
        <v>189</v>
      </c>
      <c r="T83" s="296"/>
      <c r="Z83" s="280"/>
    </row>
    <row r="84" spans="1:40" s="251" customFormat="1">
      <c r="C84" s="294"/>
      <c r="E84" s="294"/>
      <c r="Z84" s="280"/>
    </row>
    <row r="85" spans="1:40" s="251" customFormat="1">
      <c r="A85" s="251" t="s">
        <v>348</v>
      </c>
      <c r="C85" s="294"/>
      <c r="E85" s="294"/>
      <c r="Z85" s="280"/>
    </row>
    <row r="86" spans="1:40" s="251" customFormat="1">
      <c r="C86" s="294"/>
      <c r="E86" s="294"/>
      <c r="Z86" s="280"/>
    </row>
    <row r="87" spans="1:40">
      <c r="A87" s="267"/>
      <c r="B87" s="267"/>
      <c r="C87" s="276"/>
      <c r="E87" s="276"/>
    </row>
    <row r="88" spans="1:40">
      <c r="A88" s="267"/>
      <c r="B88" s="267"/>
      <c r="C88" s="276"/>
      <c r="E88" s="276"/>
    </row>
    <row r="89" spans="1:40">
      <c r="C89" s="276"/>
      <c r="E89" s="276"/>
    </row>
    <row r="90" spans="1:40">
      <c r="C90" s="276"/>
      <c r="E90" s="276"/>
    </row>
    <row r="91" spans="1:40">
      <c r="C91" s="276"/>
      <c r="E91" s="276"/>
    </row>
    <row r="92" spans="1:40">
      <c r="C92" s="276"/>
      <c r="E92" s="276"/>
    </row>
    <row r="93" spans="1:40">
      <c r="C93" s="276"/>
      <c r="E93" s="276"/>
    </row>
    <row r="94" spans="1:40">
      <c r="C94" s="276"/>
      <c r="E94" s="276"/>
    </row>
    <row r="95" spans="1:40">
      <c r="C95" s="276"/>
      <c r="E95" s="276"/>
    </row>
  </sheetData>
  <pageMargins left="0.75" right="0.5" top="1" bottom="1" header="0.5" footer="0.5"/>
  <pageSetup scale="93" fitToWidth="0" fitToHeight="3" orientation="landscape" useFirstPageNumber="1" r:id="rId1"/>
  <headerFooter alignWithMargins="0">
    <oddFooter xml:space="preserve">&amp;C20:10:13:81
Schedule H
Page &amp;P of &amp;N&amp;R&amp;"NewCenturySchlbk,Regular"&amp;8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DD42A-3B61-491D-8B17-2F250494F8DD}">
  <sheetPr>
    <pageSetUpPr fitToPage="1"/>
  </sheetPr>
  <dimension ref="A1:W52"/>
  <sheetViews>
    <sheetView view="pageLayout" zoomScaleNormal="85" workbookViewId="0">
      <selection activeCell="A3" sqref="A3"/>
    </sheetView>
  </sheetViews>
  <sheetFormatPr defaultColWidth="9.140625" defaultRowHeight="15.75"/>
  <cols>
    <col min="1" max="1" width="4.42578125" style="1" customWidth="1"/>
    <col min="2" max="2" width="1.7109375" style="1" customWidth="1"/>
    <col min="3" max="3" width="13.5703125" style="1" customWidth="1"/>
    <col min="4" max="4" width="1.7109375" style="1" customWidth="1"/>
    <col min="5" max="5" width="59.28515625" style="1" bestFit="1" customWidth="1"/>
    <col min="6" max="6" width="1.7109375" style="1" customWidth="1"/>
    <col min="7" max="7" width="18.7109375" style="1" customWidth="1"/>
    <col min="8" max="8" width="1.7109375" style="1" customWidth="1"/>
    <col min="9" max="9" width="18.7109375" style="1" customWidth="1"/>
    <col min="10" max="10" width="1.7109375" style="1" customWidth="1"/>
    <col min="11" max="11" width="18.7109375" style="1" customWidth="1"/>
    <col min="12" max="12" width="1.7109375" style="1" customWidth="1"/>
    <col min="13" max="13" width="18.7109375" style="1" customWidth="1"/>
    <col min="14" max="14" width="1.7109375" style="1" customWidth="1"/>
    <col min="15" max="15" width="18.7109375" style="1" customWidth="1"/>
    <col min="16" max="16" width="1.7109375" style="1" customWidth="1"/>
    <col min="17" max="17" width="18.7109375" style="1" customWidth="1"/>
    <col min="18" max="18" width="1.7109375" style="1" customWidth="1"/>
    <col min="19" max="19" width="18.7109375" style="1" customWidth="1"/>
    <col min="20" max="20" width="1.7109375" style="1" customWidth="1"/>
    <col min="21" max="21" width="18.7109375" style="1" customWidth="1"/>
    <col min="22" max="22" width="1.7109375" style="1" customWidth="1"/>
    <col min="23" max="23" width="18.7109375" style="1" customWidth="1"/>
    <col min="24" max="16384" width="9.140625" style="1"/>
  </cols>
  <sheetData>
    <row r="1" spans="1:23" s="43" customFormat="1">
      <c r="A1" s="2" t="s">
        <v>0</v>
      </c>
      <c r="B1" s="41"/>
      <c r="C1" s="41"/>
      <c r="D1" s="41"/>
      <c r="E1" s="42"/>
      <c r="F1" s="41"/>
    </row>
    <row r="2" spans="1:23" s="43" customFormat="1">
      <c r="A2" s="2" t="str">
        <f>RevReq!A2</f>
        <v>Docket No. NG22-___</v>
      </c>
      <c r="B2" s="44"/>
      <c r="C2" s="44"/>
      <c r="D2" s="44"/>
      <c r="E2" s="42"/>
      <c r="F2" s="41"/>
    </row>
    <row r="3" spans="1:23" s="43" customFormat="1">
      <c r="A3" s="2" t="s">
        <v>124</v>
      </c>
      <c r="B3" s="41"/>
      <c r="C3" s="41"/>
      <c r="D3" s="41"/>
      <c r="E3" s="42"/>
      <c r="F3" s="41"/>
    </row>
    <row r="4" spans="1:23" s="43" customFormat="1">
      <c r="A4" s="2" t="s">
        <v>349</v>
      </c>
      <c r="B4" s="41"/>
      <c r="C4" s="41"/>
      <c r="D4" s="41"/>
      <c r="E4" s="45"/>
      <c r="F4" s="41"/>
    </row>
    <row r="5" spans="1:23" hidden="1"/>
    <row r="6" spans="1:23" s="43" customFormat="1">
      <c r="A6" s="2" t="str">
        <f>RevReq!A4</f>
        <v>Test Year Ended December 31, 2021</v>
      </c>
      <c r="B6" s="44"/>
      <c r="C6" s="44"/>
      <c r="D6" s="44"/>
      <c r="E6" s="42"/>
      <c r="F6" s="41"/>
    </row>
    <row r="7" spans="1:23" ht="15" customHeight="1"/>
    <row r="9" spans="1:23">
      <c r="A9" s="17" t="s">
        <v>4</v>
      </c>
      <c r="G9" s="46" t="s">
        <v>350</v>
      </c>
      <c r="H9" s="46"/>
      <c r="I9" s="46" t="s">
        <v>351</v>
      </c>
      <c r="J9" s="46"/>
      <c r="K9" s="46" t="s">
        <v>352</v>
      </c>
      <c r="M9" s="46" t="s">
        <v>353</v>
      </c>
      <c r="O9" s="46" t="s">
        <v>217</v>
      </c>
      <c r="Q9" s="46" t="s">
        <v>354</v>
      </c>
      <c r="S9" s="46" t="s">
        <v>109</v>
      </c>
      <c r="U9" s="46" t="s">
        <v>109</v>
      </c>
      <c r="W9" s="46" t="s">
        <v>355</v>
      </c>
    </row>
    <row r="10" spans="1:23">
      <c r="A10" s="107" t="s">
        <v>5</v>
      </c>
      <c r="C10" s="47" t="s">
        <v>356</v>
      </c>
      <c r="E10" s="47" t="s">
        <v>6</v>
      </c>
      <c r="G10" s="47" t="s">
        <v>357</v>
      </c>
      <c r="H10" s="46"/>
      <c r="I10" s="47" t="s">
        <v>358</v>
      </c>
      <c r="J10" s="46"/>
      <c r="K10" s="47" t="s">
        <v>358</v>
      </c>
      <c r="M10" s="47" t="s">
        <v>359</v>
      </c>
      <c r="O10" s="47" t="s">
        <v>360</v>
      </c>
      <c r="Q10" s="47" t="s">
        <v>361</v>
      </c>
      <c r="S10" s="47" t="s">
        <v>362</v>
      </c>
      <c r="U10" s="47" t="s">
        <v>363</v>
      </c>
      <c r="W10" s="47" t="s">
        <v>364</v>
      </c>
    </row>
    <row r="11" spans="1:23">
      <c r="E11" s="46"/>
    </row>
    <row r="12" spans="1:23" ht="18" customHeight="1">
      <c r="A12" s="46">
        <v>1</v>
      </c>
      <c r="C12" s="46" t="s">
        <v>365</v>
      </c>
      <c r="E12" s="1" t="s">
        <v>366</v>
      </c>
      <c r="G12" s="96">
        <v>105957164.7</v>
      </c>
      <c r="H12" s="97"/>
      <c r="I12" s="97">
        <f>G12</f>
        <v>105957164.7</v>
      </c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</row>
    <row r="13" spans="1:23" ht="18" customHeight="1">
      <c r="A13" s="46">
        <v>2</v>
      </c>
      <c r="C13" s="46">
        <v>483111</v>
      </c>
      <c r="E13" s="1" t="s">
        <v>367</v>
      </c>
      <c r="F13" s="86"/>
      <c r="G13" s="96">
        <v>19206044.539999999</v>
      </c>
      <c r="H13" s="97"/>
      <c r="I13" s="97"/>
      <c r="J13" s="97"/>
      <c r="K13" s="97">
        <f>G13</f>
        <v>19206044.539999999</v>
      </c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</row>
    <row r="14" spans="1:23" ht="18" customHeight="1">
      <c r="A14" s="46">
        <v>3</v>
      </c>
      <c r="C14" s="46">
        <v>487011</v>
      </c>
      <c r="E14" s="1" t="s">
        <v>368</v>
      </c>
      <c r="G14" s="96">
        <v>122195.71</v>
      </c>
      <c r="H14" s="97"/>
      <c r="I14" s="97"/>
      <c r="J14" s="97"/>
      <c r="K14" s="97">
        <f t="shared" ref="K14:K18" si="0">G14</f>
        <v>122195.71</v>
      </c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</row>
    <row r="15" spans="1:23" ht="18" customHeight="1">
      <c r="A15" s="46">
        <v>4</v>
      </c>
      <c r="C15" s="46">
        <v>488001</v>
      </c>
      <c r="E15" s="1" t="s">
        <v>369</v>
      </c>
      <c r="G15" s="96">
        <v>130</v>
      </c>
      <c r="H15" s="97"/>
      <c r="I15" s="97"/>
      <c r="J15" s="97"/>
      <c r="K15" s="97">
        <f t="shared" si="0"/>
        <v>130</v>
      </c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</row>
    <row r="16" spans="1:23" ht="18" customHeight="1">
      <c r="A16" s="46">
        <v>5</v>
      </c>
      <c r="C16" s="46">
        <v>488011</v>
      </c>
      <c r="E16" s="1" t="s">
        <v>370</v>
      </c>
      <c r="G16" s="96">
        <v>34097</v>
      </c>
      <c r="H16" s="97"/>
      <c r="I16" s="97"/>
      <c r="J16" s="97"/>
      <c r="K16" s="97">
        <f t="shared" si="0"/>
        <v>34097</v>
      </c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</row>
    <row r="17" spans="1:23" ht="18" customHeight="1">
      <c r="A17" s="46">
        <v>6</v>
      </c>
      <c r="C17" s="46">
        <v>488034</v>
      </c>
      <c r="E17" s="1" t="s">
        <v>371</v>
      </c>
      <c r="G17" s="96">
        <v>2520</v>
      </c>
      <c r="H17" s="97"/>
      <c r="I17" s="97"/>
      <c r="J17" s="97"/>
      <c r="K17" s="97">
        <f t="shared" si="0"/>
        <v>2520</v>
      </c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</row>
    <row r="18" spans="1:23" ht="18" customHeight="1">
      <c r="A18" s="46">
        <v>7</v>
      </c>
      <c r="C18" s="46">
        <v>488051</v>
      </c>
      <c r="E18" s="1" t="s">
        <v>372</v>
      </c>
      <c r="G18" s="96">
        <v>37379.980000000003</v>
      </c>
      <c r="H18" s="97"/>
      <c r="I18" s="97"/>
      <c r="J18" s="97"/>
      <c r="K18" s="97">
        <f t="shared" si="0"/>
        <v>37379.980000000003</v>
      </c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</row>
    <row r="19" spans="1:23" ht="18" customHeight="1">
      <c r="A19" s="46">
        <v>8</v>
      </c>
      <c r="C19" s="46">
        <v>489007</v>
      </c>
      <c r="E19" s="1" t="s">
        <v>373</v>
      </c>
      <c r="G19" s="96">
        <v>57585</v>
      </c>
      <c r="H19" s="97"/>
      <c r="I19" s="97">
        <f>G19</f>
        <v>57585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</row>
    <row r="20" spans="1:23" ht="18" customHeight="1">
      <c r="A20" s="46">
        <v>9</v>
      </c>
      <c r="C20" s="46">
        <v>489009</v>
      </c>
      <c r="E20" s="1" t="s">
        <v>374</v>
      </c>
      <c r="G20" s="96">
        <v>53002.38</v>
      </c>
      <c r="H20" s="97"/>
      <c r="I20" s="97">
        <f t="shared" ref="I20:I21" si="1">G20</f>
        <v>53002.38</v>
      </c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</row>
    <row r="21" spans="1:23" ht="18" customHeight="1">
      <c r="A21" s="46">
        <v>10</v>
      </c>
      <c r="C21" s="46">
        <v>489011</v>
      </c>
      <c r="E21" s="1" t="s">
        <v>375</v>
      </c>
      <c r="G21" s="96">
        <v>74415</v>
      </c>
      <c r="H21" s="97"/>
      <c r="I21" s="97">
        <f t="shared" si="1"/>
        <v>74415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</row>
    <row r="22" spans="1:23" ht="18" customHeight="1">
      <c r="A22" s="46">
        <v>11</v>
      </c>
      <c r="C22" s="46">
        <v>489014</v>
      </c>
      <c r="E22" s="1" t="s">
        <v>376</v>
      </c>
      <c r="G22" s="96">
        <v>28372.76</v>
      </c>
      <c r="H22" s="97"/>
      <c r="I22" s="97"/>
      <c r="J22" s="97"/>
      <c r="K22" s="97">
        <f>G22</f>
        <v>28372.76</v>
      </c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</row>
    <row r="23" spans="1:23" ht="18" customHeight="1">
      <c r="A23" s="46">
        <v>12</v>
      </c>
      <c r="C23" s="46">
        <v>489015</v>
      </c>
      <c r="E23" s="1" t="s">
        <v>377</v>
      </c>
      <c r="G23" s="96">
        <v>39125</v>
      </c>
      <c r="H23" s="97"/>
      <c r="I23" s="97">
        <f t="shared" ref="I23:I28" si="2">G23</f>
        <v>39125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</row>
    <row r="24" spans="1:23" ht="18" customHeight="1">
      <c r="A24" s="46">
        <v>13</v>
      </c>
      <c r="C24" s="46">
        <v>489016</v>
      </c>
      <c r="E24" s="1" t="s">
        <v>378</v>
      </c>
      <c r="G24" s="96">
        <v>105287.8</v>
      </c>
      <c r="H24" s="97"/>
      <c r="I24" s="97">
        <f t="shared" si="2"/>
        <v>105287.8</v>
      </c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</row>
    <row r="25" spans="1:23" ht="18" customHeight="1">
      <c r="A25" s="46">
        <v>14</v>
      </c>
      <c r="C25" s="46">
        <v>489017</v>
      </c>
      <c r="E25" s="1" t="s">
        <v>379</v>
      </c>
      <c r="G25" s="96">
        <v>15204.47</v>
      </c>
      <c r="H25" s="97"/>
      <c r="I25" s="97">
        <f t="shared" si="2"/>
        <v>15204.47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</row>
    <row r="26" spans="1:23" ht="18" customHeight="1">
      <c r="A26" s="46">
        <v>15</v>
      </c>
      <c r="C26" s="46">
        <v>489018</v>
      </c>
      <c r="E26" s="1" t="s">
        <v>380</v>
      </c>
      <c r="G26" s="96">
        <v>35164.97</v>
      </c>
      <c r="H26" s="97"/>
      <c r="I26" s="97">
        <f t="shared" si="2"/>
        <v>35164.97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</row>
    <row r="27" spans="1:23" ht="18" customHeight="1">
      <c r="A27" s="46">
        <v>16</v>
      </c>
      <c r="C27" s="46">
        <v>489021</v>
      </c>
      <c r="E27" s="1" t="s">
        <v>381</v>
      </c>
      <c r="G27" s="96">
        <v>1090579.0900000001</v>
      </c>
      <c r="H27" s="97"/>
      <c r="I27" s="97">
        <f t="shared" si="2"/>
        <v>1090579.0900000001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</row>
    <row r="28" spans="1:23" ht="18" customHeight="1">
      <c r="A28" s="46">
        <v>17</v>
      </c>
      <c r="C28" s="46">
        <v>489022</v>
      </c>
      <c r="E28" s="1" t="s">
        <v>382</v>
      </c>
      <c r="G28" s="96">
        <v>1802846.81</v>
      </c>
      <c r="H28" s="97"/>
      <c r="I28" s="97">
        <f t="shared" si="2"/>
        <v>1802846.81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</row>
    <row r="29" spans="1:23" ht="18" customHeight="1">
      <c r="A29" s="46">
        <v>18</v>
      </c>
      <c r="C29" s="46">
        <v>489026</v>
      </c>
      <c r="E29" s="50" t="s">
        <v>383</v>
      </c>
      <c r="G29" s="96">
        <v>194.69</v>
      </c>
      <c r="H29" s="97"/>
      <c r="I29" s="97"/>
      <c r="J29" s="97"/>
      <c r="K29" s="97">
        <f>G29</f>
        <v>194.69</v>
      </c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</row>
    <row r="30" spans="1:23" ht="18" customHeight="1">
      <c r="A30" s="46">
        <v>19</v>
      </c>
      <c r="C30" s="46">
        <v>489038</v>
      </c>
      <c r="E30" s="1" t="s">
        <v>384</v>
      </c>
      <c r="G30" s="97">
        <v>2819.74</v>
      </c>
      <c r="H30" s="97"/>
      <c r="I30" s="97"/>
      <c r="J30" s="97"/>
      <c r="K30" s="97">
        <f>G30</f>
        <v>2819.74</v>
      </c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</row>
    <row r="31" spans="1:23" ht="18" customHeight="1">
      <c r="A31" s="46">
        <v>20</v>
      </c>
      <c r="C31" s="46">
        <v>489039</v>
      </c>
      <c r="E31" s="1" t="s">
        <v>385</v>
      </c>
      <c r="G31" s="97">
        <v>251.94</v>
      </c>
      <c r="H31" s="97"/>
      <c r="I31" s="97"/>
      <c r="J31" s="97"/>
      <c r="K31" s="97">
        <f t="shared" ref="K31" si="3">G31</f>
        <v>251.94</v>
      </c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</row>
    <row r="32" spans="1:23" ht="18" customHeight="1">
      <c r="A32" s="46">
        <v>21</v>
      </c>
      <c r="C32" s="46">
        <v>489042</v>
      </c>
      <c r="E32" s="1" t="s">
        <v>386</v>
      </c>
      <c r="G32" s="97">
        <v>23.16</v>
      </c>
      <c r="H32" s="97"/>
      <c r="I32" s="97">
        <f>G32</f>
        <v>23.16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</row>
    <row r="33" spans="1:23" ht="18" customHeight="1">
      <c r="A33" s="46">
        <v>22</v>
      </c>
      <c r="C33" s="46">
        <v>495061</v>
      </c>
      <c r="E33" s="1" t="s">
        <v>387</v>
      </c>
      <c r="G33" s="97">
        <v>840</v>
      </c>
      <c r="H33" s="97"/>
      <c r="I33" s="97"/>
      <c r="J33" s="97"/>
      <c r="K33" s="97">
        <f>G33</f>
        <v>840</v>
      </c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</row>
    <row r="34" spans="1:23"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</row>
    <row r="35" spans="1:23">
      <c r="A35" s="1">
        <v>23</v>
      </c>
      <c r="C35" s="46" t="s">
        <v>365</v>
      </c>
      <c r="E35" s="1" t="s">
        <v>388</v>
      </c>
      <c r="G35" s="97">
        <v>110681781.59999999</v>
      </c>
      <c r="H35" s="97"/>
      <c r="I35" s="97"/>
      <c r="J35" s="97"/>
      <c r="K35" s="97"/>
      <c r="L35" s="97"/>
      <c r="M35" s="97">
        <v>110681781.59999999</v>
      </c>
      <c r="N35" s="97"/>
      <c r="O35" s="97"/>
      <c r="P35" s="97"/>
      <c r="Q35" s="97"/>
      <c r="R35" s="97"/>
      <c r="S35" s="97"/>
      <c r="T35" s="97"/>
      <c r="U35" s="97"/>
      <c r="V35" s="97"/>
      <c r="W35" s="97"/>
    </row>
    <row r="36" spans="1:23">
      <c r="A36" s="1">
        <v>24</v>
      </c>
      <c r="C36" s="46" t="s">
        <v>365</v>
      </c>
      <c r="E36" s="1" t="s">
        <v>389</v>
      </c>
      <c r="G36" s="97">
        <v>1372618.89</v>
      </c>
      <c r="H36" s="97"/>
      <c r="I36" s="97"/>
      <c r="J36" s="97"/>
      <c r="K36" s="97"/>
      <c r="L36" s="97"/>
      <c r="M36" s="97">
        <v>1372618.89</v>
      </c>
      <c r="N36" s="97"/>
      <c r="O36" s="97"/>
      <c r="P36" s="97"/>
      <c r="Q36" s="97"/>
      <c r="R36" s="97"/>
      <c r="S36" s="97"/>
      <c r="T36" s="97"/>
      <c r="U36" s="97"/>
      <c r="V36" s="97"/>
      <c r="W36" s="97"/>
    </row>
    <row r="37" spans="1:23"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</row>
    <row r="38" spans="1:23">
      <c r="A38" s="1">
        <v>25</v>
      </c>
      <c r="C38" s="46" t="s">
        <v>365</v>
      </c>
      <c r="E38" s="1" t="s">
        <v>390</v>
      </c>
      <c r="G38" s="97">
        <v>6578401.7999999998</v>
      </c>
      <c r="H38" s="97"/>
      <c r="I38" s="97"/>
      <c r="J38" s="97"/>
      <c r="K38" s="97"/>
      <c r="L38" s="97"/>
      <c r="M38" s="97"/>
      <c r="N38" s="97"/>
      <c r="O38" s="97">
        <v>6578401.7999999998</v>
      </c>
      <c r="P38" s="97"/>
      <c r="Q38" s="97"/>
      <c r="R38" s="97"/>
      <c r="S38" s="97"/>
      <c r="T38" s="97"/>
      <c r="U38" s="97"/>
      <c r="V38" s="97"/>
      <c r="W38" s="97"/>
    </row>
    <row r="39" spans="1:23">
      <c r="A39" s="1">
        <v>26</v>
      </c>
      <c r="C39" s="46" t="s">
        <v>365</v>
      </c>
      <c r="E39" s="1" t="s">
        <v>391</v>
      </c>
      <c r="G39" s="97">
        <v>414545.14</v>
      </c>
      <c r="H39" s="97"/>
      <c r="I39" s="97"/>
      <c r="J39" s="97"/>
      <c r="K39" s="97"/>
      <c r="L39" s="97"/>
      <c r="M39" s="97"/>
      <c r="N39" s="97"/>
      <c r="O39" s="97">
        <v>414545.14</v>
      </c>
      <c r="P39" s="97"/>
      <c r="Q39" s="97"/>
      <c r="R39" s="97"/>
      <c r="S39" s="97"/>
      <c r="T39" s="97"/>
      <c r="U39" s="97"/>
      <c r="V39" s="97"/>
      <c r="W39" s="97"/>
    </row>
    <row r="40" spans="1:23">
      <c r="C40" s="46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</row>
    <row r="41" spans="1:23">
      <c r="A41" s="1">
        <v>27</v>
      </c>
      <c r="C41" s="46" t="s">
        <v>365</v>
      </c>
      <c r="E41" s="1" t="s">
        <v>392</v>
      </c>
      <c r="G41" s="97">
        <v>1899685.04</v>
      </c>
      <c r="H41" s="97"/>
      <c r="I41" s="97"/>
      <c r="J41" s="97"/>
      <c r="K41" s="97"/>
      <c r="L41" s="97"/>
      <c r="M41" s="97"/>
      <c r="N41" s="97"/>
      <c r="O41" s="97"/>
      <c r="P41" s="97"/>
      <c r="Q41" s="97">
        <v>1899685.04</v>
      </c>
      <c r="R41" s="97"/>
      <c r="S41" s="97"/>
      <c r="T41" s="97"/>
      <c r="U41" s="97"/>
      <c r="V41" s="97"/>
      <c r="W41" s="97"/>
    </row>
    <row r="42" spans="1:23">
      <c r="C42" s="46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</row>
    <row r="43" spans="1:23">
      <c r="A43" s="1">
        <v>28</v>
      </c>
      <c r="C43" s="46" t="s">
        <v>365</v>
      </c>
      <c r="E43" s="1" t="s">
        <v>393</v>
      </c>
      <c r="G43" s="97">
        <v>-1050697.26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>
        <f>G43</f>
        <v>-1050697.26</v>
      </c>
      <c r="T43" s="97"/>
      <c r="U43" s="97"/>
      <c r="V43" s="97"/>
      <c r="W43" s="97"/>
    </row>
    <row r="44" spans="1:23">
      <c r="A44" s="1">
        <v>29</v>
      </c>
      <c r="C44" s="46" t="s">
        <v>365</v>
      </c>
      <c r="E44" s="1" t="s">
        <v>394</v>
      </c>
      <c r="G44" s="97">
        <v>1031.8499999999999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>
        <f>G44</f>
        <v>1031.8499999999999</v>
      </c>
      <c r="T44" s="97"/>
      <c r="U44" s="97"/>
      <c r="V44" s="97"/>
      <c r="W44" s="97"/>
    </row>
    <row r="45" spans="1:23">
      <c r="C45" s="46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</row>
    <row r="46" spans="1:23">
      <c r="A46" s="1">
        <v>30</v>
      </c>
      <c r="C46" s="46" t="s">
        <v>365</v>
      </c>
      <c r="E46" s="1" t="s">
        <v>395</v>
      </c>
      <c r="G46" s="97">
        <v>14480357.02</v>
      </c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>
        <f>G46</f>
        <v>14480357.02</v>
      </c>
      <c r="V46" s="97"/>
      <c r="W46" s="97"/>
    </row>
    <row r="47" spans="1:23">
      <c r="A47" s="1">
        <v>31</v>
      </c>
      <c r="C47" s="46" t="s">
        <v>365</v>
      </c>
      <c r="E47" s="1" t="s">
        <v>396</v>
      </c>
      <c r="G47" s="97">
        <v>-12509709.029999999</v>
      </c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>
        <f>G47</f>
        <v>-12509709.029999999</v>
      </c>
      <c r="V47" s="97"/>
      <c r="W47" s="97"/>
    </row>
    <row r="48" spans="1:23">
      <c r="C48" s="46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</row>
    <row r="49" spans="1:23">
      <c r="A49" s="1">
        <v>32</v>
      </c>
      <c r="C49" s="46">
        <v>411401</v>
      </c>
      <c r="E49" s="1" t="s">
        <v>397</v>
      </c>
      <c r="G49" s="97">
        <v>-1696.27</v>
      </c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>
        <v>-1696.27</v>
      </c>
    </row>
    <row r="50" spans="1:23"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</row>
    <row r="51" spans="1:23">
      <c r="A51" s="1">
        <v>33</v>
      </c>
      <c r="G51" s="98"/>
      <c r="H51" s="97"/>
      <c r="I51" s="99">
        <f>SUM(I12:I50)</f>
        <v>109230398.38</v>
      </c>
      <c r="J51" s="97"/>
      <c r="K51" s="99">
        <f>SUM(K12:K50)</f>
        <v>19434846.360000003</v>
      </c>
      <c r="L51" s="97"/>
      <c r="M51" s="99">
        <f>SUM(M12:M50)</f>
        <v>112054400.48999999</v>
      </c>
      <c r="N51" s="97"/>
      <c r="O51" s="99">
        <f>SUM(O12:O50)</f>
        <v>6992946.9399999995</v>
      </c>
      <c r="P51" s="97"/>
      <c r="Q51" s="99">
        <f>SUM(Q12:Q50)</f>
        <v>1899685.04</v>
      </c>
      <c r="R51" s="97"/>
      <c r="S51" s="99">
        <f>SUM(S12:S50)</f>
        <v>-1049665.4099999999</v>
      </c>
      <c r="T51" s="97"/>
      <c r="U51" s="99">
        <f>SUM(U12:U50)</f>
        <v>1970647.9900000002</v>
      </c>
      <c r="V51" s="97"/>
      <c r="W51" s="99">
        <f>SUM(W12:W50)</f>
        <v>-1696.27</v>
      </c>
    </row>
    <row r="52" spans="1:23">
      <c r="E52" s="1" t="s">
        <v>398</v>
      </c>
      <c r="G52" s="87"/>
      <c r="I52" s="89" t="s">
        <v>399</v>
      </c>
      <c r="J52" s="88"/>
      <c r="K52" s="89" t="s">
        <v>400</v>
      </c>
      <c r="L52" s="88"/>
      <c r="M52" s="89" t="s">
        <v>401</v>
      </c>
      <c r="N52" s="88"/>
      <c r="O52" s="89" t="s">
        <v>402</v>
      </c>
      <c r="P52" s="88"/>
      <c r="Q52" s="89" t="s">
        <v>403</v>
      </c>
      <c r="R52" s="88"/>
      <c r="S52" s="89" t="s">
        <v>404</v>
      </c>
      <c r="T52" s="88"/>
      <c r="U52" s="89" t="s">
        <v>405</v>
      </c>
      <c r="V52" s="88"/>
      <c r="W52" s="89" t="s">
        <v>406</v>
      </c>
    </row>
  </sheetData>
  <printOptions horizontalCentered="1"/>
  <pageMargins left="0.25" right="0.25" top="0.55000000000000004" bottom="0.5" header="0.5" footer="0.25"/>
  <pageSetup scale="50" orientation="landscape" r:id="rId1"/>
  <headerFooter alignWithMargins="0">
    <oddFooter>&amp;L
&amp;CExhibit BMG 1.1, WP 2
Page &amp;P of 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1"/>
  <sheetViews>
    <sheetView zoomScaleNormal="100" workbookViewId="0">
      <selection activeCell="C12" sqref="C12"/>
    </sheetView>
  </sheetViews>
  <sheetFormatPr defaultColWidth="8" defaultRowHeight="15.75"/>
  <cols>
    <col min="1" max="1" width="4.140625" style="2" customWidth="1"/>
    <col min="2" max="2" width="0.85546875" style="2" customWidth="1"/>
    <col min="3" max="3" width="34.7109375" style="2" customWidth="1"/>
    <col min="4" max="4" width="0.85546875" style="2" customWidth="1"/>
    <col min="5" max="5" width="16.140625" style="2" customWidth="1"/>
    <col min="6" max="6" width="0.85546875" style="2" customWidth="1"/>
    <col min="7" max="7" width="46.28515625" style="2" bestFit="1" customWidth="1"/>
    <col min="8" max="16384" width="8" style="2"/>
  </cols>
  <sheetData>
    <row r="1" spans="1:7">
      <c r="A1" s="2" t="s">
        <v>0</v>
      </c>
    </row>
    <row r="2" spans="1:7">
      <c r="A2" s="2" t="str">
        <f>RevReq!A2</f>
        <v>Docket No. NG22-___</v>
      </c>
    </row>
    <row r="3" spans="1:7">
      <c r="A3" s="2" t="s">
        <v>407</v>
      </c>
    </row>
    <row r="4" spans="1:7">
      <c r="A4" s="2" t="s">
        <v>192</v>
      </c>
    </row>
    <row r="5" spans="1:7">
      <c r="A5" s="2" t="str">
        <f>RevReq!A4</f>
        <v>Test Year Ended December 31, 2021</v>
      </c>
    </row>
    <row r="6" spans="1:7">
      <c r="A6" s="3"/>
    </row>
    <row r="8" spans="1:7">
      <c r="A8" s="17" t="s">
        <v>4</v>
      </c>
      <c r="E8" s="4" t="s">
        <v>86</v>
      </c>
    </row>
    <row r="9" spans="1:7">
      <c r="A9" s="107" t="s">
        <v>5</v>
      </c>
      <c r="C9" s="5" t="s">
        <v>6</v>
      </c>
      <c r="E9" s="5" t="s">
        <v>52</v>
      </c>
      <c r="G9" s="5" t="s">
        <v>408</v>
      </c>
    </row>
    <row r="10" spans="1:7">
      <c r="C10" s="4" t="s">
        <v>53</v>
      </c>
      <c r="E10" s="4" t="s">
        <v>54</v>
      </c>
      <c r="G10" s="4" t="s">
        <v>97</v>
      </c>
    </row>
    <row r="12" spans="1:7">
      <c r="A12" s="6">
        <v>1</v>
      </c>
      <c r="C12" s="2" t="s">
        <v>409</v>
      </c>
    </row>
    <row r="13" spans="1:7">
      <c r="A13" s="6"/>
    </row>
    <row r="14" spans="1:7">
      <c r="A14" s="6">
        <f>A12+1</f>
        <v>2</v>
      </c>
      <c r="C14" s="2" t="s">
        <v>55</v>
      </c>
      <c r="E14" s="7">
        <f>RevReq!E12*1000</f>
        <v>152187000</v>
      </c>
      <c r="G14" s="2" t="s">
        <v>410</v>
      </c>
    </row>
    <row r="15" spans="1:7">
      <c r="A15" s="6"/>
      <c r="E15" s="7"/>
    </row>
    <row r="16" spans="1:7">
      <c r="A16" s="6">
        <f>A14+1</f>
        <v>3</v>
      </c>
      <c r="C16" s="2" t="s">
        <v>411</v>
      </c>
      <c r="E16" s="8">
        <f>WACC!G12</f>
        <v>1.871518921771417E-2</v>
      </c>
      <c r="G16" s="2" t="s">
        <v>412</v>
      </c>
    </row>
    <row r="17" spans="1:7">
      <c r="A17" s="6">
        <f>A16+1</f>
        <v>4</v>
      </c>
      <c r="C17" s="2" t="s">
        <v>413</v>
      </c>
      <c r="E17" s="9">
        <f>E14*E16</f>
        <v>2848208.5014762664</v>
      </c>
      <c r="G17" s="2" t="s">
        <v>414</v>
      </c>
    </row>
    <row r="18" spans="1:7">
      <c r="A18" s="6"/>
      <c r="E18" s="9"/>
    </row>
    <row r="19" spans="1:7">
      <c r="A19" s="6">
        <f>A17+1</f>
        <v>5</v>
      </c>
      <c r="C19" s="2" t="s">
        <v>415</v>
      </c>
      <c r="E19" s="9">
        <f>'WP4-Int Synch p2'!E14</f>
        <v>2865977.25</v>
      </c>
      <c r="G19" s="10" t="s">
        <v>416</v>
      </c>
    </row>
    <row r="20" spans="1:7">
      <c r="A20" s="6">
        <f>A19+1</f>
        <v>6</v>
      </c>
      <c r="C20" s="10" t="s">
        <v>417</v>
      </c>
      <c r="E20" s="11">
        <f>-'WP4-Int Synch p2'!E23/0.21</f>
        <v>-376000</v>
      </c>
      <c r="G20" s="10" t="s">
        <v>418</v>
      </c>
    </row>
    <row r="21" spans="1:7">
      <c r="A21" s="6">
        <f>A20+1</f>
        <v>7</v>
      </c>
      <c r="C21" s="10" t="s">
        <v>419</v>
      </c>
      <c r="E21" s="9">
        <f>E19+E20</f>
        <v>2489977.25</v>
      </c>
    </row>
    <row r="22" spans="1:7">
      <c r="A22" s="6"/>
      <c r="E22" s="9"/>
    </row>
    <row r="23" spans="1:7" ht="16.5" thickBot="1">
      <c r="A23" s="6">
        <f>A21+1</f>
        <v>8</v>
      </c>
      <c r="C23" s="2" t="s">
        <v>420</v>
      </c>
      <c r="E23" s="12">
        <f>E17-E21</f>
        <v>358231.25147626642</v>
      </c>
      <c r="G23" s="2" t="s">
        <v>421</v>
      </c>
    </row>
    <row r="24" spans="1:7" s="10" customFormat="1" ht="16.5" thickTop="1">
      <c r="A24" s="13"/>
      <c r="E24" s="14"/>
    </row>
    <row r="25" spans="1:7" s="10" customFormat="1">
      <c r="A25" s="13">
        <v>9</v>
      </c>
      <c r="C25" s="10" t="s">
        <v>422</v>
      </c>
      <c r="E25" s="14">
        <f>-E23*0.21</f>
        <v>-75228.562810015952</v>
      </c>
      <c r="G25" s="10" t="s">
        <v>423</v>
      </c>
    </row>
    <row r="26" spans="1:7">
      <c r="A26" s="6" t="s">
        <v>271</v>
      </c>
    </row>
    <row r="27" spans="1:7">
      <c r="A27" s="6">
        <v>10</v>
      </c>
      <c r="C27" s="15" t="s">
        <v>424</v>
      </c>
      <c r="E27" s="16"/>
      <c r="G27" s="2" t="s">
        <v>271</v>
      </c>
    </row>
    <row r="28" spans="1:7">
      <c r="A28" s="6"/>
    </row>
    <row r="29" spans="1:7">
      <c r="A29" s="6">
        <f>A27+1</f>
        <v>11</v>
      </c>
      <c r="C29" s="10" t="s">
        <v>425</v>
      </c>
      <c r="D29" s="10"/>
      <c r="E29" s="104">
        <f>E25</f>
        <v>-75228.562810015952</v>
      </c>
      <c r="G29" s="2" t="s">
        <v>426</v>
      </c>
    </row>
    <row r="30" spans="1:7">
      <c r="A30" s="6"/>
      <c r="C30" s="10"/>
      <c r="D30" s="10"/>
      <c r="E30" s="14"/>
    </row>
    <row r="31" spans="1:7">
      <c r="E31" s="2" t="s">
        <v>427</v>
      </c>
    </row>
  </sheetData>
  <phoneticPr fontId="9" type="noConversion"/>
  <printOptions horizontalCentered="1"/>
  <pageMargins left="0.75" right="0.75" top="1" bottom="1" header="0.5" footer="0.5"/>
  <pageSetup scale="86" orientation="portrait" r:id="rId1"/>
  <headerFooter alignWithMargins="0">
    <oddFooter>&amp;CExhibit BMG 1.1, WP 4
Page &amp;P of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59"/>
  <sheetViews>
    <sheetView zoomScale="85" zoomScaleNormal="85" workbookViewId="0">
      <selection activeCell="C7" sqref="C7"/>
    </sheetView>
  </sheetViews>
  <sheetFormatPr defaultColWidth="9.140625" defaultRowHeight="15.75"/>
  <cols>
    <col min="1" max="1" width="4.42578125" style="1" customWidth="1"/>
    <col min="2" max="2" width="0.7109375" style="1" customWidth="1"/>
    <col min="3" max="3" width="57.140625" style="1" customWidth="1"/>
    <col min="4" max="4" width="0.7109375" style="1" customWidth="1"/>
    <col min="5" max="5" width="13.28515625" style="1" bestFit="1" customWidth="1"/>
    <col min="6" max="16384" width="9.140625" style="1"/>
  </cols>
  <sheetData>
    <row r="1" spans="1:5" s="43" customFormat="1">
      <c r="A1" s="2" t="s">
        <v>0</v>
      </c>
      <c r="B1" s="41"/>
      <c r="C1" s="42"/>
      <c r="D1" s="41"/>
    </row>
    <row r="2" spans="1:5" s="43" customFormat="1">
      <c r="A2" s="2" t="str">
        <f>RevReq!A2</f>
        <v>Docket No. NG22-___</v>
      </c>
      <c r="B2" s="44"/>
      <c r="C2" s="42"/>
      <c r="D2" s="41"/>
    </row>
    <row r="3" spans="1:5" s="43" customFormat="1">
      <c r="A3" s="2" t="s">
        <v>124</v>
      </c>
      <c r="B3" s="41"/>
      <c r="C3" s="42"/>
      <c r="D3" s="41"/>
    </row>
    <row r="4" spans="1:5" s="43" customFormat="1">
      <c r="A4" s="2" t="s">
        <v>428</v>
      </c>
      <c r="B4" s="41"/>
      <c r="C4" s="45"/>
      <c r="D4" s="41"/>
    </row>
    <row r="5" spans="1:5" hidden="1"/>
    <row r="6" spans="1:5" s="43" customFormat="1">
      <c r="A6" s="2" t="str">
        <f>RevReq!A4</f>
        <v>Test Year Ended December 31, 2021</v>
      </c>
      <c r="B6" s="44"/>
      <c r="C6" s="42"/>
      <c r="D6" s="41"/>
    </row>
    <row r="7" spans="1:5" ht="15" customHeight="1"/>
    <row r="9" spans="1:5">
      <c r="A9" s="17" t="s">
        <v>4</v>
      </c>
      <c r="E9" s="46" t="s">
        <v>429</v>
      </c>
    </row>
    <row r="10" spans="1:5">
      <c r="A10" s="107" t="s">
        <v>5</v>
      </c>
      <c r="C10" s="47" t="s">
        <v>6</v>
      </c>
      <c r="E10" s="47" t="s">
        <v>357</v>
      </c>
    </row>
    <row r="11" spans="1:5">
      <c r="C11" s="46" t="s">
        <v>430</v>
      </c>
    </row>
    <row r="13" spans="1:5">
      <c r="A13" s="46">
        <v>1</v>
      </c>
      <c r="C13" s="1" t="s">
        <v>431</v>
      </c>
      <c r="E13" s="78">
        <v>7718212.2699999996</v>
      </c>
    </row>
    <row r="14" spans="1:5">
      <c r="A14" s="46">
        <f>+A13+1</f>
        <v>2</v>
      </c>
      <c r="C14" s="1" t="s">
        <v>432</v>
      </c>
      <c r="E14" s="78">
        <v>2865977.25</v>
      </c>
    </row>
    <row r="15" spans="1:5" ht="14.25" customHeight="1">
      <c r="A15" s="46">
        <f t="shared" ref="A15:A52" si="0">+A14+1</f>
        <v>3</v>
      </c>
      <c r="C15" s="1" t="s">
        <v>433</v>
      </c>
      <c r="E15" s="80">
        <v>0</v>
      </c>
    </row>
    <row r="16" spans="1:5" ht="14.25" customHeight="1">
      <c r="A16" s="46">
        <f t="shared" si="0"/>
        <v>4</v>
      </c>
      <c r="C16" s="1" t="s">
        <v>434</v>
      </c>
      <c r="E16" s="78">
        <f>E13-E14-E15</f>
        <v>4852235.0199999996</v>
      </c>
    </row>
    <row r="17" spans="1:5" ht="14.25" customHeight="1">
      <c r="A17" s="46">
        <f t="shared" si="0"/>
        <v>5</v>
      </c>
      <c r="C17" s="1" t="s">
        <v>435</v>
      </c>
      <c r="E17" s="78">
        <v>-9298996.620000001</v>
      </c>
    </row>
    <row r="18" spans="1:5">
      <c r="A18" s="46">
        <f t="shared" si="0"/>
        <v>6</v>
      </c>
      <c r="C18" s="1" t="s">
        <v>436</v>
      </c>
      <c r="E18" s="80">
        <v>595253.22</v>
      </c>
    </row>
    <row r="19" spans="1:5">
      <c r="A19" s="46">
        <f t="shared" si="0"/>
        <v>7</v>
      </c>
      <c r="C19" s="1" t="s">
        <v>437</v>
      </c>
      <c r="E19" s="78">
        <f>E16+E17+E18</f>
        <v>-3851508.3800000018</v>
      </c>
    </row>
    <row r="20" spans="1:5">
      <c r="A20" s="46">
        <f t="shared" si="0"/>
        <v>8</v>
      </c>
      <c r="C20" s="1" t="s">
        <v>438</v>
      </c>
      <c r="E20" s="78">
        <f>ROUND(E19*0.21,2)</f>
        <v>-808816.76</v>
      </c>
    </row>
    <row r="21" spans="1:5">
      <c r="A21" s="46">
        <f t="shared" si="0"/>
        <v>9</v>
      </c>
      <c r="C21" s="1" t="s">
        <v>439</v>
      </c>
      <c r="E21" s="80">
        <v>-208338.63</v>
      </c>
    </row>
    <row r="22" spans="1:5" ht="18.75" customHeight="1">
      <c r="A22" s="46">
        <f t="shared" si="0"/>
        <v>10</v>
      </c>
      <c r="C22" s="1" t="s">
        <v>440</v>
      </c>
      <c r="E22" s="78">
        <f>SUM(E20:E21)</f>
        <v>-1017155.39</v>
      </c>
    </row>
    <row r="23" spans="1:5" ht="18.75" customHeight="1">
      <c r="A23" s="46">
        <f t="shared" si="0"/>
        <v>11</v>
      </c>
      <c r="C23" s="1" t="s">
        <v>441</v>
      </c>
      <c r="E23" s="78">
        <v>78960</v>
      </c>
    </row>
    <row r="24" spans="1:5" ht="18.75" customHeight="1">
      <c r="A24" s="46">
        <f t="shared" si="0"/>
        <v>12</v>
      </c>
      <c r="C24" s="1" t="s">
        <v>442</v>
      </c>
      <c r="E24" s="78">
        <v>0</v>
      </c>
    </row>
    <row r="25" spans="1:5" ht="18.75" customHeight="1">
      <c r="A25" s="46">
        <f t="shared" si="0"/>
        <v>13</v>
      </c>
      <c r="C25" s="1" t="s">
        <v>443</v>
      </c>
      <c r="E25" s="78">
        <v>0</v>
      </c>
    </row>
    <row r="26" spans="1:5" ht="18.75" customHeight="1">
      <c r="A26" s="46">
        <f t="shared" si="0"/>
        <v>14</v>
      </c>
      <c r="C26" s="1" t="s">
        <v>444</v>
      </c>
      <c r="E26" s="78">
        <v>1847948.129999999</v>
      </c>
    </row>
    <row r="27" spans="1:5" ht="18.75" customHeight="1">
      <c r="A27" s="46">
        <f t="shared" si="0"/>
        <v>15</v>
      </c>
      <c r="C27" s="1" t="s">
        <v>445</v>
      </c>
      <c r="E27" s="80">
        <v>0</v>
      </c>
    </row>
    <row r="28" spans="1:5">
      <c r="A28" s="46">
        <f t="shared" si="0"/>
        <v>16</v>
      </c>
      <c r="C28" s="1" t="s">
        <v>284</v>
      </c>
      <c r="E28" s="78">
        <f>E22+E23+E24+E25+E26+E27</f>
        <v>909752.73999999894</v>
      </c>
    </row>
    <row r="29" spans="1:5">
      <c r="A29" s="46">
        <f t="shared" si="0"/>
        <v>17</v>
      </c>
      <c r="C29" s="1" t="s">
        <v>446</v>
      </c>
      <c r="D29" s="48"/>
      <c r="E29" s="78"/>
    </row>
    <row r="30" spans="1:5">
      <c r="A30" s="46">
        <f t="shared" si="0"/>
        <v>18</v>
      </c>
      <c r="C30" s="1" t="s">
        <v>438</v>
      </c>
      <c r="E30" s="78">
        <v>-112501.87</v>
      </c>
    </row>
    <row r="31" spans="1:5">
      <c r="A31" s="46">
        <f t="shared" si="0"/>
        <v>19</v>
      </c>
      <c r="C31" s="1" t="s">
        <v>442</v>
      </c>
      <c r="E31" s="78">
        <v>1031.8499999999999</v>
      </c>
    </row>
    <row r="32" spans="1:5">
      <c r="A32" s="46">
        <f t="shared" si="0"/>
        <v>20</v>
      </c>
      <c r="C32" s="1" t="s">
        <v>447</v>
      </c>
      <c r="E32" s="78">
        <v>124163.87999999998</v>
      </c>
    </row>
    <row r="33" spans="1:5">
      <c r="A33" s="46">
        <f t="shared" si="0"/>
        <v>21</v>
      </c>
      <c r="C33" s="1" t="s">
        <v>448</v>
      </c>
      <c r="E33" s="78">
        <v>-1464.0199999999895</v>
      </c>
    </row>
    <row r="34" spans="1:5">
      <c r="A34" s="46">
        <f t="shared" si="0"/>
        <v>22</v>
      </c>
      <c r="C34" s="1" t="s">
        <v>449</v>
      </c>
      <c r="E34" s="80">
        <v>-1696.27</v>
      </c>
    </row>
    <row r="35" spans="1:5">
      <c r="A35" s="46">
        <f t="shared" si="0"/>
        <v>23</v>
      </c>
      <c r="C35" s="1" t="s">
        <v>88</v>
      </c>
      <c r="E35" s="78">
        <f>SUM(E28:E34)</f>
        <v>919286.30999999889</v>
      </c>
    </row>
    <row r="36" spans="1:5">
      <c r="A36" s="46">
        <f t="shared" si="0"/>
        <v>24</v>
      </c>
      <c r="C36" s="49"/>
      <c r="E36" s="78"/>
    </row>
    <row r="37" spans="1:5">
      <c r="A37" s="46">
        <f t="shared" si="0"/>
        <v>25</v>
      </c>
      <c r="C37" s="1" t="s">
        <v>450</v>
      </c>
      <c r="E37" s="78"/>
    </row>
    <row r="38" spans="1:5">
      <c r="A38" s="46">
        <f t="shared" si="0"/>
        <v>26</v>
      </c>
      <c r="C38" s="1" t="s">
        <v>449</v>
      </c>
      <c r="E38" s="78">
        <f>E34</f>
        <v>-1696.27</v>
      </c>
    </row>
    <row r="39" spans="1:5">
      <c r="A39" s="46">
        <f t="shared" si="0"/>
        <v>27</v>
      </c>
      <c r="C39" s="1" t="s">
        <v>438</v>
      </c>
      <c r="E39" s="78">
        <f>E22+E30+E23</f>
        <v>-1050697.26</v>
      </c>
    </row>
    <row r="40" spans="1:5">
      <c r="A40" s="46">
        <f t="shared" si="0"/>
        <v>28</v>
      </c>
      <c r="C40" s="1" t="s">
        <v>442</v>
      </c>
      <c r="E40" s="78">
        <f>E24+E31+E25</f>
        <v>1031.8499999999999</v>
      </c>
    </row>
    <row r="41" spans="1:5">
      <c r="A41" s="46">
        <f t="shared" si="0"/>
        <v>29</v>
      </c>
      <c r="C41" s="1" t="s">
        <v>451</v>
      </c>
      <c r="E41" s="78">
        <f t="shared" ref="E41:E42" si="1">E26+E32</f>
        <v>1972112.0099999988</v>
      </c>
    </row>
    <row r="42" spans="1:5">
      <c r="A42" s="46">
        <f t="shared" si="0"/>
        <v>30</v>
      </c>
      <c r="C42" s="1" t="s">
        <v>452</v>
      </c>
      <c r="E42" s="80">
        <f t="shared" si="1"/>
        <v>-1464.0199999999895</v>
      </c>
    </row>
    <row r="43" spans="1:5" ht="16.5" thickBot="1">
      <c r="A43" s="46">
        <f t="shared" si="0"/>
        <v>31</v>
      </c>
      <c r="C43" s="1" t="s">
        <v>88</v>
      </c>
      <c r="E43" s="81">
        <f>SUM(E38:E42)</f>
        <v>919286.30999999889</v>
      </c>
    </row>
    <row r="44" spans="1:5" ht="16.5" thickTop="1">
      <c r="A44" s="46">
        <f t="shared" si="0"/>
        <v>32</v>
      </c>
      <c r="C44" s="49"/>
      <c r="E44" s="78"/>
    </row>
    <row r="45" spans="1:5">
      <c r="A45" s="46">
        <f t="shared" si="0"/>
        <v>33</v>
      </c>
      <c r="E45" s="78"/>
    </row>
    <row r="46" spans="1:5">
      <c r="A46" s="46">
        <f t="shared" si="0"/>
        <v>34</v>
      </c>
      <c r="C46" s="1" t="s">
        <v>453</v>
      </c>
      <c r="E46" s="78"/>
    </row>
    <row r="47" spans="1:5">
      <c r="A47" s="46">
        <f t="shared" si="0"/>
        <v>35</v>
      </c>
      <c r="C47" s="1" t="s">
        <v>397</v>
      </c>
      <c r="E47" s="78">
        <v>-1696.27</v>
      </c>
    </row>
    <row r="48" spans="1:5">
      <c r="A48" s="46">
        <f t="shared" si="0"/>
        <v>36</v>
      </c>
      <c r="C48" s="1" t="s">
        <v>393</v>
      </c>
      <c r="E48" s="78">
        <v>-1050697.26</v>
      </c>
    </row>
    <row r="49" spans="1:5">
      <c r="A49" s="46">
        <f t="shared" si="0"/>
        <v>37</v>
      </c>
      <c r="C49" s="1" t="s">
        <v>394</v>
      </c>
      <c r="E49" s="78">
        <v>1031.8499999999999</v>
      </c>
    </row>
    <row r="50" spans="1:5">
      <c r="A50" s="46">
        <f t="shared" si="0"/>
        <v>38</v>
      </c>
      <c r="C50" s="1" t="s">
        <v>454</v>
      </c>
      <c r="E50" s="78">
        <v>1972112.0099999998</v>
      </c>
    </row>
    <row r="51" spans="1:5">
      <c r="A51" s="46">
        <f t="shared" si="0"/>
        <v>39</v>
      </c>
      <c r="C51" s="50" t="s">
        <v>455</v>
      </c>
      <c r="E51" s="80">
        <v>-1464.019999999553</v>
      </c>
    </row>
    <row r="52" spans="1:5" ht="16.5" thickBot="1">
      <c r="A52" s="46">
        <f t="shared" si="0"/>
        <v>40</v>
      </c>
      <c r="C52" s="1" t="s">
        <v>88</v>
      </c>
      <c r="E52" s="81">
        <f>SUM(E47:E51)</f>
        <v>919286.31000000029</v>
      </c>
    </row>
    <row r="53" spans="1:5" ht="16.5" thickTop="1">
      <c r="E53" s="79"/>
    </row>
    <row r="54" spans="1:5">
      <c r="E54" s="79"/>
    </row>
    <row r="55" spans="1:5">
      <c r="E55" s="43"/>
    </row>
    <row r="56" spans="1:5">
      <c r="E56" s="79"/>
    </row>
    <row r="57" spans="1:5">
      <c r="E57" s="79"/>
    </row>
    <row r="58" spans="1:5">
      <c r="E58" s="79"/>
    </row>
    <row r="59" spans="1:5">
      <c r="E59" s="79"/>
    </row>
  </sheetData>
  <phoneticPr fontId="5" type="noConversion"/>
  <printOptions horizontalCentered="1"/>
  <pageMargins left="0.25" right="0.25" top="0.55000000000000004" bottom="0.5" header="0.5" footer="0.25"/>
  <pageSetup scale="90" orientation="portrait" r:id="rId1"/>
  <headerFooter alignWithMargins="0">
    <oddFooter>&amp;L
&amp;CExhibit BMG 1.1, WP 4
Page 2 of 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5D19B3-9F33-4D2C-A512-076D72BC2C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4EB3B0-FA55-4F24-91E4-7F5F1EB955C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50A0C5-D0E2-4152-B772-AE7B3BC2B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48</vt:i4>
      </vt:variant>
      <vt:variant>
        <vt:lpstr>Named Ranges</vt:lpstr>
      </vt:variant>
      <vt:variant>
        <vt:i4>46</vt:i4>
      </vt:variant>
    </vt:vector>
  </HeadingPairs>
  <TitlesOfParts>
    <vt:vector size="94" baseType="lpstr">
      <vt:lpstr>Index</vt:lpstr>
      <vt:lpstr>RevReq</vt:lpstr>
      <vt:lpstr>opincsum</vt:lpstr>
      <vt:lpstr>Pro Forma Summary</vt:lpstr>
      <vt:lpstr>Pro Formas</vt:lpstr>
      <vt:lpstr>Statement H</vt:lpstr>
      <vt:lpstr>WP2-Op Income</vt:lpstr>
      <vt:lpstr>WP4-Interest Sync</vt:lpstr>
      <vt:lpstr>WP4-Int Synch p2</vt:lpstr>
      <vt:lpstr>WP5-Payroll Adj</vt:lpstr>
      <vt:lpstr>WP5 p.5-DirectPay2021</vt:lpstr>
      <vt:lpstr>WP5 p.6 Detail Dist</vt:lpstr>
      <vt:lpstr>WP6-Weather</vt:lpstr>
      <vt:lpstr>WP7pg1-Pension Costs</vt:lpstr>
      <vt:lpstr>WP7pg2-Pension Costs </vt:lpstr>
      <vt:lpstr>WP8-Dep Exp</vt:lpstr>
      <vt:lpstr>WP9-Sales Growth</vt:lpstr>
      <vt:lpstr>WP10-Meter Read Labor</vt:lpstr>
      <vt:lpstr>WP11-Rate Case Exp</vt:lpstr>
      <vt:lpstr>WP12-LPC</vt:lpstr>
      <vt:lpstr>WP13-LTIP</vt:lpstr>
      <vt:lpstr>WP14-Prop Tax</vt:lpstr>
      <vt:lpstr>WP15-PGA</vt:lpstr>
      <vt:lpstr>WP16-Econ Dev</vt:lpstr>
      <vt:lpstr>WP18-</vt:lpstr>
      <vt:lpstr>WP17-Revenue Reclass</vt:lpstr>
      <vt:lpstr>WACC</vt:lpstr>
      <vt:lpstr>Sheet1</vt:lpstr>
      <vt:lpstr>Cost LT Debt</vt:lpstr>
      <vt:lpstr>LT Debt</vt:lpstr>
      <vt:lpstr>Unam Debt Prem</vt:lpstr>
      <vt:lpstr>Unam Gain Reacq</vt:lpstr>
      <vt:lpstr>Unam Debt Disc</vt:lpstr>
      <vt:lpstr>Unam Debt Exp</vt:lpstr>
      <vt:lpstr>Unam Loss Reacq</vt:lpstr>
      <vt:lpstr>Interest</vt:lpstr>
      <vt:lpstr>Amort Disc</vt:lpstr>
      <vt:lpstr>Amort Exp</vt:lpstr>
      <vt:lpstr>Amort Loss</vt:lpstr>
      <vt:lpstr>Amort Premium</vt:lpstr>
      <vt:lpstr>7.45%B</vt:lpstr>
      <vt:lpstr>Amort Gain</vt:lpstr>
      <vt:lpstr>7.45%A</vt:lpstr>
      <vt:lpstr>6.95%A</vt:lpstr>
      <vt:lpstr>6.95%B</vt:lpstr>
      <vt:lpstr>6.95%C</vt:lpstr>
      <vt:lpstr>Com Eq</vt:lpstr>
      <vt:lpstr>Unam G&amp;L</vt:lpstr>
      <vt:lpstr>'6.95%A'!Print_Area</vt:lpstr>
      <vt:lpstr>'6.95%B'!Print_Area</vt:lpstr>
      <vt:lpstr>'6.95%C'!Print_Area</vt:lpstr>
      <vt:lpstr>'7.45%A'!Print_Area</vt:lpstr>
      <vt:lpstr>'7.45%B'!Print_Area</vt:lpstr>
      <vt:lpstr>'Amort Disc'!Print_Area</vt:lpstr>
      <vt:lpstr>'Amort Exp'!Print_Area</vt:lpstr>
      <vt:lpstr>'Amort Gain'!Print_Area</vt:lpstr>
      <vt:lpstr>'Amort Loss'!Print_Area</vt:lpstr>
      <vt:lpstr>'Com Eq'!Print_Area</vt:lpstr>
      <vt:lpstr>'Cost LT Debt'!Print_Area</vt:lpstr>
      <vt:lpstr>Index!Print_Area</vt:lpstr>
      <vt:lpstr>Interest!Print_Area</vt:lpstr>
      <vt:lpstr>'LT Debt'!Print_Area</vt:lpstr>
      <vt:lpstr>opincsum!Print_Area</vt:lpstr>
      <vt:lpstr>'Pro Forma Summary'!Print_Area</vt:lpstr>
      <vt:lpstr>'Pro Formas'!Print_Area</vt:lpstr>
      <vt:lpstr>RevReq!Print_Area</vt:lpstr>
      <vt:lpstr>'Statement H'!Print_Area</vt:lpstr>
      <vt:lpstr>'Unam Debt Disc'!Print_Area</vt:lpstr>
      <vt:lpstr>'Unam Debt Exp'!Print_Area</vt:lpstr>
      <vt:lpstr>'Unam Debt Prem'!Print_Area</vt:lpstr>
      <vt:lpstr>'Unam G&amp;L'!Print_Area</vt:lpstr>
      <vt:lpstr>'Unam Gain Reacq'!Print_Area</vt:lpstr>
      <vt:lpstr>'Unam Loss Reacq'!Print_Area</vt:lpstr>
      <vt:lpstr>WACC!Print_Area</vt:lpstr>
      <vt:lpstr>'WP10-Meter Read Labor'!Print_Area</vt:lpstr>
      <vt:lpstr>'WP11-Rate Case Exp'!Print_Area</vt:lpstr>
      <vt:lpstr>'WP12-LPC'!Print_Area</vt:lpstr>
      <vt:lpstr>'WP16-Econ Dev'!Print_Area</vt:lpstr>
      <vt:lpstr>'WP17-Revenue Reclass'!Print_Area</vt:lpstr>
      <vt:lpstr>'WP18-'!Print_Area</vt:lpstr>
      <vt:lpstr>'WP2-Op Income'!Print_Area</vt:lpstr>
      <vt:lpstr>'WP4-Int Synch p2'!Print_Area</vt:lpstr>
      <vt:lpstr>'WP4-Interest Sync'!Print_Area</vt:lpstr>
      <vt:lpstr>'WP5 p.5-DirectPay2021'!Print_Area</vt:lpstr>
      <vt:lpstr>'WP5-Payroll Adj'!Print_Area</vt:lpstr>
      <vt:lpstr>'WP6-Weather'!Print_Area</vt:lpstr>
      <vt:lpstr>'WP7pg1-Pension Costs'!Print_Area</vt:lpstr>
      <vt:lpstr>'WP7pg2-Pension Costs '!Print_Area</vt:lpstr>
      <vt:lpstr>'WP8-Dep Exp'!Print_Area</vt:lpstr>
      <vt:lpstr>'WP9-Sales Growth'!Print_Area</vt:lpstr>
      <vt:lpstr>'Pro Forma Summary'!Print_Titles</vt:lpstr>
      <vt:lpstr>'Statement H'!Print_Titles</vt:lpstr>
      <vt:lpstr>'WP4-Interest Sync'!Print_Titles</vt:lpstr>
      <vt:lpstr>'WP5 p.5-DirectPay2021'!Print_Titles</vt:lpstr>
    </vt:vector>
  </TitlesOfParts>
  <Manager/>
  <Company>MidAmerican Energy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W. Hamilton</dc:creator>
  <cp:keywords/>
  <dc:description/>
  <cp:lastModifiedBy>Farrance, Laura (MidAmerican)</cp:lastModifiedBy>
  <cp:revision/>
  <dcterms:created xsi:type="dcterms:W3CDTF">1998-08-24T19:04:22Z</dcterms:created>
  <dcterms:modified xsi:type="dcterms:W3CDTF">2022-05-17T18:45:30Z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0x010100F6B0E68A2304554DB22ED73F3E9DF72E</vt:lpwstr>
  </property>
</Properties>
</file>