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GasElectric\2021\GE21-001\"/>
    </mc:Choice>
  </mc:AlternateContent>
  <xr:revisionPtr revIDLastSave="0" documentId="8_{89083723-56C7-4474-A5CC-E53F28343E58}" xr6:coauthVersionLast="46" xr6:coauthVersionMax="46" xr10:uidLastSave="{00000000-0000-0000-0000-000000000000}"/>
  <bookViews>
    <workbookView xWindow="-120" yWindow="-120" windowWidth="23280" windowHeight="12600" xr2:uid="{7F335E76-54C3-4204-9B1C-044D8C2A28A8}"/>
  </bookViews>
  <sheets>
    <sheet name="Dollars" sheetId="1" r:id="rId1"/>
    <sheet name="Vortex Bal SD PGA-Dec" sheetId="3" r:id="rId2"/>
  </sheets>
  <externalReferences>
    <externalReference r:id="rId3"/>
    <externalReference r:id="rId4"/>
  </externalReferences>
  <definedNames>
    <definedName name="\a" localSheetId="1">[1]CONSLPGA!#REF!</definedName>
    <definedName name="\a">[2]CONSLPGA!#REF!</definedName>
    <definedName name="\b" localSheetId="1">[1]CONSLPGA!#REF!</definedName>
    <definedName name="\b">[2]CONSLPGA!#REF!</definedName>
    <definedName name="\c" localSheetId="1">[1]CONSLPGA!#REF!</definedName>
    <definedName name="\c">[2]CONSLPGA!#REF!</definedName>
    <definedName name="\d" localSheetId="1">[1]CONSLPGA!#REF!</definedName>
    <definedName name="\d">[2]CONSLPGA!#REF!</definedName>
    <definedName name="Print_Area_MI" localSheetId="1">[1]CONSLPGA!#REF!</definedName>
    <definedName name="Print_Area_MI">[2]CONSLPGA!#REF!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E26" i="1" l="1"/>
  <c r="E27" i="1" s="1"/>
  <c r="F26" i="1"/>
  <c r="F27" i="1" s="1"/>
  <c r="G26" i="1"/>
  <c r="G27" i="1" s="1"/>
  <c r="H26" i="1"/>
  <c r="H27" i="1" s="1"/>
  <c r="I26" i="1"/>
  <c r="I27" i="1" s="1"/>
  <c r="J26" i="1"/>
  <c r="J27" i="1" s="1"/>
  <c r="K26" i="1"/>
  <c r="K27" i="1" s="1"/>
  <c r="D26" i="1"/>
  <c r="D27" i="1" s="1"/>
  <c r="C22" i="1"/>
  <c r="C23" i="1" s="1"/>
  <c r="O16" i="3"/>
  <c r="N16" i="3"/>
  <c r="M16" i="3"/>
  <c r="L16" i="3"/>
  <c r="K16" i="3"/>
  <c r="J16" i="3"/>
  <c r="I16" i="3"/>
  <c r="H16" i="3"/>
  <c r="G16" i="3"/>
  <c r="F14" i="3"/>
  <c r="G12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F32" i="3" l="1"/>
  <c r="C19" i="1" s="1"/>
  <c r="G14" i="3"/>
  <c r="G17" i="3" l="1"/>
  <c r="H12" i="3" s="1"/>
  <c r="D22" i="1" l="1"/>
  <c r="G32" i="3"/>
  <c r="H38" i="3" s="1"/>
  <c r="H39" i="3" s="1"/>
  <c r="H13" i="3" s="1"/>
  <c r="H14" i="3" s="1"/>
  <c r="H17" i="3" s="1"/>
  <c r="I12" i="3" s="1"/>
  <c r="D19" i="1" l="1"/>
  <c r="E22" i="1"/>
  <c r="H32" i="3"/>
  <c r="I38" i="3" s="1"/>
  <c r="I39" i="3" s="1"/>
  <c r="I13" i="3" s="1"/>
  <c r="I14" i="3" s="1"/>
  <c r="I17" i="3" s="1"/>
  <c r="J12" i="3" s="1"/>
  <c r="F22" i="1" l="1"/>
  <c r="I32" i="3"/>
  <c r="J38" i="3" s="1"/>
  <c r="J39" i="3" s="1"/>
  <c r="J13" i="3" s="1"/>
  <c r="J14" i="3" s="1"/>
  <c r="J17" i="3" s="1"/>
  <c r="K12" i="3" s="1"/>
  <c r="E19" i="1"/>
  <c r="G22" i="1" l="1"/>
  <c r="J32" i="3"/>
  <c r="K38" i="3" s="1"/>
  <c r="K39" i="3" s="1"/>
  <c r="K13" i="3" s="1"/>
  <c r="K14" i="3" s="1"/>
  <c r="K17" i="3" s="1"/>
  <c r="L12" i="3" s="1"/>
  <c r="F19" i="1"/>
  <c r="H22" i="1" l="1"/>
  <c r="K32" i="3"/>
  <c r="L38" i="3" s="1"/>
  <c r="L39" i="3" s="1"/>
  <c r="L13" i="3" s="1"/>
  <c r="L14" i="3" s="1"/>
  <c r="L17" i="3" s="1"/>
  <c r="M12" i="3" s="1"/>
  <c r="G19" i="1"/>
  <c r="H19" i="1" l="1"/>
  <c r="I22" i="1"/>
  <c r="L32" i="3"/>
  <c r="M38" i="3" s="1"/>
  <c r="M39" i="3" s="1"/>
  <c r="M13" i="3" s="1"/>
  <c r="M14" i="3" s="1"/>
  <c r="M17" i="3" s="1"/>
  <c r="N12" i="3" s="1"/>
  <c r="I19" i="1" l="1"/>
  <c r="J22" i="1"/>
  <c r="M32" i="3"/>
  <c r="N38" i="3" s="1"/>
  <c r="N39" i="3" s="1"/>
  <c r="N13" i="3" s="1"/>
  <c r="N14" i="3" s="1"/>
  <c r="N17" i="3" s="1"/>
  <c r="O12" i="3" s="1"/>
  <c r="J19" i="1" l="1"/>
  <c r="K22" i="1"/>
  <c r="N32" i="3"/>
  <c r="O38" i="3" s="1"/>
  <c r="O39" i="3" s="1"/>
  <c r="O13" i="3" s="1"/>
  <c r="O14" i="3" s="1"/>
  <c r="K19" i="1" l="1"/>
  <c r="O17" i="3"/>
  <c r="C16" i="1" l="1"/>
  <c r="C20" i="1" l="1"/>
  <c r="D20" i="1"/>
  <c r="E20" i="1"/>
  <c r="F20" i="1"/>
  <c r="G20" i="1"/>
  <c r="H20" i="1"/>
  <c r="I20" i="1"/>
  <c r="J20" i="1"/>
  <c r="K20" i="1"/>
  <c r="K10" i="1" l="1"/>
  <c r="K14" i="1"/>
  <c r="J10" i="1"/>
  <c r="J14" i="1"/>
  <c r="I10" i="1"/>
  <c r="I14" i="1"/>
  <c r="H10" i="1"/>
  <c r="H14" i="1" l="1"/>
  <c r="G14" i="1"/>
  <c r="F14" i="1"/>
  <c r="E14" i="1"/>
  <c r="D14" i="1"/>
  <c r="D9" i="1"/>
  <c r="D23" i="1" s="1"/>
  <c r="D16" i="1" l="1"/>
  <c r="E9" i="1" s="1"/>
  <c r="E16" i="1" l="1"/>
  <c r="E23" i="1"/>
  <c r="F9" i="1"/>
  <c r="F16" i="1" l="1"/>
  <c r="F23" i="1"/>
  <c r="G9" i="1"/>
  <c r="G16" i="1" l="1"/>
  <c r="G23" i="1"/>
  <c r="H9" i="1"/>
  <c r="H16" i="1" l="1"/>
  <c r="H23" i="1"/>
  <c r="I9" i="1"/>
  <c r="I16" i="1" l="1"/>
  <c r="I23" i="1"/>
  <c r="J9" i="1"/>
  <c r="J16" i="1" l="1"/>
  <c r="J23" i="1"/>
  <c r="K9" i="1"/>
  <c r="K16" i="1" l="1"/>
  <c r="K23" i="1"/>
</calcChain>
</file>

<file path=xl/sharedStrings.xml><?xml version="1.0" encoding="utf-8"?>
<sst xmlns="http://schemas.openxmlformats.org/spreadsheetml/2006/main" count="87" uniqueCount="72">
  <si>
    <t>MidAmerican Energy Company</t>
  </si>
  <si>
    <t>Through November 30, 2021</t>
  </si>
  <si>
    <t>Line</t>
  </si>
  <si>
    <t>No.</t>
  </si>
  <si>
    <t>Description</t>
  </si>
  <si>
    <t>Actual</t>
  </si>
  <si>
    <t>Forecast</t>
  </si>
  <si>
    <t>Purchased Gas Adjustment Factor</t>
  </si>
  <si>
    <t>2021-2022 Undercollection</t>
  </si>
  <si>
    <t>Gas Cost Over/(Under) Beginning Balance</t>
  </si>
  <si>
    <t>Gas Cost Over/(Under) Ending Balance</t>
  </si>
  <si>
    <t>Over/(Under) attributed to Vortex</t>
  </si>
  <si>
    <t>Over/(Under) attributed to other factors</t>
  </si>
  <si>
    <t>Purchased Gas Adjustment Factor - portion intended to recover other costs</t>
  </si>
  <si>
    <t>November 2021</t>
  </si>
  <si>
    <t>SOUTH DAKOTA</t>
  </si>
  <si>
    <t>(A)</t>
  </si>
  <si>
    <t>(B)</t>
  </si>
  <si>
    <t xml:space="preserve">Line </t>
  </si>
  <si>
    <t>Amount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</si>
  <si>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</si>
  <si>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</si>
  <si>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</si>
  <si>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</si>
  <si>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</si>
  <si>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</si>
  <si>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</si>
  <si>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</si>
  <si>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</si>
  <si>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</si>
  <si>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Under-Recovery Related to Polar Vortex as of 02-28-21</t>
  </si>
  <si>
    <t>Monthly Recoveries</t>
  </si>
  <si>
    <t>Under-Recovery Balance End of Month</t>
  </si>
  <si>
    <t>Carrying Charge Rate</t>
  </si>
  <si>
    <t>Carrying Charge Amount</t>
  </si>
  <si>
    <t>Therms</t>
  </si>
  <si>
    <t>Forecast Sales:</t>
  </si>
  <si>
    <t xml:space="preserve">   April 2021</t>
  </si>
  <si>
    <t xml:space="preserve">   May 2021</t>
  </si>
  <si>
    <t xml:space="preserve">   June 2021</t>
  </si>
  <si>
    <t xml:space="preserve">   July 2021</t>
  </si>
  <si>
    <t xml:space="preserve">   August 2021</t>
  </si>
  <si>
    <t xml:space="preserve">   September 2021</t>
  </si>
  <si>
    <t xml:space="preserve">   October 2021</t>
  </si>
  <si>
    <t xml:space="preserve">   November 2021</t>
  </si>
  <si>
    <t xml:space="preserve">   December 2021</t>
  </si>
  <si>
    <t>Total Forecast Sales</t>
  </si>
  <si>
    <t xml:space="preserve">   Actual Sales</t>
  </si>
  <si>
    <t xml:space="preserve">   Vortex Factor</t>
  </si>
  <si>
    <t>Actual Sales</t>
  </si>
  <si>
    <t>Forecast Sales</t>
  </si>
  <si>
    <t>Actual less Forecast Sales</t>
  </si>
  <si>
    <t>Contemporaneous Gas Costs</t>
  </si>
  <si>
    <r>
      <t xml:space="preserve">Purchased Gas Adjustment Factor </t>
    </r>
    <r>
      <rPr>
        <vertAlign val="superscript"/>
        <sz val="10"/>
        <color theme="1"/>
        <rFont val="Times New Roman"/>
        <family val="1"/>
      </rPr>
      <t>1</t>
    </r>
  </si>
  <si>
    <t>Footnotes:</t>
  </si>
  <si>
    <t xml:space="preserve">Under-Recovery balance related to the Polar Vortex of February 2021.  The Vortex Factor is not a </t>
  </si>
  <si>
    <t>separate factor; it is a part of the Rb Factor in the monthly Purchased Gas Adjustment Factor.</t>
  </si>
  <si>
    <t>Calculation of Polar Vortex Effect on Purchased Gas Adjustement Rb Factor</t>
  </si>
  <si>
    <t>1 - Proposed Purchased Gas Adjustment Factor based on actual data through November 30, 2021; actual factors will be evaluated and set based on actual data as each month materializes.</t>
  </si>
  <si>
    <t>applied to the April Purchased Gas Adjustment Rate)</t>
  </si>
  <si>
    <t>1 - There is a one-month lag between the vortex factor and actual (i.e. the March vortex factor is</t>
  </si>
  <si>
    <t>2 - The Vortex Factor (Line 21) is calculated by dividing the forecasted volumes by the remaining</t>
  </si>
  <si>
    <t>Total Vortex Recoveries Current Month (Line 26 * Line 27)</t>
  </si>
  <si>
    <r>
      <t>Vortex Factor (Next Mo. Line 1/Line 18)</t>
    </r>
    <r>
      <rPr>
        <vertAlign val="superscript"/>
        <sz val="10"/>
        <rFont val="Times New Roman"/>
        <family val="1"/>
      </rPr>
      <t>1-2</t>
    </r>
  </si>
  <si>
    <r>
      <t>PGA Sales (therms)</t>
    </r>
    <r>
      <rPr>
        <vertAlign val="superscript"/>
        <sz val="10"/>
        <color theme="1"/>
        <rFont val="Times New Roman"/>
        <family val="1"/>
      </rPr>
      <t>2</t>
    </r>
  </si>
  <si>
    <r>
      <t>Monthly Recoveries</t>
    </r>
    <r>
      <rPr>
        <vertAlign val="superscript"/>
        <sz val="10"/>
        <color theme="1"/>
        <rFont val="Times New Roman"/>
        <family val="1"/>
      </rPr>
      <t>3</t>
    </r>
  </si>
  <si>
    <r>
      <t>Purchased Gas Adjustment Factor - portion intended to recover Vortex costs</t>
    </r>
    <r>
      <rPr>
        <vertAlign val="superscript"/>
        <sz val="10"/>
        <color theme="1"/>
        <rFont val="Times New Roman"/>
        <family val="1"/>
      </rPr>
      <t>4</t>
    </r>
  </si>
  <si>
    <t>2 - The December forecasted volumes has been updated to reflect actual volumes throuhgh Dec 27 plus forecasted volumes for the remainder of the month.</t>
  </si>
  <si>
    <t>3 - Due to the timing of bills, there is a blend of multiple Purchased Gas Adjustment Factors that make up the actual monthly recoveries. Actual recoveries tie to the annual reconciliation.</t>
  </si>
  <si>
    <t>4 - The December rate was frozen therefore the forecasted vortex recovery rate was less than the projections of $.73824 on the "Vortex Bal SD PGA-Dec" worksheet.</t>
  </si>
  <si>
    <t>The total December forecasted vortex recovery was calculated by mutiplying the forecasted volumes by the December vortex rate of $.63521.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</si>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</sst>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\-yy;@"/>
    <numFmt numFmtId="167" formatCode="_(&quot;$&quot;* #,##0.00000_);_(&quot;$&quot;* \(#,##0.00000\);_(&quot;$&quot;* &quot;-&quot;??_);_(@_)"/>
    <numFmt numFmtId="168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sz val="10"/>
      <name val="Times New Roman"/>
      <family val="1"/>
    </font>
    <font>
      <sz val="12"/>
      <color theme="1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2" applyNumberFormat="1" applyFont="1" applyFill="1"/>
    <xf numFmtId="165" fontId="3" fillId="0" borderId="0" xfId="3" applyNumberFormat="1" applyFont="1" applyFill="1" applyBorder="1"/>
    <xf numFmtId="164" fontId="3" fillId="0" borderId="0" xfId="1" applyNumberFormat="1" applyFont="1" applyFill="1" applyBorder="1"/>
    <xf numFmtId="167" fontId="3" fillId="0" borderId="0" xfId="1" applyNumberFormat="1" applyFont="1" applyFill="1" applyBorder="1"/>
    <xf numFmtId="164" fontId="3" fillId="0" borderId="5" xfId="1" applyNumberFormat="1" applyFont="1" applyFill="1" applyBorder="1"/>
    <xf numFmtId="0" fontId="5" fillId="0" borderId="0" xfId="4" applyFont="1"/>
    <xf numFmtId="8" fontId="6" fillId="0" borderId="0" xfId="4" applyNumberFormat="1" applyFont="1"/>
    <xf numFmtId="0" fontId="3" fillId="0" borderId="0" xfId="4" applyFont="1"/>
    <xf numFmtId="0" fontId="3" fillId="0" borderId="0" xfId="4" quotePrefix="1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64" fontId="3" fillId="0" borderId="0" xfId="5" applyNumberFormat="1" applyFont="1" applyFill="1"/>
    <xf numFmtId="165" fontId="3" fillId="0" borderId="7" xfId="3" applyNumberFormat="1" applyFont="1" applyFill="1" applyBorder="1"/>
    <xf numFmtId="164" fontId="3" fillId="0" borderId="0" xfId="4" applyNumberFormat="1" applyFont="1"/>
    <xf numFmtId="44" fontId="3" fillId="0" borderId="0" xfId="4" applyNumberFormat="1" applyFont="1"/>
    <xf numFmtId="168" fontId="3" fillId="0" borderId="0" xfId="6" applyNumberFormat="1" applyFont="1" applyFill="1"/>
    <xf numFmtId="8" fontId="3" fillId="0" borderId="3" xfId="7" applyFont="1" applyFill="1" applyBorder="1"/>
    <xf numFmtId="0" fontId="3" fillId="0" borderId="7" xfId="4" applyFont="1" applyBorder="1" applyAlignment="1">
      <alignment horizontal="center"/>
    </xf>
    <xf numFmtId="0" fontId="3" fillId="0" borderId="0" xfId="4" quotePrefix="1" applyFont="1"/>
    <xf numFmtId="165" fontId="3" fillId="0" borderId="0" xfId="8" applyNumberFormat="1" applyFont="1" applyFill="1"/>
    <xf numFmtId="165" fontId="3" fillId="0" borderId="0" xfId="4" applyNumberFormat="1" applyFont="1"/>
    <xf numFmtId="165" fontId="3" fillId="0" borderId="5" xfId="4" applyNumberFormat="1" applyFont="1" applyBorder="1"/>
    <xf numFmtId="167" fontId="3" fillId="2" borderId="8" xfId="2" applyNumberFormat="1" applyFont="1" applyFill="1" applyBorder="1"/>
    <xf numFmtId="167" fontId="3" fillId="0" borderId="0" xfId="4" applyNumberFormat="1" applyFont="1"/>
    <xf numFmtId="164" fontId="3" fillId="0" borderId="5" xfId="5" applyNumberFormat="1" applyFont="1" applyFill="1" applyBorder="1"/>
    <xf numFmtId="37" fontId="3" fillId="0" borderId="0" xfId="2" applyNumberFormat="1" applyFont="1" applyFill="1"/>
    <xf numFmtId="164" fontId="3" fillId="0" borderId="6" xfId="1" applyNumberFormat="1" applyFont="1" applyFill="1" applyBorder="1"/>
    <xf numFmtId="0" fontId="8" fillId="0" borderId="0" xfId="0" applyFont="1"/>
    <xf numFmtId="37" fontId="3" fillId="0" borderId="7" xfId="2" applyNumberFormat="1" applyFont="1" applyFill="1" applyBorder="1"/>
    <xf numFmtId="37" fontId="3" fillId="0" borderId="0" xfId="2" applyNumberFormat="1" applyFont="1" applyFill="1" applyBorder="1"/>
    <xf numFmtId="0" fontId="9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1" xfId="0" quotePrefix="1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0" borderId="0" xfId="4" applyFont="1" applyAlignment="1">
      <alignment horizontal="center"/>
    </xf>
    <xf numFmtId="0" fontId="3" fillId="0" borderId="0" xfId="4" applyFont="1" applyAlignment="1">
      <alignment horizontal="centerContinuous"/>
    </xf>
    <xf numFmtId="0" fontId="9" fillId="0" borderId="0" xfId="0" applyFont="1"/>
    <xf numFmtId="0" fontId="10" fillId="0" borderId="0" xfId="4" applyFont="1" applyAlignment="1"/>
    <xf numFmtId="0" fontId="10" fillId="0" borderId="0" xfId="4" quotePrefix="1" applyFont="1" applyAlignment="1"/>
    <xf numFmtId="164" fontId="3" fillId="0" borderId="0" xfId="5" applyNumberFormat="1" applyFont="1" applyFill="1" applyBorder="1"/>
    <xf numFmtId="0" fontId="8" fillId="4" borderId="2" xfId="0" applyFont="1" applyFill="1" applyBorder="1" applyAlignment="1">
      <alignment horizontal="center"/>
    </xf>
    <xf numFmtId="164" fontId="3" fillId="5" borderId="0" xfId="2" applyNumberFormat="1" applyFont="1" applyFill="1"/>
    <xf numFmtId="164" fontId="3" fillId="5" borderId="0" xfId="1" applyNumberFormat="1" applyFont="1" applyFill="1" applyBorder="1"/>
    <xf numFmtId="165" fontId="3" fillId="5" borderId="0" xfId="3" applyNumberFormat="1" applyFont="1" applyFill="1" applyBorder="1"/>
    <xf numFmtId="167" fontId="3" fillId="5" borderId="0" xfId="1" applyNumberFormat="1" applyFont="1" applyFill="1" applyBorder="1"/>
    <xf numFmtId="37" fontId="3" fillId="5" borderId="0" xfId="2" applyNumberFormat="1" applyFont="1" applyFill="1"/>
    <xf numFmtId="164" fontId="3" fillId="5" borderId="6" xfId="1" applyNumberFormat="1" applyFont="1" applyFill="1" applyBorder="1"/>
    <xf numFmtId="164" fontId="3" fillId="5" borderId="5" xfId="1" applyNumberFormat="1" applyFont="1" applyFill="1" applyBorder="1"/>
    <xf numFmtId="0" fontId="8" fillId="5" borderId="0" xfId="0" applyFont="1" applyFill="1"/>
    <xf numFmtId="164" fontId="3" fillId="5" borderId="0" xfId="5" applyNumberFormat="1" applyFont="1" applyFill="1"/>
    <xf numFmtId="165" fontId="3" fillId="5" borderId="7" xfId="3" applyNumberFormat="1" applyFont="1" applyFill="1" applyBorder="1"/>
    <xf numFmtId="164" fontId="3" fillId="5" borderId="0" xfId="4" applyNumberFormat="1" applyFont="1" applyFill="1"/>
    <xf numFmtId="44" fontId="3" fillId="5" borderId="0" xfId="4" applyNumberFormat="1" applyFont="1" applyFill="1"/>
    <xf numFmtId="168" fontId="3" fillId="5" borderId="0" xfId="6" applyNumberFormat="1" applyFont="1" applyFill="1"/>
    <xf numFmtId="8" fontId="3" fillId="5" borderId="3" xfId="7" applyFont="1" applyFill="1" applyBorder="1"/>
    <xf numFmtId="0" fontId="3" fillId="5" borderId="0" xfId="4" applyFont="1" applyFill="1"/>
    <xf numFmtId="165" fontId="3" fillId="5" borderId="0" xfId="8" applyNumberFormat="1" applyFont="1" applyFill="1"/>
    <xf numFmtId="165" fontId="3" fillId="5" borderId="5" xfId="4" applyNumberFormat="1" applyFont="1" applyFill="1" applyBorder="1"/>
    <xf numFmtId="167" fontId="3" fillId="5" borderId="8" xfId="2" applyNumberFormat="1" applyFont="1" applyFill="1" applyBorder="1"/>
    <xf numFmtId="0" fontId="3" fillId="5" borderId="0" xfId="4" applyFont="1" applyFill="1" applyAlignment="1">
      <alignment horizontal="center"/>
    </xf>
    <xf numFmtId="165" fontId="3" fillId="5" borderId="0" xfId="4" applyNumberFormat="1" applyFont="1" applyFill="1"/>
    <xf numFmtId="167" fontId="3" fillId="5" borderId="0" xfId="4" applyNumberFormat="1" applyFont="1" applyFill="1"/>
    <xf numFmtId="164" fontId="3" fillId="5" borderId="5" xfId="5" applyNumberFormat="1" applyFont="1" applyFill="1" applyBorder="1"/>
    <xf numFmtId="0" fontId="8" fillId="0" borderId="0" xfId="0" applyFont="1" applyAlignment="1">
      <alignment horizontal="right"/>
    </xf>
    <xf numFmtId="0" fontId="10" fillId="0" borderId="0" xfId="4" applyFont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</cellXfs>
  <cellStyles count="9">
    <cellStyle name="Comma 10" xfId="3" xr:uid="{E25089DF-6CF5-4033-8FE5-E9ADCFB0F8D2}"/>
    <cellStyle name="Comma 3" xfId="8" xr:uid="{F10A5153-17D3-45FE-8577-54DA1F750A36}"/>
    <cellStyle name="Currency" xfId="1" builtinId="4"/>
    <cellStyle name="Currency 2" xfId="7" xr:uid="{5750A74B-2116-4095-B730-B334EFB4C26D}"/>
    <cellStyle name="Currency 3" xfId="2" xr:uid="{7133D1F6-7225-488D-A91E-3FA6A7CA4DB7}"/>
    <cellStyle name="Currency 8" xfId="5" xr:uid="{48DC3704-D109-4BD4-9E8E-E2A28A29104F}"/>
    <cellStyle name="Normal" xfId="0" builtinId="0"/>
    <cellStyle name="Normal 4" xfId="4" xr:uid="{D2ED99B2-C7D3-4203-8251-B9E4B1377DC4}"/>
    <cellStyle name="Percent 2" xfId="6" xr:uid="{C7406AF3-BC42-4BAC-AFAE-E426AF184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c\Network\Users_Corp_L-Z\T32061\PGA\PGA11_12\Feb\Iowa%20fil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roup\GASACCT\Share\CORY\PGA\PGA21_22\Dec\Iowa%20Filing%20-%20December%202021%20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LPGA"/>
      <sheetName val="CONSLDMD"/>
      <sheetName val="Rider 1"/>
      <sheetName val="PGACRED"/>
      <sheetName val="PGAREDUC"/>
      <sheetName val="IGSPP"/>
      <sheetName val="CONSLCOM"/>
      <sheetName val="RBFACTOR - IOWA"/>
      <sheetName val="Rb Monthly"/>
      <sheetName val="Stg Factor"/>
      <sheetName val="LIFO Detail"/>
      <sheetName val="2012 Storage Gas"/>
      <sheetName val="Capacity Rese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LPGA"/>
      <sheetName val="CONSLDMD"/>
      <sheetName val="Rider 1"/>
      <sheetName val="PGACRED"/>
      <sheetName val="PGAREDUC"/>
      <sheetName val="CONSLCOM"/>
      <sheetName val="RBFACTOR - IOWA"/>
      <sheetName val="Rb Monthly"/>
      <sheetName val="Stg Factor"/>
      <sheetName val="LIFO DEC Filing - IA SD NE"/>
      <sheetName val="Vortex Balance PGA 1 "/>
      <sheetName val="Vortex Balance PGA 2"/>
      <sheetName val="Vortex Balance PGA 3"/>
      <sheetName val="Vortex Balance Total"/>
      <sheetName val="Vortex Under-Recovery"/>
      <sheetName val="Attachment A"/>
      <sheetName val="Forecasted Billed Sales"/>
      <sheetName val="Forecasted Calendar Sales"/>
      <sheetName val="Peak Day Allocation %"/>
      <sheetName val="Capacity Rese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1FCD-30AC-43BD-822A-B7848359FE42}">
  <sheetPr>
    <pageSetUpPr fitToPage="1"/>
  </sheetPr>
  <dimension ref="A2:R36"/>
  <sheetViews>
    <sheetView tabSelected="1" topLeftCell="C1" zoomScaleNormal="100" workbookViewId="0">
      <selection activeCell="P2" sqref="P2"/>
    </sheetView>
  </sheetViews>
  <sheetFormatPr defaultColWidth="8.7109375" defaultRowHeight="12.75" x14ac:dyDescent="0.2"/>
  <cols>
    <col min="1" max="1" width="8.7109375" style="29"/>
    <col min="2" max="2" width="59" style="29" customWidth="1"/>
    <col min="3" max="3" width="15.140625" style="29" customWidth="1"/>
    <col min="4" max="4" width="12.85546875" style="29" customWidth="1"/>
    <col min="5" max="11" width="14.28515625" style="29" bestFit="1" customWidth="1"/>
    <col min="12" max="13" width="14.42578125" style="29" bestFit="1" customWidth="1"/>
    <col min="14" max="16" width="13.42578125" style="29" bestFit="1" customWidth="1"/>
    <col min="17" max="16384" width="8.7109375" style="29"/>
  </cols>
  <sheetData>
    <row r="2" spans="1:16" x14ac:dyDescent="0.2">
      <c r="A2" s="32" t="s">
        <v>0</v>
      </c>
      <c r="P2" s="68" t="s">
        <v>71</v>
      </c>
    </row>
    <row r="3" spans="1:16" x14ac:dyDescent="0.2">
      <c r="A3" s="4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7" spans="1:16" x14ac:dyDescent="0.2">
      <c r="A7" s="33" t="s">
        <v>2</v>
      </c>
      <c r="B7" s="33"/>
      <c r="C7" s="70" t="s">
        <v>5</v>
      </c>
      <c r="D7" s="71"/>
      <c r="E7" s="71"/>
      <c r="F7" s="71"/>
      <c r="G7" s="71"/>
      <c r="H7" s="71"/>
      <c r="I7" s="71"/>
      <c r="J7" s="71"/>
      <c r="K7" s="72"/>
      <c r="L7" s="73" t="s">
        <v>6</v>
      </c>
      <c r="M7" s="74"/>
      <c r="N7" s="74"/>
      <c r="O7" s="74"/>
      <c r="P7" s="75"/>
    </row>
    <row r="8" spans="1:16" ht="13.5" thickBot="1" x14ac:dyDescent="0.25">
      <c r="A8" s="34" t="s">
        <v>3</v>
      </c>
      <c r="B8" s="34" t="s">
        <v>4</v>
      </c>
      <c r="C8" s="35">
        <v>44286</v>
      </c>
      <c r="D8" s="36">
        <v>44316</v>
      </c>
      <c r="E8" s="36">
        <v>44347</v>
      </c>
      <c r="F8" s="36">
        <v>44377</v>
      </c>
      <c r="G8" s="36">
        <v>44408</v>
      </c>
      <c r="H8" s="36">
        <v>44439</v>
      </c>
      <c r="I8" s="36">
        <v>44469</v>
      </c>
      <c r="J8" s="36">
        <v>44500</v>
      </c>
      <c r="K8" s="36">
        <v>44530</v>
      </c>
      <c r="L8" s="36">
        <v>44561</v>
      </c>
      <c r="M8" s="37">
        <v>44592</v>
      </c>
      <c r="N8" s="36">
        <v>44620</v>
      </c>
      <c r="O8" s="36">
        <v>44651</v>
      </c>
      <c r="P8" s="36">
        <v>44681</v>
      </c>
    </row>
    <row r="9" spans="1:16" x14ac:dyDescent="0.2">
      <c r="A9" s="33">
        <v>1</v>
      </c>
      <c r="B9" s="29" t="s">
        <v>9</v>
      </c>
      <c r="C9" s="1">
        <v>-35152815.119999997</v>
      </c>
      <c r="D9" s="1">
        <f>+C16</f>
        <v>-30204623.43</v>
      </c>
      <c r="E9" s="1">
        <f>+D16</f>
        <v>-25685586.450000003</v>
      </c>
      <c r="F9" s="1">
        <f t="shared" ref="F9:K9" si="0">+E16</f>
        <v>-23075755.450000003</v>
      </c>
      <c r="G9" s="1">
        <f t="shared" si="0"/>
        <v>-22204024.040000003</v>
      </c>
      <c r="H9" s="1">
        <f t="shared" si="0"/>
        <v>-22044976.320000004</v>
      </c>
      <c r="I9" s="1">
        <f t="shared" si="0"/>
        <v>-21766909.540000007</v>
      </c>
      <c r="J9" s="1">
        <f t="shared" si="0"/>
        <v>-21647913.170000009</v>
      </c>
      <c r="K9" s="1">
        <f t="shared" si="0"/>
        <v>-22165567.050000012</v>
      </c>
      <c r="L9" s="46"/>
      <c r="M9" s="46"/>
      <c r="N9" s="46"/>
      <c r="O9" s="46"/>
      <c r="P9" s="46"/>
    </row>
    <row r="10" spans="1:16" x14ac:dyDescent="0.2">
      <c r="A10" s="33">
        <v>2</v>
      </c>
      <c r="B10" s="29" t="s">
        <v>52</v>
      </c>
      <c r="C10" s="3">
        <v>-4339496.8499999996</v>
      </c>
      <c r="D10" s="3">
        <v>-2560105.33</v>
      </c>
      <c r="E10" s="3">
        <v>-1716231.8</v>
      </c>
      <c r="F10" s="3">
        <v>-1420857.27</v>
      </c>
      <c r="G10" s="3">
        <v>-1619914.21</v>
      </c>
      <c r="H10" s="3">
        <f>-1585251.18-53138.99</f>
        <v>-1638390.17</v>
      </c>
      <c r="I10" s="3">
        <f>-1710407.9-124120.54</f>
        <v>-1834528.44</v>
      </c>
      <c r="J10" s="3">
        <f>-3174259.63-127088.56</f>
        <v>-3301348.19</v>
      </c>
      <c r="K10" s="3">
        <f>-6687702.18-118228.62</f>
        <v>-6805930.7999999998</v>
      </c>
      <c r="L10" s="47"/>
      <c r="M10" s="47"/>
      <c r="N10" s="47"/>
      <c r="O10" s="47"/>
      <c r="P10" s="47"/>
    </row>
    <row r="11" spans="1:16" x14ac:dyDescent="0.2">
      <c r="A11" s="33">
        <v>3</v>
      </c>
      <c r="C11" s="2"/>
      <c r="D11" s="2"/>
      <c r="E11" s="2"/>
      <c r="F11" s="2"/>
      <c r="G11" s="2"/>
      <c r="H11" s="2"/>
      <c r="I11" s="2"/>
      <c r="J11" s="2"/>
      <c r="K11" s="2"/>
      <c r="L11" s="48"/>
      <c r="M11" s="48"/>
      <c r="N11" s="48"/>
      <c r="O11" s="48"/>
      <c r="P11" s="48"/>
    </row>
    <row r="12" spans="1:16" ht="15.75" x14ac:dyDescent="0.2">
      <c r="A12" s="33">
        <v>4</v>
      </c>
      <c r="B12" s="29" t="s">
        <v>53</v>
      </c>
      <c r="C12" s="4">
        <v>0.82337000000000005</v>
      </c>
      <c r="D12" s="4">
        <v>0.77222999999999997</v>
      </c>
      <c r="E12" s="4">
        <v>0.78366000000000002</v>
      </c>
      <c r="F12" s="4">
        <v>0.79527000000000003</v>
      </c>
      <c r="G12" s="4">
        <v>0.88963000000000003</v>
      </c>
      <c r="H12" s="4">
        <v>0.93747999999999998</v>
      </c>
      <c r="I12" s="4">
        <v>0.97628999999999999</v>
      </c>
      <c r="J12" s="4">
        <v>1.1776199999999999</v>
      </c>
      <c r="K12" s="4">
        <v>1.19214</v>
      </c>
      <c r="L12" s="49"/>
      <c r="M12" s="49"/>
      <c r="N12" s="49"/>
      <c r="O12" s="49"/>
      <c r="P12" s="49"/>
    </row>
    <row r="13" spans="1:16" ht="15.75" x14ac:dyDescent="0.2">
      <c r="A13" s="33">
        <v>5</v>
      </c>
      <c r="B13" s="29" t="s">
        <v>64</v>
      </c>
      <c r="C13" s="27">
        <v>11280091</v>
      </c>
      <c r="D13" s="27">
        <v>8833288</v>
      </c>
      <c r="E13" s="27">
        <v>5398784</v>
      </c>
      <c r="F13" s="27">
        <v>2843592</v>
      </c>
      <c r="G13" s="27">
        <v>2036926</v>
      </c>
      <c r="H13" s="27">
        <v>1948276</v>
      </c>
      <c r="I13" s="27">
        <v>1915532</v>
      </c>
      <c r="J13" s="27">
        <v>2592329</v>
      </c>
      <c r="K13" s="27">
        <v>6919052</v>
      </c>
      <c r="L13" s="50"/>
      <c r="M13" s="50"/>
      <c r="N13" s="50"/>
      <c r="O13" s="50"/>
      <c r="P13" s="50"/>
    </row>
    <row r="14" spans="1:16" ht="15.75" x14ac:dyDescent="0.2">
      <c r="A14" s="33">
        <v>6</v>
      </c>
      <c r="B14" s="29" t="s">
        <v>65</v>
      </c>
      <c r="C14" s="28">
        <v>9287688.5399999991</v>
      </c>
      <c r="D14" s="28">
        <f>7085809-6666.69</f>
        <v>7079142.3099999996</v>
      </c>
      <c r="E14" s="28">
        <f>4329354.7-3291.9</f>
        <v>4326062.8</v>
      </c>
      <c r="F14" s="28">
        <f>2293865.88-1277.2</f>
        <v>2292588.6799999997</v>
      </c>
      <c r="G14" s="28">
        <f>1780857.08-1895.15</f>
        <v>1778961.9300000002</v>
      </c>
      <c r="H14" s="28">
        <f>1917655.86-1198.91</f>
        <v>1916456.9500000002</v>
      </c>
      <c r="I14" s="28">
        <f>1954819.27-1294.46</f>
        <v>1953524.81</v>
      </c>
      <c r="J14" s="28">
        <f>2786177.19-2482.88</f>
        <v>2783694.31</v>
      </c>
      <c r="K14" s="28">
        <f>8357488.02-6291.17</f>
        <v>8351196.8499999996</v>
      </c>
      <c r="L14" s="51"/>
      <c r="M14" s="51"/>
      <c r="N14" s="51"/>
      <c r="O14" s="51"/>
      <c r="P14" s="51"/>
    </row>
    <row r="15" spans="1:16" x14ac:dyDescent="0.2">
      <c r="A15" s="33">
        <v>7</v>
      </c>
      <c r="C15" s="3"/>
      <c r="D15" s="3"/>
      <c r="E15" s="3"/>
      <c r="F15" s="3"/>
      <c r="G15" s="3"/>
      <c r="H15" s="3"/>
      <c r="I15" s="3"/>
      <c r="J15" s="3"/>
      <c r="K15" s="3"/>
      <c r="L15" s="47"/>
      <c r="M15" s="47"/>
      <c r="N15" s="47"/>
      <c r="O15" s="47"/>
      <c r="P15" s="47"/>
    </row>
    <row r="16" spans="1:16" ht="13.5" thickBot="1" x14ac:dyDescent="0.25">
      <c r="A16" s="33">
        <v>8</v>
      </c>
      <c r="B16" s="29" t="s">
        <v>10</v>
      </c>
      <c r="C16" s="5">
        <f t="shared" ref="C16:K16" si="1">C9+C14+C10</f>
        <v>-30204623.43</v>
      </c>
      <c r="D16" s="5">
        <f t="shared" si="1"/>
        <v>-25685586.450000003</v>
      </c>
      <c r="E16" s="5">
        <f t="shared" si="1"/>
        <v>-23075755.450000003</v>
      </c>
      <c r="F16" s="5">
        <f t="shared" si="1"/>
        <v>-22204024.040000003</v>
      </c>
      <c r="G16" s="5">
        <f t="shared" si="1"/>
        <v>-22044976.320000004</v>
      </c>
      <c r="H16" s="5">
        <f t="shared" si="1"/>
        <v>-21766909.540000007</v>
      </c>
      <c r="I16" s="5">
        <f t="shared" si="1"/>
        <v>-21647913.170000009</v>
      </c>
      <c r="J16" s="5">
        <f t="shared" si="1"/>
        <v>-22165567.050000012</v>
      </c>
      <c r="K16" s="5">
        <f t="shared" si="1"/>
        <v>-20620301.000000011</v>
      </c>
      <c r="L16" s="52"/>
      <c r="M16" s="52"/>
      <c r="N16" s="52"/>
      <c r="O16" s="52"/>
      <c r="P16" s="52"/>
    </row>
    <row r="17" spans="1:18" ht="13.5" thickTop="1" x14ac:dyDescent="0.2">
      <c r="A17" s="33">
        <v>9</v>
      </c>
      <c r="C17" s="2"/>
      <c r="D17" s="2"/>
      <c r="E17" s="2"/>
      <c r="F17" s="2"/>
      <c r="G17" s="2"/>
      <c r="H17" s="2"/>
      <c r="I17" s="2"/>
      <c r="J17" s="2"/>
      <c r="K17" s="2"/>
      <c r="L17" s="48"/>
      <c r="M17" s="48"/>
      <c r="N17" s="48"/>
      <c r="O17" s="48"/>
      <c r="P17" s="48"/>
    </row>
    <row r="18" spans="1:18" x14ac:dyDescent="0.2">
      <c r="A18" s="33">
        <v>10</v>
      </c>
      <c r="C18" s="2"/>
      <c r="D18" s="2"/>
      <c r="E18" s="2"/>
      <c r="F18" s="2"/>
      <c r="G18" s="2"/>
      <c r="H18" s="2"/>
      <c r="I18" s="2"/>
      <c r="J18" s="2"/>
      <c r="K18" s="2"/>
      <c r="L18" s="48"/>
      <c r="M18" s="48"/>
      <c r="N18" s="48"/>
      <c r="O18" s="48"/>
      <c r="P18" s="48"/>
    </row>
    <row r="19" spans="1:18" ht="15.75" x14ac:dyDescent="0.2">
      <c r="A19" s="33">
        <v>11</v>
      </c>
      <c r="B19" s="29" t="s">
        <v>66</v>
      </c>
      <c r="C19" s="4">
        <f>'Vortex Bal SD PGA-Dec'!F32</f>
        <v>0.67020000000000002</v>
      </c>
      <c r="D19" s="4">
        <f>'Vortex Bal SD PGA-Dec'!G32</f>
        <v>0.57586000000000004</v>
      </c>
      <c r="E19" s="4">
        <f>'Vortex Bal SD PGA-Dec'!H32</f>
        <v>0.59930000000000005</v>
      </c>
      <c r="F19" s="4">
        <f>'Vortex Bal SD PGA-Dec'!I32</f>
        <v>0.59650999999999998</v>
      </c>
      <c r="G19" s="4">
        <f>'Vortex Bal SD PGA-Dec'!J32</f>
        <v>0.59948999999999997</v>
      </c>
      <c r="H19" s="4">
        <f>'Vortex Bal SD PGA-Dec'!K32</f>
        <v>0.59953999999999996</v>
      </c>
      <c r="I19" s="4">
        <f>'Vortex Bal SD PGA-Dec'!L32</f>
        <v>0.59889000000000003</v>
      </c>
      <c r="J19" s="4">
        <f>'Vortex Bal SD PGA-Dec'!M32</f>
        <v>0.60707999999999995</v>
      </c>
      <c r="K19" s="4">
        <f>'Vortex Bal SD PGA-Dec'!N32</f>
        <v>0.63521000000000005</v>
      </c>
      <c r="L19" s="49"/>
      <c r="M19" s="49"/>
      <c r="N19" s="49"/>
      <c r="O19" s="49"/>
      <c r="P19" s="49"/>
    </row>
    <row r="20" spans="1:18" x14ac:dyDescent="0.2">
      <c r="A20" s="33">
        <v>12</v>
      </c>
      <c r="B20" s="29" t="s">
        <v>13</v>
      </c>
      <c r="C20" s="4">
        <f t="shared" ref="C20:K20" si="2">+C12-C19</f>
        <v>0.15317000000000003</v>
      </c>
      <c r="D20" s="4">
        <f t="shared" si="2"/>
        <v>0.19636999999999993</v>
      </c>
      <c r="E20" s="4">
        <f t="shared" si="2"/>
        <v>0.18435999999999997</v>
      </c>
      <c r="F20" s="4">
        <f t="shared" si="2"/>
        <v>0.19876000000000005</v>
      </c>
      <c r="G20" s="4">
        <f t="shared" si="2"/>
        <v>0.29014000000000006</v>
      </c>
      <c r="H20" s="4">
        <f t="shared" si="2"/>
        <v>0.33794000000000002</v>
      </c>
      <c r="I20" s="4">
        <f t="shared" si="2"/>
        <v>0.37739999999999996</v>
      </c>
      <c r="J20" s="4">
        <f t="shared" si="2"/>
        <v>0.57053999999999994</v>
      </c>
      <c r="K20" s="4">
        <f t="shared" si="2"/>
        <v>0.55692999999999993</v>
      </c>
      <c r="L20" s="49"/>
      <c r="M20" s="49"/>
      <c r="N20" s="49"/>
      <c r="O20" s="49"/>
      <c r="P20" s="49"/>
    </row>
    <row r="21" spans="1:18" x14ac:dyDescent="0.2">
      <c r="A21" s="33">
        <v>13</v>
      </c>
      <c r="C21" s="2"/>
      <c r="D21" s="2"/>
      <c r="E21" s="2"/>
      <c r="F21" s="2"/>
      <c r="G21" s="2"/>
      <c r="H21" s="2"/>
      <c r="I21" s="2"/>
      <c r="J21" s="2"/>
      <c r="K21" s="2"/>
      <c r="L21" s="48"/>
      <c r="M21" s="48"/>
      <c r="N21" s="48"/>
      <c r="O21" s="48"/>
      <c r="P21" s="48"/>
    </row>
    <row r="22" spans="1:18" x14ac:dyDescent="0.2">
      <c r="A22" s="33">
        <v>14</v>
      </c>
      <c r="B22" s="29" t="s">
        <v>11</v>
      </c>
      <c r="C22" s="3">
        <f>C9</f>
        <v>-35152815.119999997</v>
      </c>
      <c r="D22" s="3">
        <f>'Vortex Bal SD PGA-Dec'!H12*-1</f>
        <v>-30204623.429999996</v>
      </c>
      <c r="E22" s="3">
        <f>'Vortex Bal SD PGA-Dec'!I12*-1</f>
        <v>-25117886.202319995</v>
      </c>
      <c r="F22" s="3">
        <f>'Vortex Bal SD PGA-Dec'!J12*-1</f>
        <v>-21882394.951119993</v>
      </c>
      <c r="G22" s="3">
        <f>'Vortex Bal SD PGA-Dec'!K12*-1</f>
        <v>-20186163.887199994</v>
      </c>
      <c r="H22" s="3">
        <f>'Vortex Bal SD PGA-Dec'!L12*-1</f>
        <v>-18965047.119459994</v>
      </c>
      <c r="I22" s="3">
        <f>'Vortex Bal SD PGA-Dec'!M12*-1</f>
        <v>-17796977.726419993</v>
      </c>
      <c r="J22" s="3">
        <f>'Vortex Bal SD PGA-Dec'!N12*-1</f>
        <v>-16749106.265462514</v>
      </c>
      <c r="K22" s="3">
        <f>'Vortex Bal SD PGA-Dec'!O12*-1</f>
        <v>-15267404.039965808</v>
      </c>
      <c r="L22" s="47"/>
      <c r="M22" s="47"/>
      <c r="N22" s="47"/>
      <c r="O22" s="47"/>
      <c r="P22" s="47"/>
    </row>
    <row r="23" spans="1:18" x14ac:dyDescent="0.2">
      <c r="A23" s="33">
        <v>15</v>
      </c>
      <c r="B23" s="38" t="s">
        <v>12</v>
      </c>
      <c r="C23" s="3">
        <f t="shared" ref="C23:K23" si="3">+C9-C22</f>
        <v>0</v>
      </c>
      <c r="D23" s="3">
        <f t="shared" si="3"/>
        <v>0</v>
      </c>
      <c r="E23" s="3">
        <f t="shared" si="3"/>
        <v>-567700.24768000841</v>
      </c>
      <c r="F23" s="3">
        <f t="shared" si="3"/>
        <v>-1193360.4988800101</v>
      </c>
      <c r="G23" s="3">
        <f t="shared" si="3"/>
        <v>-2017860.1528000087</v>
      </c>
      <c r="H23" s="3">
        <f t="shared" si="3"/>
        <v>-3079929.2005400099</v>
      </c>
      <c r="I23" s="3">
        <f t="shared" si="3"/>
        <v>-3969931.8135800138</v>
      </c>
      <c r="J23" s="3">
        <f t="shared" si="3"/>
        <v>-4898806.9045374952</v>
      </c>
      <c r="K23" s="3">
        <f t="shared" si="3"/>
        <v>-6898163.0100342035</v>
      </c>
      <c r="L23" s="47"/>
      <c r="M23" s="47"/>
      <c r="N23" s="47"/>
      <c r="O23" s="47"/>
      <c r="P23" s="47"/>
    </row>
    <row r="24" spans="1:18" x14ac:dyDescent="0.2">
      <c r="A24" s="33">
        <v>16</v>
      </c>
      <c r="L24" s="53"/>
      <c r="M24" s="53"/>
      <c r="N24" s="53"/>
      <c r="O24" s="53"/>
      <c r="P24" s="53"/>
    </row>
    <row r="25" spans="1:18" x14ac:dyDescent="0.2">
      <c r="A25" s="33">
        <v>17</v>
      </c>
      <c r="B25" s="29" t="s">
        <v>50</v>
      </c>
      <c r="C25" s="27"/>
      <c r="D25" s="27">
        <v>10538584</v>
      </c>
      <c r="E25" s="27">
        <v>5228553</v>
      </c>
      <c r="F25" s="27">
        <v>3011339</v>
      </c>
      <c r="G25" s="27">
        <v>2039803</v>
      </c>
      <c r="H25" s="27">
        <v>1916092</v>
      </c>
      <c r="I25" s="27">
        <v>2127128</v>
      </c>
      <c r="J25" s="27">
        <v>3554119</v>
      </c>
      <c r="K25" s="27">
        <v>9096581</v>
      </c>
      <c r="L25" s="50"/>
      <c r="M25" s="50"/>
      <c r="N25" s="50"/>
      <c r="O25" s="50"/>
      <c r="P25" s="50"/>
      <c r="Q25" s="27"/>
      <c r="R25" s="27"/>
    </row>
    <row r="26" spans="1:18" x14ac:dyDescent="0.2">
      <c r="A26" s="33">
        <v>18</v>
      </c>
      <c r="B26" s="29" t="s">
        <v>49</v>
      </c>
      <c r="C26" s="27"/>
      <c r="D26" s="30">
        <f>'Vortex Bal SD PGA-Dec'!H37</f>
        <v>8833288</v>
      </c>
      <c r="E26" s="30">
        <f>'Vortex Bal SD PGA-Dec'!I37</f>
        <v>5398784</v>
      </c>
      <c r="F26" s="30">
        <f>'Vortex Bal SD PGA-Dec'!J37</f>
        <v>2843592</v>
      </c>
      <c r="G26" s="30">
        <f>'Vortex Bal SD PGA-Dec'!K37</f>
        <v>2036926</v>
      </c>
      <c r="H26" s="30">
        <f>'Vortex Bal SD PGA-Dec'!L37</f>
        <v>1948276</v>
      </c>
      <c r="I26" s="30">
        <f>'Vortex Bal SD PGA-Dec'!M37</f>
        <v>1915532</v>
      </c>
      <c r="J26" s="30">
        <f>'Vortex Bal SD PGA-Dec'!N37</f>
        <v>2592329</v>
      </c>
      <c r="K26" s="30">
        <f>'Vortex Bal SD PGA-Dec'!O37</f>
        <v>6919052</v>
      </c>
      <c r="L26" s="31"/>
      <c r="M26" s="31"/>
      <c r="N26" s="31"/>
      <c r="O26" s="31"/>
      <c r="P26" s="31"/>
      <c r="Q26" s="27"/>
      <c r="R26" s="27"/>
    </row>
    <row r="27" spans="1:18" x14ac:dyDescent="0.2">
      <c r="A27" s="33">
        <v>19</v>
      </c>
      <c r="B27" s="29" t="s">
        <v>51</v>
      </c>
      <c r="C27" s="27"/>
      <c r="D27" s="27">
        <f>D26-D25</f>
        <v>-1705296</v>
      </c>
      <c r="E27" s="27">
        <f t="shared" ref="E27:K27" si="4">E26-E25</f>
        <v>170231</v>
      </c>
      <c r="F27" s="27">
        <f t="shared" si="4"/>
        <v>-167747</v>
      </c>
      <c r="G27" s="27">
        <f t="shared" si="4"/>
        <v>-2877</v>
      </c>
      <c r="H27" s="27">
        <f t="shared" si="4"/>
        <v>32184</v>
      </c>
      <c r="I27" s="27">
        <f t="shared" si="4"/>
        <v>-211596</v>
      </c>
      <c r="J27" s="27">
        <f t="shared" si="4"/>
        <v>-961790</v>
      </c>
      <c r="K27" s="27">
        <f t="shared" si="4"/>
        <v>-2177529</v>
      </c>
      <c r="L27" s="31"/>
      <c r="M27" s="31"/>
      <c r="N27" s="31"/>
      <c r="O27" s="31"/>
      <c r="P27" s="31"/>
      <c r="Q27" s="27"/>
      <c r="R27" s="27"/>
    </row>
    <row r="28" spans="1:18" x14ac:dyDescent="0.2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1" spans="1:18" x14ac:dyDescent="0.2">
      <c r="B31" s="29" t="s">
        <v>54</v>
      </c>
    </row>
    <row r="32" spans="1:18" x14ac:dyDescent="0.2">
      <c r="B32" s="29" t="s">
        <v>58</v>
      </c>
    </row>
    <row r="33" spans="2:2" x14ac:dyDescent="0.2">
      <c r="B33" s="29" t="s">
        <v>67</v>
      </c>
    </row>
    <row r="34" spans="2:2" x14ac:dyDescent="0.2">
      <c r="B34" s="29" t="s">
        <v>68</v>
      </c>
    </row>
    <row r="35" spans="2:2" x14ac:dyDescent="0.2">
      <c r="B35" s="29" t="s">
        <v>69</v>
      </c>
    </row>
    <row r="36" spans="2:2" x14ac:dyDescent="0.2">
      <c r="B36" s="29" t="s">
        <v>70</v>
      </c>
    </row>
  </sheetData>
  <mergeCells count="2">
    <mergeCell ref="C7:K7"/>
    <mergeCell ref="L7:P7"/>
  </mergeCell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F57A-E366-41C0-A02C-A8D632518D85}">
  <sheetPr>
    <pageSetUpPr fitToPage="1"/>
  </sheetPr>
  <dimension ref="A2:P85"/>
  <sheetViews>
    <sheetView zoomScaleNormal="100" workbookViewId="0">
      <selection activeCell="P3" sqref="P3"/>
    </sheetView>
  </sheetViews>
  <sheetFormatPr defaultColWidth="10.28515625" defaultRowHeight="15.75" x14ac:dyDescent="0.25"/>
  <cols>
    <col min="1" max="1" width="7" style="6" customWidth="1"/>
    <col min="2" max="2" width="2.7109375" style="6" customWidth="1"/>
    <col min="3" max="3" width="25.42578125" style="6" customWidth="1"/>
    <col min="4" max="4" width="18.85546875" style="6" customWidth="1"/>
    <col min="5" max="5" width="2.7109375" style="6" customWidth="1"/>
    <col min="6" max="7" width="14.85546875" style="6" customWidth="1"/>
    <col min="8" max="12" width="14.28515625" style="6" bestFit="1" customWidth="1"/>
    <col min="13" max="13" width="15.42578125" style="6" bestFit="1" customWidth="1"/>
    <col min="14" max="15" width="14.28515625" style="6" bestFit="1" customWidth="1"/>
    <col min="16" max="16" width="13.42578125" style="6" bestFit="1" customWidth="1"/>
    <col min="17" max="16384" width="10.28515625" style="6"/>
  </cols>
  <sheetData>
    <row r="2" spans="1:16" s="8" customFormat="1" ht="12.75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69" t="s">
        <v>71</v>
      </c>
    </row>
    <row r="3" spans="1:16" s="8" customFormat="1" ht="12.75" x14ac:dyDescent="0.2">
      <c r="A3" s="42" t="s">
        <v>57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8" customFormat="1" ht="12.75" x14ac:dyDescent="0.2">
      <c r="A4" s="43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8" customFormat="1" ht="12.75" x14ac:dyDescent="0.2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8" customFormat="1" ht="12.75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6" s="8" customFormat="1" ht="12.75" x14ac:dyDescent="0.2">
      <c r="A7" s="40"/>
      <c r="B7" s="40"/>
      <c r="C7" s="40"/>
      <c r="D7" s="40"/>
      <c r="E7" s="40"/>
      <c r="F7" s="40"/>
      <c r="G7" s="40"/>
    </row>
    <row r="8" spans="1:16" x14ac:dyDescent="0.25">
      <c r="M8" s="7"/>
      <c r="N8" s="7"/>
      <c r="O8" s="7"/>
      <c r="P8" s="7"/>
    </row>
    <row r="9" spans="1:16" s="8" customFormat="1" ht="12.75" x14ac:dyDescent="0.2">
      <c r="C9" s="9" t="s">
        <v>16</v>
      </c>
      <c r="F9" s="10" t="s">
        <v>17</v>
      </c>
      <c r="G9" s="70" t="s">
        <v>5</v>
      </c>
      <c r="H9" s="71"/>
      <c r="I9" s="71"/>
      <c r="J9" s="71"/>
      <c r="K9" s="71"/>
      <c r="L9" s="71"/>
      <c r="M9" s="71"/>
      <c r="N9" s="71"/>
      <c r="O9" s="72"/>
      <c r="P9" s="45" t="s">
        <v>6</v>
      </c>
    </row>
    <row r="10" spans="1:16" s="8" customFormat="1" ht="12.75" x14ac:dyDescent="0.2">
      <c r="A10" s="10" t="s">
        <v>18</v>
      </c>
      <c r="B10" s="10"/>
      <c r="C10" s="9"/>
      <c r="F10" s="10"/>
      <c r="G10" s="76">
        <v>2021</v>
      </c>
      <c r="H10" s="77"/>
      <c r="I10" s="77"/>
      <c r="J10" s="77"/>
      <c r="K10" s="77"/>
      <c r="L10" s="77"/>
      <c r="M10" s="77"/>
      <c r="N10" s="77"/>
      <c r="O10" s="77"/>
      <c r="P10" s="78"/>
    </row>
    <row r="11" spans="1:16" s="8" customFormat="1" ht="13.5" thickBot="1" x14ac:dyDescent="0.25">
      <c r="A11" s="11" t="s">
        <v>3</v>
      </c>
      <c r="B11" s="10"/>
      <c r="C11" s="11" t="s">
        <v>4</v>
      </c>
      <c r="D11" s="12"/>
      <c r="F11" s="11" t="s">
        <v>19</v>
      </c>
      <c r="G11" s="11" t="s">
        <v>20</v>
      </c>
      <c r="H11" s="11" t="s">
        <v>21</v>
      </c>
      <c r="I11" s="11" t="s">
        <v>22</v>
      </c>
      <c r="J11" s="11" t="s">
        <v>23</v>
      </c>
      <c r="K11" s="11" t="s">
        <v>24</v>
      </c>
      <c r="L11" s="11" t="s">
        <v>25</v>
      </c>
      <c r="M11" s="11" t="s">
        <v>26</v>
      </c>
      <c r="N11" s="11" t="s">
        <v>27</v>
      </c>
      <c r="O11" s="11" t="s">
        <v>28</v>
      </c>
      <c r="P11" s="11" t="s">
        <v>29</v>
      </c>
    </row>
    <row r="12" spans="1:16" s="8" customFormat="1" ht="12.75" x14ac:dyDescent="0.2">
      <c r="A12" s="10">
        <v>1</v>
      </c>
      <c r="B12" s="10"/>
      <c r="C12" s="8" t="s">
        <v>30</v>
      </c>
      <c r="F12" s="1">
        <v>35152815.119999997</v>
      </c>
      <c r="G12" s="13">
        <f t="shared" ref="G12:O12" si="0">+F14+F17</f>
        <v>35152815.119999997</v>
      </c>
      <c r="H12" s="13">
        <f t="shared" si="0"/>
        <v>30204623.429999996</v>
      </c>
      <c r="I12" s="13">
        <f t="shared" si="0"/>
        <v>25117886.202319995</v>
      </c>
      <c r="J12" s="13">
        <f t="shared" si="0"/>
        <v>21882394.951119993</v>
      </c>
      <c r="K12" s="13">
        <f t="shared" si="0"/>
        <v>20186163.887199994</v>
      </c>
      <c r="L12" s="13">
        <f t="shared" si="0"/>
        <v>18965047.119459994</v>
      </c>
      <c r="M12" s="13">
        <f t="shared" si="0"/>
        <v>17796977.726419993</v>
      </c>
      <c r="N12" s="13">
        <f t="shared" si="0"/>
        <v>16749106.265462514</v>
      </c>
      <c r="O12" s="13">
        <f t="shared" si="0"/>
        <v>15267404.039965808</v>
      </c>
      <c r="P12" s="54"/>
    </row>
    <row r="13" spans="1:16" s="8" customFormat="1" ht="12.75" x14ac:dyDescent="0.2">
      <c r="A13" s="10">
        <f>1+A12</f>
        <v>2</v>
      </c>
      <c r="B13" s="10"/>
      <c r="C13" s="8" t="s">
        <v>31</v>
      </c>
      <c r="F13" s="14">
        <v>0</v>
      </c>
      <c r="G13" s="14">
        <v>-4948191.6900000004</v>
      </c>
      <c r="H13" s="14">
        <f t="shared" ref="H13:O13" si="1">-H39</f>
        <v>-5086737.2276800005</v>
      </c>
      <c r="I13" s="14">
        <f t="shared" si="1"/>
        <v>-3235491.2512000003</v>
      </c>
      <c r="J13" s="14">
        <f t="shared" si="1"/>
        <v>-1696231.0639199999</v>
      </c>
      <c r="K13" s="14">
        <f t="shared" si="1"/>
        <v>-1221116.76774</v>
      </c>
      <c r="L13" s="14">
        <f t="shared" si="1"/>
        <v>-1168069.39304</v>
      </c>
      <c r="M13" s="14">
        <f t="shared" si="1"/>
        <v>-1147192.95948</v>
      </c>
      <c r="N13" s="14">
        <f t="shared" si="1"/>
        <v>-1573751.0893199998</v>
      </c>
      <c r="O13" s="14">
        <f t="shared" si="1"/>
        <v>-4395051.02092</v>
      </c>
      <c r="P13" s="55"/>
    </row>
    <row r="14" spans="1:16" s="8" customFormat="1" ht="12.75" x14ac:dyDescent="0.2">
      <c r="A14" s="10">
        <f t="shared" ref="A14:A39" si="2">1+A13</f>
        <v>3</v>
      </c>
      <c r="B14" s="10"/>
      <c r="C14" s="8" t="s">
        <v>32</v>
      </c>
      <c r="F14" s="15">
        <f t="shared" ref="F14:O14" si="3">+SUM(F12:F13)</f>
        <v>35152815.119999997</v>
      </c>
      <c r="G14" s="15">
        <f t="shared" si="3"/>
        <v>30204623.429999996</v>
      </c>
      <c r="H14" s="15">
        <f t="shared" si="3"/>
        <v>25117886.202319995</v>
      </c>
      <c r="I14" s="15">
        <f t="shared" si="3"/>
        <v>21882394.951119993</v>
      </c>
      <c r="J14" s="15">
        <f t="shared" si="3"/>
        <v>20186163.887199994</v>
      </c>
      <c r="K14" s="15">
        <f t="shared" si="3"/>
        <v>18965047.119459994</v>
      </c>
      <c r="L14" s="15">
        <f t="shared" si="3"/>
        <v>17796977.726419993</v>
      </c>
      <c r="M14" s="15">
        <f t="shared" si="3"/>
        <v>16649784.766939992</v>
      </c>
      <c r="N14" s="15">
        <f t="shared" si="3"/>
        <v>15175355.176142514</v>
      </c>
      <c r="O14" s="15">
        <f t="shared" si="3"/>
        <v>10872353.019045807</v>
      </c>
      <c r="P14" s="56"/>
    </row>
    <row r="15" spans="1:16" s="8" customFormat="1" ht="12.75" x14ac:dyDescent="0.2">
      <c r="A15" s="10">
        <f t="shared" si="2"/>
        <v>4</v>
      </c>
      <c r="B15" s="10"/>
      <c r="H15" s="16"/>
      <c r="I15" s="16"/>
      <c r="J15" s="16"/>
      <c r="K15" s="16"/>
      <c r="L15" s="16"/>
      <c r="M15" s="16"/>
      <c r="N15" s="16"/>
      <c r="O15" s="16"/>
      <c r="P15" s="57"/>
    </row>
    <row r="16" spans="1:16" s="8" customFormat="1" ht="12.75" x14ac:dyDescent="0.2">
      <c r="A16" s="10">
        <f t="shared" si="2"/>
        <v>5</v>
      </c>
      <c r="B16" s="10"/>
      <c r="C16" s="8" t="s">
        <v>33</v>
      </c>
      <c r="G16" s="17">
        <f t="shared" ref="G16:L16" si="4">0.0692/12*0</f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ref="M16:O16" si="5">0.0692/12</f>
        <v>5.7666666666666665E-3</v>
      </c>
      <c r="N16" s="17">
        <f t="shared" si="5"/>
        <v>5.7666666666666665E-3</v>
      </c>
      <c r="O16" s="17">
        <f t="shared" si="5"/>
        <v>5.7666666666666665E-3</v>
      </c>
      <c r="P16" s="58"/>
    </row>
    <row r="17" spans="1:16" s="8" customFormat="1" ht="12.75" x14ac:dyDescent="0.2">
      <c r="A17" s="10">
        <f t="shared" si="2"/>
        <v>6</v>
      </c>
      <c r="B17" s="10"/>
      <c r="C17" s="8" t="s">
        <v>34</v>
      </c>
      <c r="G17" s="18">
        <f t="shared" ref="G17:O17" si="6">+(G12+G14)/2*G16</f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99321.498522521288</v>
      </c>
      <c r="N17" s="18">
        <f t="shared" si="6"/>
        <v>92048.863823294494</v>
      </c>
      <c r="O17" s="18">
        <f t="shared" si="6"/>
        <v>75369.63285348349</v>
      </c>
      <c r="P17" s="59"/>
    </row>
    <row r="18" spans="1:16" s="8" customFormat="1" ht="12.75" x14ac:dyDescent="0.2">
      <c r="A18" s="10">
        <f t="shared" si="2"/>
        <v>7</v>
      </c>
      <c r="B18" s="10"/>
      <c r="F18" s="19" t="s">
        <v>35</v>
      </c>
      <c r="G18" s="10"/>
      <c r="P18" s="60"/>
    </row>
    <row r="19" spans="1:16" s="8" customFormat="1" ht="12.75" x14ac:dyDescent="0.2">
      <c r="A19" s="10">
        <f t="shared" si="2"/>
        <v>8</v>
      </c>
      <c r="B19" s="10"/>
      <c r="C19" s="20" t="s">
        <v>36</v>
      </c>
      <c r="F19" s="21"/>
      <c r="G19" s="21"/>
      <c r="P19" s="60"/>
    </row>
    <row r="20" spans="1:16" s="8" customFormat="1" ht="12.75" x14ac:dyDescent="0.2">
      <c r="A20" s="10">
        <f t="shared" si="2"/>
        <v>9</v>
      </c>
      <c r="B20" s="10"/>
      <c r="C20" s="20" t="s">
        <v>37</v>
      </c>
      <c r="F20" s="21">
        <v>10538584</v>
      </c>
      <c r="G20" s="21">
        <v>10538584</v>
      </c>
      <c r="H20" s="21"/>
      <c r="I20" s="21"/>
      <c r="J20" s="21"/>
      <c r="K20" s="21"/>
      <c r="L20" s="21"/>
      <c r="M20" s="21"/>
      <c r="N20" s="21"/>
      <c r="O20" s="21"/>
      <c r="P20" s="61"/>
    </row>
    <row r="21" spans="1:16" s="8" customFormat="1" ht="12.75" x14ac:dyDescent="0.2">
      <c r="A21" s="10">
        <f t="shared" si="2"/>
        <v>10</v>
      </c>
      <c r="B21" s="10"/>
      <c r="C21" s="20" t="s">
        <v>38</v>
      </c>
      <c r="F21" s="21">
        <v>5228553</v>
      </c>
      <c r="G21" s="21">
        <v>5228553</v>
      </c>
      <c r="H21" s="21">
        <v>5228553</v>
      </c>
      <c r="I21" s="21"/>
      <c r="J21" s="21"/>
      <c r="K21" s="21"/>
      <c r="L21" s="21"/>
      <c r="M21" s="21"/>
      <c r="N21" s="21"/>
      <c r="O21" s="21"/>
      <c r="P21" s="61"/>
    </row>
    <row r="22" spans="1:16" s="8" customFormat="1" ht="12.75" x14ac:dyDescent="0.2">
      <c r="A22" s="10">
        <f t="shared" si="2"/>
        <v>11</v>
      </c>
      <c r="B22" s="10"/>
      <c r="C22" s="20" t="s">
        <v>39</v>
      </c>
      <c r="F22" s="21">
        <v>3011339</v>
      </c>
      <c r="G22" s="21">
        <v>3011339</v>
      </c>
      <c r="H22" s="21">
        <v>3011339</v>
      </c>
      <c r="I22" s="21">
        <v>3011339</v>
      </c>
      <c r="J22" s="21"/>
      <c r="K22" s="21"/>
      <c r="L22" s="21"/>
      <c r="M22" s="21"/>
      <c r="N22" s="21"/>
      <c r="O22" s="21"/>
      <c r="P22" s="61"/>
    </row>
    <row r="23" spans="1:16" s="8" customFormat="1" ht="12.75" x14ac:dyDescent="0.2">
      <c r="A23" s="10">
        <f t="shared" si="2"/>
        <v>12</v>
      </c>
      <c r="B23" s="10"/>
      <c r="C23" s="20" t="s">
        <v>40</v>
      </c>
      <c r="F23" s="21">
        <v>2039803</v>
      </c>
      <c r="G23" s="21">
        <v>2039803</v>
      </c>
      <c r="H23" s="21">
        <v>2039803</v>
      </c>
      <c r="I23" s="21">
        <v>2039803</v>
      </c>
      <c r="J23" s="21">
        <v>2039803</v>
      </c>
      <c r="K23" s="21"/>
      <c r="L23" s="21"/>
      <c r="M23" s="21"/>
      <c r="N23" s="21"/>
      <c r="O23" s="21"/>
      <c r="P23" s="61"/>
    </row>
    <row r="24" spans="1:16" s="8" customFormat="1" ht="12.75" x14ac:dyDescent="0.2">
      <c r="A24" s="10">
        <f t="shared" si="2"/>
        <v>13</v>
      </c>
      <c r="B24" s="10"/>
      <c r="C24" s="20" t="s">
        <v>41</v>
      </c>
      <c r="F24" s="21">
        <v>1916092</v>
      </c>
      <c r="G24" s="21">
        <v>1916092</v>
      </c>
      <c r="H24" s="21">
        <v>1916092</v>
      </c>
      <c r="I24" s="21">
        <v>1916092</v>
      </c>
      <c r="J24" s="21">
        <v>1916092</v>
      </c>
      <c r="K24" s="21">
        <v>1916092</v>
      </c>
      <c r="L24" s="21"/>
      <c r="M24" s="21"/>
      <c r="N24" s="21"/>
      <c r="O24" s="21"/>
      <c r="P24" s="61"/>
    </row>
    <row r="25" spans="1:16" s="8" customFormat="1" ht="12.75" x14ac:dyDescent="0.2">
      <c r="A25" s="10">
        <f t="shared" si="2"/>
        <v>14</v>
      </c>
      <c r="B25" s="10"/>
      <c r="C25" s="20" t="s">
        <v>42</v>
      </c>
      <c r="F25" s="21">
        <v>2127128</v>
      </c>
      <c r="G25" s="21">
        <v>2127128</v>
      </c>
      <c r="H25" s="21">
        <v>2127128</v>
      </c>
      <c r="I25" s="21">
        <v>2127128</v>
      </c>
      <c r="J25" s="21">
        <v>2127128</v>
      </c>
      <c r="K25" s="21">
        <v>2127128</v>
      </c>
      <c r="L25" s="21">
        <v>2127128</v>
      </c>
      <c r="M25" s="21"/>
      <c r="N25" s="21"/>
      <c r="O25" s="21"/>
      <c r="P25" s="61"/>
    </row>
    <row r="26" spans="1:16" s="8" customFormat="1" ht="12.75" x14ac:dyDescent="0.2">
      <c r="A26" s="10">
        <f t="shared" si="2"/>
        <v>15</v>
      </c>
      <c r="B26" s="10"/>
      <c r="C26" s="20" t="s">
        <v>43</v>
      </c>
      <c r="F26" s="21">
        <v>3554119</v>
      </c>
      <c r="G26" s="21">
        <v>3554119</v>
      </c>
      <c r="H26" s="21">
        <v>3554119</v>
      </c>
      <c r="I26" s="21">
        <v>3554119</v>
      </c>
      <c r="J26" s="21">
        <v>3554119</v>
      </c>
      <c r="K26" s="21">
        <v>3554119</v>
      </c>
      <c r="L26" s="21">
        <v>3554119</v>
      </c>
      <c r="M26" s="21">
        <v>3554119</v>
      </c>
      <c r="N26" s="21"/>
      <c r="O26" s="21"/>
      <c r="P26" s="61"/>
    </row>
    <row r="27" spans="1:16" s="8" customFormat="1" ht="12.75" x14ac:dyDescent="0.2">
      <c r="A27" s="10">
        <f t="shared" si="2"/>
        <v>16</v>
      </c>
      <c r="B27" s="10"/>
      <c r="C27" s="20" t="s">
        <v>44</v>
      </c>
      <c r="F27" s="21">
        <v>9096581</v>
      </c>
      <c r="G27" s="21">
        <v>9096581</v>
      </c>
      <c r="H27" s="21">
        <v>9096581</v>
      </c>
      <c r="I27" s="21">
        <v>9096581</v>
      </c>
      <c r="J27" s="21">
        <v>9096581</v>
      </c>
      <c r="K27" s="21">
        <v>9096581</v>
      </c>
      <c r="L27" s="21">
        <v>9096581</v>
      </c>
      <c r="M27" s="21">
        <v>9096581</v>
      </c>
      <c r="N27" s="21">
        <v>9096581</v>
      </c>
      <c r="O27" s="21"/>
      <c r="P27" s="61"/>
    </row>
    <row r="28" spans="1:16" s="8" customFormat="1" ht="12.75" x14ac:dyDescent="0.2">
      <c r="A28" s="10">
        <f t="shared" si="2"/>
        <v>17</v>
      </c>
      <c r="B28" s="10"/>
      <c r="C28" s="20" t="s">
        <v>45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8" customFormat="1" ht="13.5" thickBot="1" x14ac:dyDescent="0.25">
      <c r="A29" s="10">
        <f t="shared" si="2"/>
        <v>18</v>
      </c>
      <c r="B29" s="10"/>
      <c r="C29" s="8" t="s">
        <v>46</v>
      </c>
      <c r="F29" s="23">
        <v>52450893</v>
      </c>
      <c r="G29" s="23">
        <v>52450893</v>
      </c>
      <c r="H29" s="23">
        <v>41912309</v>
      </c>
      <c r="I29" s="23">
        <v>36683756</v>
      </c>
      <c r="J29" s="23">
        <v>33672417</v>
      </c>
      <c r="K29" s="23">
        <v>31632614</v>
      </c>
      <c r="L29" s="23">
        <v>29716522</v>
      </c>
      <c r="M29" s="23">
        <v>27589394</v>
      </c>
      <c r="N29" s="23">
        <v>24035275</v>
      </c>
      <c r="O29" s="23">
        <v>14938694</v>
      </c>
      <c r="P29" s="62"/>
    </row>
    <row r="30" spans="1:16" s="8" customFormat="1" ht="12.75" customHeight="1" thickTop="1" x14ac:dyDescent="0.2">
      <c r="A30" s="10">
        <f t="shared" si="2"/>
        <v>19</v>
      </c>
      <c r="B30" s="10"/>
      <c r="P30" s="60"/>
    </row>
    <row r="31" spans="1:16" s="8" customFormat="1" ht="12.75" x14ac:dyDescent="0.2">
      <c r="A31" s="10">
        <f t="shared" si="2"/>
        <v>20</v>
      </c>
      <c r="B31" s="10"/>
      <c r="P31" s="60"/>
    </row>
    <row r="32" spans="1:16" s="8" customFormat="1" ht="16.5" thickBot="1" x14ac:dyDescent="0.25">
      <c r="A32" s="10">
        <f t="shared" si="2"/>
        <v>21</v>
      </c>
      <c r="B32" s="10"/>
      <c r="C32" s="8" t="s">
        <v>63</v>
      </c>
      <c r="F32" s="24">
        <f t="shared" ref="F32:N32" si="7">IFERROR(ROUND(G12/F29,5),0)</f>
        <v>0.67020000000000002</v>
      </c>
      <c r="G32" s="24">
        <f t="shared" si="7"/>
        <v>0.57586000000000004</v>
      </c>
      <c r="H32" s="24">
        <f t="shared" si="7"/>
        <v>0.59930000000000005</v>
      </c>
      <c r="I32" s="24">
        <f t="shared" si="7"/>
        <v>0.59650999999999998</v>
      </c>
      <c r="J32" s="24">
        <f t="shared" si="7"/>
        <v>0.59948999999999997</v>
      </c>
      <c r="K32" s="24">
        <f t="shared" si="7"/>
        <v>0.59953999999999996</v>
      </c>
      <c r="L32" s="24">
        <f t="shared" si="7"/>
        <v>0.59889000000000003</v>
      </c>
      <c r="M32" s="24">
        <f t="shared" si="7"/>
        <v>0.60707999999999995</v>
      </c>
      <c r="N32" s="24">
        <f t="shared" si="7"/>
        <v>0.63521000000000005</v>
      </c>
      <c r="O32" s="24">
        <v>0.73284000000000005</v>
      </c>
      <c r="P32" s="63"/>
    </row>
    <row r="33" spans="1:16" s="8" customFormat="1" ht="13.5" thickTop="1" x14ac:dyDescent="0.2">
      <c r="A33" s="10">
        <f t="shared" si="2"/>
        <v>22</v>
      </c>
      <c r="P33" s="60"/>
    </row>
    <row r="34" spans="1:16" s="8" customFormat="1" ht="12.75" x14ac:dyDescent="0.2">
      <c r="A34" s="10">
        <f t="shared" si="2"/>
        <v>23</v>
      </c>
      <c r="P34" s="60"/>
    </row>
    <row r="35" spans="1:16" s="8" customFormat="1" ht="12.75" x14ac:dyDescent="0.2">
      <c r="A35" s="10">
        <f t="shared" si="2"/>
        <v>24</v>
      </c>
      <c r="P35" s="60"/>
    </row>
    <row r="36" spans="1:16" s="8" customFormat="1" ht="12.75" x14ac:dyDescent="0.2">
      <c r="A36" s="10">
        <f t="shared" si="2"/>
        <v>25</v>
      </c>
      <c r="H36" s="10" t="s">
        <v>5</v>
      </c>
      <c r="I36" s="10" t="s">
        <v>5</v>
      </c>
      <c r="J36" s="10" t="s">
        <v>5</v>
      </c>
      <c r="K36" s="10" t="s">
        <v>5</v>
      </c>
      <c r="L36" s="10" t="s">
        <v>5</v>
      </c>
      <c r="M36" s="10" t="s">
        <v>5</v>
      </c>
      <c r="N36" s="10" t="s">
        <v>5</v>
      </c>
      <c r="O36" s="10" t="s">
        <v>5</v>
      </c>
      <c r="P36" s="64"/>
    </row>
    <row r="37" spans="1:16" s="8" customFormat="1" ht="12.75" x14ac:dyDescent="0.2">
      <c r="A37" s="10">
        <f t="shared" si="2"/>
        <v>26</v>
      </c>
      <c r="C37" s="8" t="s">
        <v>47</v>
      </c>
      <c r="H37" s="22">
        <v>8833288</v>
      </c>
      <c r="I37" s="22">
        <v>5398784</v>
      </c>
      <c r="J37" s="22">
        <v>2843592</v>
      </c>
      <c r="K37" s="22">
        <v>2036926</v>
      </c>
      <c r="L37" s="22">
        <v>1948276</v>
      </c>
      <c r="M37" s="22">
        <v>1915532</v>
      </c>
      <c r="N37" s="22">
        <v>2592329</v>
      </c>
      <c r="O37" s="22">
        <v>6919052</v>
      </c>
      <c r="P37" s="65"/>
    </row>
    <row r="38" spans="1:16" s="8" customFormat="1" ht="12.75" x14ac:dyDescent="0.2">
      <c r="A38" s="10">
        <f t="shared" si="2"/>
        <v>27</v>
      </c>
      <c r="C38" s="20" t="s">
        <v>48</v>
      </c>
      <c r="H38" s="25">
        <f>+G32</f>
        <v>0.57586000000000004</v>
      </c>
      <c r="I38" s="25">
        <f t="shared" ref="I38:O38" si="8">+H32</f>
        <v>0.59930000000000005</v>
      </c>
      <c r="J38" s="25">
        <f t="shared" si="8"/>
        <v>0.59650999999999998</v>
      </c>
      <c r="K38" s="25">
        <f t="shared" si="8"/>
        <v>0.59948999999999997</v>
      </c>
      <c r="L38" s="25">
        <f t="shared" si="8"/>
        <v>0.59953999999999996</v>
      </c>
      <c r="M38" s="25">
        <f t="shared" si="8"/>
        <v>0.59889000000000003</v>
      </c>
      <c r="N38" s="25">
        <f t="shared" si="8"/>
        <v>0.60707999999999995</v>
      </c>
      <c r="O38" s="25">
        <f t="shared" si="8"/>
        <v>0.63521000000000005</v>
      </c>
      <c r="P38" s="66"/>
    </row>
    <row r="39" spans="1:16" s="8" customFormat="1" ht="13.5" thickBot="1" x14ac:dyDescent="0.25">
      <c r="A39" s="10">
        <f t="shared" si="2"/>
        <v>28</v>
      </c>
      <c r="C39" s="8" t="s">
        <v>62</v>
      </c>
      <c r="H39" s="26">
        <f>H37*H38</f>
        <v>5086737.2276800005</v>
      </c>
      <c r="I39" s="26">
        <f t="shared" ref="I39:O39" si="9">I37*I38</f>
        <v>3235491.2512000003</v>
      </c>
      <c r="J39" s="26">
        <f t="shared" si="9"/>
        <v>1696231.0639199999</v>
      </c>
      <c r="K39" s="26">
        <f t="shared" si="9"/>
        <v>1221116.76774</v>
      </c>
      <c r="L39" s="26">
        <f t="shared" si="9"/>
        <v>1168069.39304</v>
      </c>
      <c r="M39" s="26">
        <f t="shared" si="9"/>
        <v>1147192.95948</v>
      </c>
      <c r="N39" s="26">
        <f t="shared" si="9"/>
        <v>1573751.0893199998</v>
      </c>
      <c r="O39" s="26">
        <f t="shared" si="9"/>
        <v>4395051.02092</v>
      </c>
      <c r="P39" s="67"/>
    </row>
    <row r="40" spans="1:16" s="8" customFormat="1" ht="13.5" thickTop="1" x14ac:dyDescent="0.2">
      <c r="A40" s="10"/>
      <c r="H40" s="44"/>
      <c r="I40" s="44"/>
      <c r="J40" s="44"/>
      <c r="K40" s="44"/>
      <c r="L40" s="44"/>
      <c r="M40" s="44"/>
      <c r="N40" s="44"/>
      <c r="O40" s="44"/>
      <c r="P40" s="44"/>
    </row>
    <row r="41" spans="1:16" s="8" customFormat="1" ht="12.75" x14ac:dyDescent="0.2">
      <c r="A41" s="10"/>
      <c r="C41" s="8" t="s">
        <v>54</v>
      </c>
      <c r="H41" s="44"/>
      <c r="I41" s="44"/>
      <c r="J41" s="44"/>
      <c r="K41" s="44"/>
      <c r="L41" s="44"/>
      <c r="M41" s="44"/>
      <c r="N41" s="44"/>
      <c r="O41" s="44"/>
      <c r="P41" s="44"/>
    </row>
    <row r="42" spans="1:16" s="8" customFormat="1" ht="12.75" x14ac:dyDescent="0.2">
      <c r="A42" s="10"/>
      <c r="C42" s="8" t="s">
        <v>60</v>
      </c>
      <c r="H42" s="44"/>
      <c r="I42" s="44"/>
      <c r="J42" s="44"/>
      <c r="K42" s="44"/>
      <c r="L42" s="44"/>
      <c r="M42" s="44"/>
      <c r="N42" s="44"/>
      <c r="O42" s="44"/>
      <c r="P42" s="44"/>
    </row>
    <row r="43" spans="1:16" s="8" customFormat="1" ht="12.75" x14ac:dyDescent="0.2">
      <c r="A43" s="10"/>
      <c r="C43" s="8" t="s">
        <v>59</v>
      </c>
      <c r="H43" s="44"/>
      <c r="I43" s="44"/>
      <c r="J43" s="44"/>
      <c r="K43" s="44"/>
      <c r="L43" s="44"/>
      <c r="M43" s="44"/>
      <c r="N43" s="44"/>
      <c r="O43" s="44"/>
      <c r="P43" s="44"/>
    </row>
    <row r="44" spans="1:16" s="8" customFormat="1" ht="12.75" x14ac:dyDescent="0.2">
      <c r="A44" s="10"/>
    </row>
    <row r="45" spans="1:16" s="8" customFormat="1" ht="12.75" x14ac:dyDescent="0.2">
      <c r="A45" s="10"/>
      <c r="C45" s="8" t="s">
        <v>61</v>
      </c>
    </row>
    <row r="46" spans="1:16" s="8" customFormat="1" ht="12.75" x14ac:dyDescent="0.2">
      <c r="A46" s="10"/>
      <c r="C46" s="8" t="s">
        <v>55</v>
      </c>
    </row>
    <row r="47" spans="1:16" s="8" customFormat="1" ht="12.75" x14ac:dyDescent="0.2">
      <c r="A47" s="10"/>
      <c r="C47" s="8" t="s">
        <v>56</v>
      </c>
    </row>
    <row r="48" spans="1:16" s="8" customFormat="1" ht="12.75" x14ac:dyDescent="0.2">
      <c r="A48" s="10"/>
    </row>
    <row r="49" spans="1:1" s="8" customFormat="1" ht="12.75" x14ac:dyDescent="0.2">
      <c r="A49" s="10"/>
    </row>
    <row r="50" spans="1:1" s="8" customFormat="1" ht="12.75" x14ac:dyDescent="0.2"/>
    <row r="51" spans="1:1" s="8" customFormat="1" ht="12.75" x14ac:dyDescent="0.2"/>
    <row r="52" spans="1:1" s="8" customFormat="1" ht="12.75" x14ac:dyDescent="0.2"/>
    <row r="53" spans="1:1" s="8" customFormat="1" ht="12.75" x14ac:dyDescent="0.2"/>
    <row r="54" spans="1:1" s="8" customFormat="1" ht="12.75" x14ac:dyDescent="0.2"/>
    <row r="55" spans="1:1" s="8" customFormat="1" ht="12.75" x14ac:dyDescent="0.2"/>
    <row r="56" spans="1:1" s="8" customFormat="1" ht="12.75" x14ac:dyDescent="0.2"/>
    <row r="57" spans="1:1" s="8" customFormat="1" ht="12.75" x14ac:dyDescent="0.2"/>
    <row r="58" spans="1:1" s="8" customFormat="1" ht="12.75" x14ac:dyDescent="0.2"/>
    <row r="59" spans="1:1" s="8" customFormat="1" ht="12.75" x14ac:dyDescent="0.2"/>
    <row r="60" spans="1:1" s="8" customFormat="1" ht="12.75" x14ac:dyDescent="0.2"/>
    <row r="61" spans="1:1" s="8" customFormat="1" ht="12.75" x14ac:dyDescent="0.2"/>
    <row r="62" spans="1:1" s="8" customFormat="1" ht="12.75" x14ac:dyDescent="0.2"/>
    <row r="63" spans="1:1" s="8" customFormat="1" ht="12.75" x14ac:dyDescent="0.2"/>
    <row r="64" spans="1:1" s="8" customFormat="1" ht="12.75" x14ac:dyDescent="0.2"/>
    <row r="65" s="8" customFormat="1" ht="12.75" x14ac:dyDescent="0.2"/>
    <row r="66" s="8" customFormat="1" ht="12.75" x14ac:dyDescent="0.2"/>
    <row r="67" s="8" customFormat="1" ht="12.75" x14ac:dyDescent="0.2"/>
    <row r="68" s="8" customFormat="1" ht="12.75" x14ac:dyDescent="0.2"/>
    <row r="69" s="8" customFormat="1" ht="12.75" x14ac:dyDescent="0.2"/>
    <row r="70" s="8" customFormat="1" ht="12.75" x14ac:dyDescent="0.2"/>
    <row r="71" s="8" customFormat="1" ht="12.75" x14ac:dyDescent="0.2"/>
    <row r="72" s="8" customFormat="1" ht="12.75" x14ac:dyDescent="0.2"/>
    <row r="73" s="8" customFormat="1" ht="12.75" x14ac:dyDescent="0.2"/>
    <row r="74" s="8" customFormat="1" ht="12.75" x14ac:dyDescent="0.2"/>
    <row r="75" s="8" customFormat="1" ht="12.75" x14ac:dyDescent="0.2"/>
    <row r="76" s="8" customFormat="1" ht="12.75" x14ac:dyDescent="0.2"/>
    <row r="77" s="8" customFormat="1" ht="12.75" x14ac:dyDescent="0.2"/>
    <row r="78" s="8" customFormat="1" ht="12.75" x14ac:dyDescent="0.2"/>
    <row r="79" s="8" customFormat="1" ht="12.75" x14ac:dyDescent="0.2"/>
    <row r="80" s="8" customFormat="1" ht="12.75" x14ac:dyDescent="0.2"/>
    <row r="81" s="8" customFormat="1" ht="12.75" x14ac:dyDescent="0.2"/>
    <row r="82" s="8" customFormat="1" ht="12.75" x14ac:dyDescent="0.2"/>
    <row r="83" s="8" customFormat="1" ht="12.75" x14ac:dyDescent="0.2"/>
    <row r="84" s="8" customFormat="1" ht="12.75" x14ac:dyDescent="0.2"/>
    <row r="85" s="8" customFormat="1" ht="12.75" x14ac:dyDescent="0.2"/>
  </sheetData>
  <mergeCells count="2">
    <mergeCell ref="G10:P10"/>
    <mergeCell ref="G9:O9"/>
  </mergeCells>
  <printOptions horizontalCentered="1"/>
  <pageMargins left="0.5" right="0.5" top="1" bottom="1" header="0.5" footer="0.5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Dollars</vt:lpstr>
      <vt:lpstr>Vortex Bal SD PGA-Dec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Root, Cory (MidAmerican)</dc:creator>
  <cp:lastModifiedBy>Lashley, Joy  (PUC)</cp:lastModifiedBy>
  <cp:lastPrinted>2021-12-22T15:29:26Z</cp:lastPrinted>
  <dcterms:created xsi:type="dcterms:W3CDTF">2021-12-21T19:12:21Z</dcterms:created>
  <dcterms:modified xsi:type="dcterms:W3CDTF">2021-12-30T22:31:55Z</dcterms:modified>
</cp:coreProperties>
</file>