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788" yWindow="-12" windowWidth="10836" windowHeight="10236" tabRatio="633" firstSheet="1" activeTab="5"/>
  </bookViews>
  <sheets>
    <sheet name="Recovered_Sheet1" sheetId="21" state="veryHidden" r:id="rId1"/>
    <sheet name="Page1" sheetId="4" r:id="rId2"/>
    <sheet name="Page2" sheetId="6" r:id="rId3"/>
    <sheet name="Page3" sheetId="34" r:id="rId4"/>
    <sheet name="Page4" sheetId="37" r:id="rId5"/>
    <sheet name="Page5" sheetId="35" r:id="rId6"/>
  </sheets>
  <externalReferences>
    <externalReference r:id="rId7"/>
    <externalReference r:id="rId8"/>
  </externalReferences>
  <definedNames>
    <definedName name="_xlnm.Criteria">#REF!</definedName>
    <definedName name="Iowa_Power_EEP">[1]carry96!#REF!</definedName>
    <definedName name="IPAC">[1]carry96!#REF!</definedName>
    <definedName name="IPEEIS">[1]carry96!#REF!</definedName>
    <definedName name="IPNonAC">[1]carry96!#REF!</definedName>
    <definedName name="IPSACLoadControl">[1]carry96!#REF!</definedName>
    <definedName name="IPSCommAC">[1]carry96!#REF!</definedName>
    <definedName name="IPSLowIncome">[1]carry96!#REF!</definedName>
    <definedName name="LABOR">[2]ACTUAL!#REF!</definedName>
    <definedName name="_xlnm.Print_Area" localSheetId="1">Page1!$A$1:$V$56</definedName>
    <definedName name="_xlnm.Print_Area" localSheetId="2">Page2!$A$1:$R$33</definedName>
    <definedName name="_xlnm.Print_Area" localSheetId="3">Page3!$A$1:$J$42</definedName>
    <definedName name="_xlnm.Print_Area" localSheetId="4">Page4!$A$1:$Q$33</definedName>
    <definedName name="_xlnm.Print_Area" localSheetId="5">Page5!$A$1:$Z$35</definedName>
  </definedNames>
  <calcPr calcId="145621"/>
</workbook>
</file>

<file path=xl/calcChain.xml><?xml version="1.0" encoding="utf-8"?>
<calcChain xmlns="http://schemas.openxmlformats.org/spreadsheetml/2006/main">
  <c r="V46" i="4" l="1"/>
  <c r="V36" i="4" s="1"/>
  <c r="T46" i="4"/>
  <c r="T36" i="4" s="1"/>
  <c r="V21" i="4"/>
  <c r="T21" i="4"/>
  <c r="V16" i="4"/>
  <c r="T16" i="4"/>
  <c r="G27" i="4" l="1"/>
  <c r="E27" i="4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T34" i="4" l="1"/>
  <c r="T39" i="4"/>
  <c r="G26" i="34" l="1"/>
  <c r="G25" i="34"/>
  <c r="E26" i="34"/>
  <c r="E25" i="34"/>
  <c r="T19" i="4" l="1"/>
  <c r="T14" i="4"/>
  <c r="V20" i="4" l="1"/>
  <c r="O15" i="35" l="1"/>
  <c r="A8" i="37"/>
  <c r="K13" i="37"/>
  <c r="C34" i="34"/>
  <c r="B15" i="34"/>
  <c r="C9" i="34"/>
  <c r="L13" i="35"/>
  <c r="K16" i="37"/>
  <c r="H13" i="37"/>
  <c r="E13" i="37"/>
  <c r="C21" i="34"/>
  <c r="K16" i="6"/>
  <c r="A6" i="4"/>
  <c r="V45" i="4" l="1"/>
  <c r="T45" i="4"/>
  <c r="T44" i="4"/>
  <c r="V40" i="4"/>
  <c r="V41" i="4" s="1"/>
  <c r="T40" i="4"/>
  <c r="T41" i="4" s="1"/>
  <c r="V44" i="4"/>
  <c r="V25" i="4"/>
  <c r="T25" i="4"/>
  <c r="T24" i="4"/>
  <c r="T20" i="4"/>
  <c r="V24" i="4"/>
  <c r="V26" i="4" l="1"/>
  <c r="T26" i="4"/>
  <c r="O26" i="4" s="1"/>
  <c r="I26" i="4" s="1"/>
  <c r="O17" i="4"/>
  <c r="O38" i="4"/>
  <c r="I38" i="4" l="1"/>
  <c r="Q38" i="4"/>
  <c r="I17" i="4"/>
  <c r="Q17" i="4"/>
  <c r="O37" i="4"/>
  <c r="O36" i="4"/>
  <c r="O35" i="4"/>
  <c r="O15" i="4"/>
  <c r="O16" i="4"/>
  <c r="O14" i="4"/>
  <c r="O46" i="4"/>
  <c r="O25" i="4"/>
  <c r="O23" i="4"/>
  <c r="O21" i="4"/>
  <c r="I21" i="4" s="1"/>
  <c r="O18" i="4"/>
  <c r="O24" i="4"/>
  <c r="O22" i="4"/>
  <c r="O19" i="4"/>
  <c r="G47" i="4"/>
  <c r="C13" i="4"/>
  <c r="E20" i="6"/>
  <c r="Q1" i="6"/>
  <c r="J2" i="34" s="1"/>
  <c r="Q1" i="37" s="1"/>
  <c r="X2" i="35"/>
  <c r="E47" i="4"/>
  <c r="K23" i="6"/>
  <c r="K23" i="37"/>
  <c r="A9" i="37"/>
  <c r="A7" i="37"/>
  <c r="A6" i="37"/>
  <c r="A5" i="37"/>
  <c r="E23" i="37"/>
  <c r="C35" i="4"/>
  <c r="C15" i="4"/>
  <c r="C36" i="4" s="1"/>
  <c r="I17" i="34"/>
  <c r="I18" i="34"/>
  <c r="I19" i="34"/>
  <c r="E21" i="34"/>
  <c r="O19" i="35" s="1"/>
  <c r="G21" i="34"/>
  <c r="O20" i="35" s="1"/>
  <c r="A6" i="6"/>
  <c r="A6" i="35" s="1"/>
  <c r="A7" i="6"/>
  <c r="A7" i="35" s="1"/>
  <c r="A5" i="6"/>
  <c r="A5" i="35" s="1"/>
  <c r="A9" i="6"/>
  <c r="I16" i="34"/>
  <c r="I24" i="34"/>
  <c r="Q46" i="4" l="1"/>
  <c r="Q36" i="4"/>
  <c r="I36" i="4"/>
  <c r="Q35" i="4"/>
  <c r="I35" i="4"/>
  <c r="K35" i="4" s="1"/>
  <c r="M35" i="4" s="1"/>
  <c r="Q37" i="4"/>
  <c r="I37" i="4"/>
  <c r="Q16" i="4"/>
  <c r="I16" i="4"/>
  <c r="Q14" i="4"/>
  <c r="I14" i="4"/>
  <c r="Q15" i="4"/>
  <c r="I15" i="4"/>
  <c r="E21" i="6"/>
  <c r="E23" i="6" s="1"/>
  <c r="H21" i="37"/>
  <c r="H20" i="37"/>
  <c r="G28" i="34"/>
  <c r="G30" i="34" s="1"/>
  <c r="F20" i="35" s="1"/>
  <c r="C34" i="4"/>
  <c r="K13" i="6"/>
  <c r="Q19" i="4"/>
  <c r="I19" i="4"/>
  <c r="Q24" i="4"/>
  <c r="I24" i="4"/>
  <c r="I25" i="4"/>
  <c r="Q25" i="4"/>
  <c r="Q22" i="4"/>
  <c r="I22" i="4"/>
  <c r="Q18" i="4"/>
  <c r="I18" i="4"/>
  <c r="I23" i="4"/>
  <c r="Q23" i="4"/>
  <c r="I25" i="34"/>
  <c r="I26" i="34"/>
  <c r="I46" i="4"/>
  <c r="O20" i="4"/>
  <c r="C16" i="4"/>
  <c r="O23" i="35"/>
  <c r="I21" i="34"/>
  <c r="C7" i="34"/>
  <c r="C6" i="34"/>
  <c r="K14" i="4" l="1"/>
  <c r="M14" i="4" s="1"/>
  <c r="K36" i="4"/>
  <c r="M36" i="4" s="1"/>
  <c r="H23" i="37"/>
  <c r="E28" i="34"/>
  <c r="E30" i="34" s="1"/>
  <c r="F19" i="35" s="1"/>
  <c r="F23" i="35" s="1"/>
  <c r="I20" i="4"/>
  <c r="I27" i="4" s="1"/>
  <c r="Q20" i="4"/>
  <c r="I28" i="34"/>
  <c r="I30" i="34" s="1"/>
  <c r="O39" i="4"/>
  <c r="O41" i="4"/>
  <c r="O43" i="4"/>
  <c r="O45" i="4"/>
  <c r="O40" i="4"/>
  <c r="O42" i="4"/>
  <c r="O44" i="4"/>
  <c r="Q21" i="4"/>
  <c r="C17" i="4"/>
  <c r="C37" i="4"/>
  <c r="Q27" i="4" l="1"/>
  <c r="K15" i="4"/>
  <c r="M15" i="4" s="1"/>
  <c r="I44" i="4"/>
  <c r="Q39" i="4"/>
  <c r="I45" i="4"/>
  <c r="K16" i="4"/>
  <c r="M16" i="4" s="1"/>
  <c r="N20" i="37"/>
  <c r="Q20" i="37" s="1"/>
  <c r="K37" i="4"/>
  <c r="K38" i="4" s="1"/>
  <c r="Q42" i="4"/>
  <c r="I42" i="4"/>
  <c r="I43" i="4"/>
  <c r="Q43" i="4"/>
  <c r="I39" i="4"/>
  <c r="Q44" i="4"/>
  <c r="Q40" i="4"/>
  <c r="I40" i="4"/>
  <c r="Q45" i="4"/>
  <c r="I41" i="4"/>
  <c r="Q41" i="4"/>
  <c r="C18" i="4"/>
  <c r="C38" i="4"/>
  <c r="K17" i="4" l="1"/>
  <c r="M17" i="4" s="1"/>
  <c r="M37" i="4"/>
  <c r="N20" i="6"/>
  <c r="L19" i="35"/>
  <c r="I47" i="4"/>
  <c r="N21" i="6" s="1"/>
  <c r="Q47" i="4"/>
  <c r="N21" i="37" s="1"/>
  <c r="C19" i="4"/>
  <c r="C39" i="4"/>
  <c r="M38" i="4"/>
  <c r="K39" i="4"/>
  <c r="K40" i="4" s="1"/>
  <c r="K18" i="4" l="1"/>
  <c r="K19" i="4" s="1"/>
  <c r="M19" i="4" s="1"/>
  <c r="Q21" i="37"/>
  <c r="Q23" i="37" s="1"/>
  <c r="N23" i="6"/>
  <c r="N23" i="37"/>
  <c r="C20" i="4"/>
  <c r="C40" i="4"/>
  <c r="M39" i="4"/>
  <c r="K20" i="4" l="1"/>
  <c r="M20" i="4" s="1"/>
  <c r="M18" i="4"/>
  <c r="L20" i="35"/>
  <c r="L23" i="35" s="1"/>
  <c r="C41" i="4"/>
  <c r="C21" i="4"/>
  <c r="M40" i="4"/>
  <c r="K41" i="4"/>
  <c r="K21" i="4" l="1"/>
  <c r="M21" i="4" s="1"/>
  <c r="C22" i="4"/>
  <c r="C42" i="4"/>
  <c r="M41" i="4"/>
  <c r="K42" i="4"/>
  <c r="K22" i="4" l="1"/>
  <c r="M22" i="4" s="1"/>
  <c r="C43" i="4"/>
  <c r="C23" i="4"/>
  <c r="M42" i="4"/>
  <c r="K43" i="4"/>
  <c r="K23" i="4" l="1"/>
  <c r="M23" i="4" s="1"/>
  <c r="C44" i="4"/>
  <c r="C24" i="4"/>
  <c r="M43" i="4"/>
  <c r="K44" i="4"/>
  <c r="K24" i="4" l="1"/>
  <c r="M24" i="4" s="1"/>
  <c r="C45" i="4"/>
  <c r="C25" i="4"/>
  <c r="C46" i="4" s="1"/>
  <c r="M44" i="4"/>
  <c r="K45" i="4"/>
  <c r="K25" i="4" l="1"/>
  <c r="M45" i="4"/>
  <c r="K46" i="4"/>
  <c r="M46" i="4" s="1"/>
  <c r="M25" i="4" l="1"/>
  <c r="M27" i="4" s="1"/>
  <c r="H20" i="6" s="1"/>
  <c r="Q20" i="6" s="1"/>
  <c r="I19" i="35" s="1"/>
  <c r="R19" i="35" s="1"/>
  <c r="Z19" i="35" s="1"/>
  <c r="K26" i="4"/>
  <c r="M47" i="4"/>
  <c r="H21" i="6" l="1"/>
  <c r="Q21" i="6" s="1"/>
  <c r="I20" i="35" s="1"/>
  <c r="W19" i="35"/>
  <c r="I23" i="35" l="1"/>
  <c r="R20" i="35"/>
  <c r="Z20" i="35" s="1"/>
  <c r="H23" i="6"/>
  <c r="Q23" i="6" s="1"/>
  <c r="W20" i="35" l="1"/>
  <c r="R23" i="35"/>
</calcChain>
</file>

<file path=xl/sharedStrings.xml><?xml version="1.0" encoding="utf-8"?>
<sst xmlns="http://schemas.openxmlformats.org/spreadsheetml/2006/main" count="390" uniqueCount="164">
  <si>
    <t>MidAmerican Energy Company</t>
  </si>
  <si>
    <t>Line</t>
  </si>
  <si>
    <t xml:space="preserve"> </t>
  </si>
  <si>
    <t>No.</t>
  </si>
  <si>
    <t>Month</t>
  </si>
  <si>
    <t>Residential</t>
  </si>
  <si>
    <t>Nonresidential</t>
  </si>
  <si>
    <t>Total</t>
  </si>
  <si>
    <t>(a)</t>
  </si>
  <si>
    <t>(b)</t>
  </si>
  <si>
    <t>(c)</t>
  </si>
  <si>
    <t>(d)</t>
  </si>
  <si>
    <t>$</t>
  </si>
  <si>
    <t>Reconciliation</t>
  </si>
  <si>
    <t>Actual</t>
  </si>
  <si>
    <t>Authorized</t>
  </si>
  <si>
    <t>Revenues</t>
  </si>
  <si>
    <t>Recovery</t>
  </si>
  <si>
    <t>Applicable To</t>
  </si>
  <si>
    <t>For</t>
  </si>
  <si>
    <t>Item</t>
  </si>
  <si>
    <t>Period</t>
  </si>
  <si>
    <t>1.</t>
  </si>
  <si>
    <t>2.</t>
  </si>
  <si>
    <t>3.</t>
  </si>
  <si>
    <t>ECR Factor</t>
  </si>
  <si>
    <t>Projected</t>
  </si>
  <si>
    <t>Recoveries</t>
  </si>
  <si>
    <t>Numerator</t>
  </si>
  <si>
    <t>Annual Sales</t>
  </si>
  <si>
    <t>Per Therm</t>
  </si>
  <si>
    <t>(e)</t>
  </si>
  <si>
    <t>(f)</t>
  </si>
  <si>
    <t xml:space="preserve"> 1.</t>
  </si>
  <si>
    <t xml:space="preserve"> 2.</t>
  </si>
  <si>
    <t xml:space="preserve"> 3.</t>
  </si>
  <si>
    <t xml:space="preserve"> 4.</t>
  </si>
  <si>
    <t>Low Income</t>
  </si>
  <si>
    <t xml:space="preserve"> 5.</t>
  </si>
  <si>
    <t xml:space="preserve"> 6.</t>
  </si>
  <si>
    <t xml:space="preserve"> 7.</t>
  </si>
  <si>
    <t>10.</t>
  </si>
  <si>
    <t>11.</t>
  </si>
  <si>
    <t>12.</t>
  </si>
  <si>
    <t>13.</t>
  </si>
  <si>
    <t>Contemporaneous Costs</t>
  </si>
  <si>
    <t>Factor</t>
  </si>
  <si>
    <t>14.</t>
  </si>
  <si>
    <t>15.</t>
  </si>
  <si>
    <t>Page 1 of 5</t>
  </si>
  <si>
    <t>Page 2 of 5</t>
  </si>
  <si>
    <t>Page 5 of 5</t>
  </si>
  <si>
    <t>Page 3 of 5</t>
  </si>
  <si>
    <t>Page 4 of 5</t>
  </si>
  <si>
    <t>8.</t>
  </si>
  <si>
    <t>9.</t>
  </si>
  <si>
    <t xml:space="preserve">      </t>
  </si>
  <si>
    <t>ECR</t>
  </si>
  <si>
    <t>(g)</t>
  </si>
  <si>
    <t>Incentive</t>
  </si>
  <si>
    <t>Current</t>
  </si>
  <si>
    <t>(Over)Under</t>
  </si>
  <si>
    <t>Under (Over)</t>
  </si>
  <si>
    <t>Carrying Charges</t>
  </si>
  <si>
    <t xml:space="preserve">Applicable to </t>
  </si>
  <si>
    <t>Charges</t>
  </si>
  <si>
    <t>Carrying</t>
  </si>
  <si>
    <t>Expenses</t>
  </si>
  <si>
    <t xml:space="preserve">Balance </t>
  </si>
  <si>
    <t xml:space="preserve">Notes:  </t>
  </si>
  <si>
    <t>Under and Over</t>
  </si>
  <si>
    <t>Equipment</t>
  </si>
  <si>
    <t>Audit</t>
  </si>
  <si>
    <t>Custom</t>
  </si>
  <si>
    <t>Estimated Recoveries</t>
  </si>
  <si>
    <t xml:space="preserve">      January</t>
  </si>
  <si>
    <t xml:space="preserve">      March</t>
  </si>
  <si>
    <t>Total:</t>
  </si>
  <si>
    <t>Remainder to be Recovered</t>
  </si>
  <si>
    <t xml:space="preserve"> Sales</t>
  </si>
  <si>
    <t>April-December</t>
  </si>
  <si>
    <t>Energy Efficiency Actual Cost Recoveries and Expenses</t>
  </si>
  <si>
    <t>Notes:</t>
  </si>
  <si>
    <t>Cumulative</t>
  </si>
  <si>
    <t xml:space="preserve">      factors in effect and the most recent sales forecast. The factors are: </t>
  </si>
  <si>
    <t>5.</t>
  </si>
  <si>
    <t>6.</t>
  </si>
  <si>
    <t>7,</t>
  </si>
  <si>
    <t>(h)</t>
  </si>
  <si>
    <t>(b)+(c)+(d)+(e)</t>
  </si>
  <si>
    <t>(f)/(g)</t>
  </si>
  <si>
    <t>approved rate of return in Docket No. NG-04-001.</t>
  </si>
  <si>
    <t>4</t>
  </si>
  <si>
    <t>Based on Proposed</t>
  </si>
  <si>
    <t>Based on Actual</t>
  </si>
  <si>
    <t>Budgets</t>
  </si>
  <si>
    <t>1)</t>
  </si>
  <si>
    <t>(Over) Recovery</t>
  </si>
  <si>
    <t xml:space="preserve">Recovered in </t>
  </si>
  <si>
    <t>(b)+(c)+(d)-(e)</t>
  </si>
  <si>
    <t xml:space="preserve">Gas </t>
  </si>
  <si>
    <t>Calculation of Gas ECR Factors</t>
  </si>
  <si>
    <t xml:space="preserve">Column (b) is calculated on Line 11 of Exhibit C(G), Page 3 of 5 </t>
  </si>
  <si>
    <t xml:space="preserve">Column (c) is calculated on column (f) of Exhibit C(G), Page 2 of 5 </t>
  </si>
  <si>
    <t>Column (d) is calculated on Exhibit C(G), Page 4 of 5</t>
  </si>
  <si>
    <t>Column (b) is from column (e) on Exhibit C(G), Page 5 of 5 of the previous years filing.</t>
  </si>
  <si>
    <t>Column (d) is from column (d), Exhibit C(G), Page 5 of 5 of the previous years filing.</t>
  </si>
  <si>
    <t>Line 11 carries to column (b) of Exhibit C(G), Page 5 of 5</t>
  </si>
  <si>
    <t>Column (f) is carried to column (c) Exhibit C(G), Page 5 of 5</t>
  </si>
  <si>
    <t>Exhibit C(G)</t>
  </si>
  <si>
    <t xml:space="preserve">Incentive </t>
  </si>
  <si>
    <t xml:space="preserve">Lines 1 and 15 are the December cumulative balances from the previous filing. </t>
  </si>
  <si>
    <t>Operating</t>
  </si>
  <si>
    <t>Units</t>
  </si>
  <si>
    <t xml:space="preserve">    Operating Expenses:</t>
  </si>
  <si>
    <t xml:space="preserve">    Units:</t>
  </si>
  <si>
    <t xml:space="preserve">Factor Approved: </t>
  </si>
  <si>
    <t xml:space="preserve">    Incentive Awards:</t>
  </si>
  <si>
    <t>Total Factor</t>
  </si>
  <si>
    <t>(Therms)</t>
  </si>
  <si>
    <t>Approved Recovery Factor</t>
  </si>
  <si>
    <t>Factor Approved</t>
  </si>
  <si>
    <t xml:space="preserve">    Recoverable Costs</t>
  </si>
  <si>
    <t>(i)</t>
  </si>
  <si>
    <t xml:space="preserve">References: </t>
  </si>
  <si>
    <t xml:space="preserve">Columns (b) and (c) are from company books. </t>
  </si>
  <si>
    <t>2)</t>
  </si>
  <si>
    <t>The totals of column (f) becomes column (c) on Exhibit C(G), Page 2 of 5</t>
  </si>
  <si>
    <t>The totals of column (h) becomes column (e) on Exhibit C(G), Page 4 of 5</t>
  </si>
  <si>
    <t>Column (c) is from column (f) from Exhibit C(G), Page 1 of 5</t>
  </si>
  <si>
    <t>Column (e) is calculated in column (d) Exhibit C(G), Page 1 of 5</t>
  </si>
  <si>
    <t>Column (e) is from column (h) on Exhibit C(G), Page 1 of 5</t>
  </si>
  <si>
    <t>Expenditure</t>
  </si>
  <si>
    <t xml:space="preserve">From previous years filing, Exhibit C(G), Page 5 of 5, column (b) + (c). </t>
  </si>
  <si>
    <t>From previous years filing, Exhibit C(G), Page 5 of 5, column (d) +(e)</t>
  </si>
  <si>
    <t xml:space="preserve">Column (d) is from column (f) from Exhibit C(G), Page 2 of 5 of the previous years filing. </t>
  </si>
  <si>
    <t>(j)</t>
  </si>
  <si>
    <t>3)</t>
  </si>
  <si>
    <r>
      <t xml:space="preserve"> Recovery </t>
    </r>
    <r>
      <rPr>
        <b/>
        <vertAlign val="superscript"/>
        <sz val="11"/>
        <rFont val="Arial"/>
        <family val="2"/>
      </rPr>
      <t>1</t>
    </r>
  </si>
  <si>
    <r>
      <t xml:space="preserve">Operating Factor </t>
    </r>
    <r>
      <rPr>
        <b/>
        <vertAlign val="superscript"/>
        <sz val="11"/>
        <rFont val="Arial"/>
        <family val="2"/>
      </rPr>
      <t>(2)</t>
    </r>
  </si>
  <si>
    <r>
      <t>Incentive Factor</t>
    </r>
    <r>
      <rPr>
        <b/>
        <vertAlign val="superscript"/>
        <sz val="11"/>
        <rFont val="Arial"/>
        <family val="2"/>
      </rPr>
      <t>(3)</t>
    </r>
  </si>
  <si>
    <r>
      <t xml:space="preserve">Operating Factor </t>
    </r>
    <r>
      <rPr>
        <b/>
        <vertAlign val="superscript"/>
        <sz val="11"/>
        <rFont val="Arial"/>
        <family val="2"/>
      </rPr>
      <t>(4)</t>
    </r>
  </si>
  <si>
    <t>4)</t>
  </si>
  <si>
    <t xml:space="preserve">From previous years filing, Exhibit C(G), Page 1 of 5, column (i). </t>
  </si>
  <si>
    <r>
      <t>Incentive Factor</t>
    </r>
    <r>
      <rPr>
        <b/>
        <vertAlign val="superscript"/>
        <sz val="11"/>
        <rFont val="Arial"/>
        <family val="2"/>
      </rPr>
      <t>(4)</t>
    </r>
  </si>
  <si>
    <t xml:space="preserve">      February</t>
  </si>
  <si>
    <t>(b)+(d)-(e)</t>
  </si>
  <si>
    <t>Column (e) is calculated as (b)-(d) plus previous month's balance</t>
  </si>
  <si>
    <t>Column (b) is actual expenditure for 2014 from Column (b) on Exhibit C(G), Page 1 of 5</t>
  </si>
  <si>
    <t xml:space="preserve">Lines 6 is actual January recoveries. </t>
  </si>
  <si>
    <t xml:space="preserve">Lines 7 and 8 are the estimated recovery of energy efficiency costs using current </t>
  </si>
  <si>
    <t xml:space="preserve">Column (c) is calculated as the 2014 actual expenditure on column (b) of Exhibit C(G), Page 2 of 5 multiplied by the </t>
  </si>
  <si>
    <t>May - December (GE14-001)</t>
  </si>
  <si>
    <r>
      <t>Additional Expenditure</t>
    </r>
    <r>
      <rPr>
        <vertAlign val="superscript"/>
        <sz val="10"/>
        <rFont val="Arial"/>
        <family val="2"/>
      </rPr>
      <t xml:space="preserve"> (5)</t>
    </r>
  </si>
  <si>
    <t>5)</t>
  </si>
  <si>
    <t>Column (f) uses the lower of total budget (column b) or total actual (column c) incentive</t>
  </si>
  <si>
    <t>Furnaces installed in 2014 but paid in 2015</t>
  </si>
  <si>
    <r>
      <t xml:space="preserve">Total 2014 </t>
    </r>
    <r>
      <rPr>
        <b/>
        <vertAlign val="superscript"/>
        <sz val="11"/>
        <rFont val="Arial"/>
        <family val="2"/>
      </rPr>
      <t>(6)</t>
    </r>
  </si>
  <si>
    <t>6)</t>
  </si>
  <si>
    <t>Incentives for January - April are calculated based on approved 2013 factors (column j)</t>
  </si>
  <si>
    <t>and incentives for May - December are calculated based on approved 2014 factors (column i)</t>
  </si>
  <si>
    <t xml:space="preserve">Column (e) is calculated as the 2015 proposed budget on Line 5 of Exhibit C(G), Page 3 of 5 multiplied by the </t>
  </si>
  <si>
    <t>January - April (GE13-001)</t>
  </si>
  <si>
    <t>Due to reclassification between Residential and Non-residential, there is a $221 difference between the Residential and Non-residential totals when compared to the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</si>
</sst>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_(&quot;$&quot;* #,##0.00000_);_(&quot;$&quot;* \(#,##0.00000\);_(&quot;$&quot;* &quot;-&quot;??_);_(@_)"/>
    <numFmt numFmtId="168" formatCode="#,##0_);[Black]\(#,##0\)"/>
    <numFmt numFmtId="169" formatCode="#,##0.00_);[Black]\(#,##0.00\)"/>
    <numFmt numFmtId="170" formatCode="0.00_)"/>
    <numFmt numFmtId="171" formatCode="0.000_)"/>
    <numFmt numFmtId="172" formatCode="&quot;$&quot;#,##0.00000"/>
    <numFmt numFmtId="173" formatCode="_(* #,##0.000000_);_(* \(#,##0.000000\);_(* &quot;-&quot;??_);_(@_)"/>
    <numFmt numFmtId="174" formatCode="#,##0.0000000000"/>
    <numFmt numFmtId="175" formatCode="&quot;$&quot;#,##0.00000_);\(&quot;$&quot;#,##0.00000\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Helv"/>
    </font>
    <font>
      <b/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  <font>
      <sz val="10"/>
      <color rgb="FFFF0000"/>
      <name val="Arial"/>
      <family val="2"/>
    </font>
    <font>
      <b/>
      <i/>
      <sz val="10"/>
      <color rgb="FF0070C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40" fontId="6" fillId="0" borderId="0" applyFont="0" applyFill="0" applyBorder="0" applyAlignment="0" applyProtection="0"/>
    <xf numFmtId="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10" fillId="0" borderId="0"/>
    <xf numFmtId="0" fontId="3" fillId="0" borderId="0"/>
    <xf numFmtId="0" fontId="2" fillId="0" borderId="0"/>
  </cellStyleXfs>
  <cellXfs count="180">
    <xf numFmtId="0" fontId="0" fillId="0" borderId="0" xfId="0"/>
    <xf numFmtId="0" fontId="0" fillId="0" borderId="0" xfId="0" applyAlignment="1">
      <alignment horizontal="centerContinuous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4" fillId="0" borderId="0" xfId="12" applyNumberFormat="1" applyFont="1"/>
    <xf numFmtId="165" fontId="2" fillId="0" borderId="0" xfId="12" applyNumberFormat="1"/>
    <xf numFmtId="166" fontId="0" fillId="0" borderId="0" xfId="0" applyNumberFormat="1"/>
    <xf numFmtId="0" fontId="0" fillId="0" borderId="0" xfId="0" quotePrefix="1"/>
    <xf numFmtId="164" fontId="0" fillId="0" borderId="0" xfId="0" applyNumberFormat="1"/>
    <xf numFmtId="3" fontId="0" fillId="0" borderId="0" xfId="0" applyNumberFormat="1"/>
    <xf numFmtId="164" fontId="2" fillId="0" borderId="0" xfId="1" applyNumberFormat="1"/>
    <xf numFmtId="3" fontId="0" fillId="0" borderId="1" xfId="0" applyNumberFormat="1" applyBorder="1"/>
    <xf numFmtId="0" fontId="1" fillId="0" borderId="0" xfId="0" applyFont="1"/>
    <xf numFmtId="165" fontId="2" fillId="0" borderId="0" xfId="12" applyNumberFormat="1" applyBorder="1"/>
    <xf numFmtId="3" fontId="0" fillId="0" borderId="2" xfId="0" applyNumberFormat="1" applyBorder="1"/>
    <xf numFmtId="3" fontId="0" fillId="0" borderId="0" xfId="0" applyNumberFormat="1" applyBorder="1"/>
    <xf numFmtId="168" fontId="5" fillId="0" borderId="0" xfId="0" applyNumberFormat="1" applyFont="1"/>
    <xf numFmtId="168" fontId="5" fillId="0" borderId="1" xfId="0" applyNumberFormat="1" applyFont="1" applyBorder="1"/>
    <xf numFmtId="0" fontId="1" fillId="0" borderId="0" xfId="0" applyFont="1" applyAlignment="1">
      <alignment horizontal="centerContinuous"/>
    </xf>
    <xf numFmtId="168" fontId="5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9" fontId="5" fillId="0" borderId="0" xfId="0" applyNumberFormat="1" applyFont="1" applyBorder="1"/>
    <xf numFmtId="0" fontId="3" fillId="0" borderId="0" xfId="14"/>
    <xf numFmtId="0" fontId="3" fillId="0" borderId="0" xfId="14" applyFont="1"/>
    <xf numFmtId="0" fontId="7" fillId="0" borderId="0" xfId="14" applyFont="1" applyAlignment="1">
      <alignment horizontal="centerContinuous"/>
    </xf>
    <xf numFmtId="0" fontId="3" fillId="0" borderId="0" xfId="14" applyFont="1" applyAlignment="1">
      <alignment horizontal="center"/>
    </xf>
    <xf numFmtId="0" fontId="3" fillId="0" borderId="0" xfId="14" applyAlignment="1">
      <alignment horizontal="center"/>
    </xf>
    <xf numFmtId="4" fontId="3" fillId="0" borderId="0" xfId="11"/>
    <xf numFmtId="38" fontId="3" fillId="0" borderId="0" xfId="10" applyNumberFormat="1" applyFont="1"/>
    <xf numFmtId="0" fontId="7" fillId="0" borderId="0" xfId="14" applyFont="1" applyAlignment="1">
      <alignment horizontal="center"/>
    </xf>
    <xf numFmtId="3" fontId="3" fillId="0" borderId="0" xfId="11" applyNumberFormat="1"/>
    <xf numFmtId="0" fontId="7" fillId="0" borderId="1" xfId="14" applyFont="1" applyBorder="1" applyAlignment="1">
      <alignment horizontal="center"/>
    </xf>
    <xf numFmtId="17" fontId="7" fillId="0" borderId="1" xfId="14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1" applyNumberFormat="1" applyBorder="1"/>
    <xf numFmtId="3" fontId="3" fillId="0" borderId="0" xfId="11" applyNumberFormat="1" applyFont="1"/>
    <xf numFmtId="38" fontId="3" fillId="0" borderId="0" xfId="11" applyNumberFormat="1" applyFont="1"/>
    <xf numFmtId="172" fontId="0" fillId="0" borderId="0" xfId="0" applyNumberFormat="1"/>
    <xf numFmtId="0" fontId="8" fillId="0" borderId="1" xfId="0" applyFont="1" applyBorder="1" applyAlignment="1">
      <alignment horizontal="center"/>
    </xf>
    <xf numFmtId="37" fontId="2" fillId="0" borderId="0" xfId="12" applyNumberFormat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1" xfId="0" applyNumberFormat="1" applyBorder="1"/>
    <xf numFmtId="41" fontId="0" fillId="0" borderId="0" xfId="0" applyNumberFormat="1" applyBorder="1"/>
    <xf numFmtId="42" fontId="0" fillId="0" borderId="0" xfId="0" applyNumberFormat="1" applyBorder="1"/>
    <xf numFmtId="164" fontId="0" fillId="0" borderId="0" xfId="1" applyNumberFormat="1" applyFont="1"/>
    <xf numFmtId="164" fontId="0" fillId="0" borderId="2" xfId="1" applyNumberFormat="1" applyFont="1" applyBorder="1"/>
    <xf numFmtId="3" fontId="2" fillId="0" borderId="0" xfId="0" applyNumberFormat="1" applyFont="1" applyBorder="1"/>
    <xf numFmtId="0" fontId="0" fillId="0" borderId="1" xfId="0" applyBorder="1"/>
    <xf numFmtId="0" fontId="0" fillId="0" borderId="0" xfId="0" applyBorder="1"/>
    <xf numFmtId="41" fontId="2" fillId="0" borderId="1" xfId="1" applyNumberFormat="1" applyBorder="1"/>
    <xf numFmtId="0" fontId="8" fillId="0" borderId="0" xfId="0" applyFont="1" applyBorder="1" applyAlignment="1">
      <alignment horizontal="centerContinuous"/>
    </xf>
    <xf numFmtId="0" fontId="0" fillId="0" borderId="0" xfId="0" quotePrefix="1" applyBorder="1" applyAlignment="1">
      <alignment horizontal="center"/>
    </xf>
    <xf numFmtId="0" fontId="0" fillId="0" borderId="0" xfId="0" quotePrefix="1" applyBorder="1" applyAlignment="1">
      <alignment horizontal="right"/>
    </xf>
    <xf numFmtId="41" fontId="2" fillId="0" borderId="0" xfId="1" applyNumberFormat="1" applyBorder="1"/>
    <xf numFmtId="164" fontId="0" fillId="0" borderId="1" xfId="1" applyNumberFormat="1" applyFont="1" applyBorder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 applyBorder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0" xfId="0" quotePrefix="1" applyFont="1" applyAlignment="1">
      <alignment horizontal="center"/>
    </xf>
    <xf numFmtId="17" fontId="12" fillId="0" borderId="0" xfId="0" quotePrefix="1" applyNumberFormat="1" applyFont="1" applyAlignment="1"/>
    <xf numFmtId="168" fontId="13" fillId="0" borderId="0" xfId="0" applyNumberFormat="1" applyFont="1"/>
    <xf numFmtId="165" fontId="13" fillId="0" borderId="0" xfId="12" applyNumberFormat="1" applyFont="1"/>
    <xf numFmtId="165" fontId="12" fillId="0" borderId="0" xfId="12" quotePrefix="1" applyNumberFormat="1" applyFont="1" applyAlignment="1">
      <alignment horizontal="center"/>
    </xf>
    <xf numFmtId="165" fontId="12" fillId="0" borderId="0" xfId="12" applyNumberFormat="1" applyFont="1" applyBorder="1"/>
    <xf numFmtId="164" fontId="12" fillId="0" borderId="0" xfId="1" applyNumberFormat="1" applyFont="1" applyBorder="1"/>
    <xf numFmtId="164" fontId="12" fillId="0" borderId="0" xfId="1" quotePrefix="1" applyNumberFormat="1" applyFont="1" applyBorder="1" applyAlignment="1">
      <alignment horizontal="center"/>
    </xf>
    <xf numFmtId="4" fontId="12" fillId="0" borderId="0" xfId="0" applyNumberFormat="1" applyFont="1"/>
    <xf numFmtId="17" fontId="11" fillId="0" borderId="0" xfId="0" applyNumberFormat="1" applyFont="1" applyAlignment="1"/>
    <xf numFmtId="165" fontId="12" fillId="0" borderId="3" xfId="12" applyNumberFormat="1" applyFont="1" applyBorder="1"/>
    <xf numFmtId="165" fontId="13" fillId="0" borderId="3" xfId="12" applyNumberFormat="1" applyFont="1" applyBorder="1"/>
    <xf numFmtId="168" fontId="13" fillId="0" borderId="0" xfId="0" applyNumberFormat="1" applyFont="1" applyBorder="1"/>
    <xf numFmtId="0" fontId="12" fillId="0" borderId="0" xfId="0" applyFont="1" applyBorder="1"/>
    <xf numFmtId="17" fontId="1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1" fillId="0" borderId="8" xfId="0" applyFont="1" applyBorder="1" applyAlignment="1">
      <alignment horizontal="left"/>
    </xf>
    <xf numFmtId="0" fontId="12" fillId="0" borderId="8" xfId="0" quotePrefix="1" applyFont="1" applyBorder="1"/>
    <xf numFmtId="165" fontId="12" fillId="0" borderId="9" xfId="12" applyNumberFormat="1" applyFont="1" applyBorder="1"/>
    <xf numFmtId="164" fontId="12" fillId="0" borderId="7" xfId="1" applyNumberFormat="1" applyFont="1" applyBorder="1"/>
    <xf numFmtId="167" fontId="12" fillId="0" borderId="9" xfId="12" applyNumberFormat="1" applyFont="1" applyBorder="1"/>
    <xf numFmtId="165" fontId="12" fillId="0" borderId="9" xfId="0" applyNumberFormat="1" applyFont="1" applyBorder="1"/>
    <xf numFmtId="164" fontId="12" fillId="0" borderId="9" xfId="0" applyNumberFormat="1" applyFont="1" applyBorder="1"/>
    <xf numFmtId="0" fontId="12" fillId="0" borderId="6" xfId="0" applyFont="1" applyBorder="1"/>
    <xf numFmtId="167" fontId="12" fillId="0" borderId="10" xfId="12" applyNumberFormat="1" applyFont="1" applyBorder="1" applyAlignment="1">
      <alignment horizontal="centerContinuous"/>
    </xf>
    <xf numFmtId="168" fontId="1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5" fillId="0" borderId="0" xfId="0" applyFont="1"/>
    <xf numFmtId="0" fontId="2" fillId="0" borderId="0" xfId="14" applyFont="1"/>
    <xf numFmtId="0" fontId="1" fillId="0" borderId="0" xfId="14" applyFont="1"/>
    <xf numFmtId="0" fontId="2" fillId="0" borderId="0" xfId="14" quotePrefix="1" applyFont="1" applyAlignment="1">
      <alignment horizontal="center"/>
    </xf>
    <xf numFmtId="0" fontId="2" fillId="0" borderId="0" xfId="14" applyFont="1" applyAlignment="1">
      <alignment horizontal="center"/>
    </xf>
    <xf numFmtId="0" fontId="2" fillId="0" borderId="0" xfId="14" quotePrefix="1" applyFont="1" applyAlignment="1">
      <alignment horizontal="right"/>
    </xf>
    <xf numFmtId="3" fontId="2" fillId="0" borderId="0" xfId="11" applyNumberFormat="1" applyFont="1"/>
    <xf numFmtId="3" fontId="2" fillId="0" borderId="0" xfId="14" applyNumberFormat="1" applyFont="1" applyBorder="1"/>
    <xf numFmtId="3" fontId="2" fillId="0" borderId="2" xfId="14" applyNumberFormat="1" applyFont="1" applyBorder="1"/>
    <xf numFmtId="4" fontId="2" fillId="0" borderId="0" xfId="14" applyNumberFormat="1" applyFont="1"/>
    <xf numFmtId="3" fontId="2" fillId="0" borderId="0" xfId="14" applyNumberFormat="1" applyFont="1"/>
    <xf numFmtId="0" fontId="2" fillId="0" borderId="0" xfId="14" quotePrefix="1" applyFont="1"/>
    <xf numFmtId="0" fontId="2" fillId="0" borderId="0" xfId="14" applyFont="1" applyAlignment="1">
      <alignment horizontal="right"/>
    </xf>
    <xf numFmtId="164" fontId="2" fillId="0" borderId="0" xfId="1" applyNumberFormat="1" applyFont="1"/>
    <xf numFmtId="164" fontId="2" fillId="0" borderId="2" xfId="14" applyNumberFormat="1" applyFont="1" applyBorder="1"/>
    <xf numFmtId="164" fontId="2" fillId="0" borderId="3" xfId="14" applyNumberFormat="1" applyFont="1" applyBorder="1"/>
    <xf numFmtId="4" fontId="2" fillId="0" borderId="0" xfId="11" applyFont="1"/>
    <xf numFmtId="0" fontId="16" fillId="0" borderId="0" xfId="0" applyFont="1"/>
    <xf numFmtId="164" fontId="12" fillId="0" borderId="0" xfId="1" quotePrefix="1" applyNumberFormat="1" applyFont="1" applyFill="1" applyBorder="1" applyAlignment="1">
      <alignment horizontal="center"/>
    </xf>
    <xf numFmtId="0" fontId="2" fillId="0" borderId="0" xfId="0" applyFont="1" applyAlignment="1"/>
    <xf numFmtId="168" fontId="5" fillId="0" borderId="1" xfId="0" applyNumberFormat="1" applyFont="1" applyFill="1" applyBorder="1"/>
    <xf numFmtId="167" fontId="0" fillId="0" borderId="0" xfId="0" applyNumberFormat="1"/>
    <xf numFmtId="164" fontId="12" fillId="0" borderId="0" xfId="0" applyNumberFormat="1" applyFont="1"/>
    <xf numFmtId="164" fontId="2" fillId="0" borderId="0" xfId="0" applyNumberFormat="1" applyFont="1"/>
    <xf numFmtId="173" fontId="0" fillId="0" borderId="0" xfId="0" applyNumberFormat="1"/>
    <xf numFmtId="0" fontId="2" fillId="0" borderId="0" xfId="14" quotePrefix="1" applyFont="1" applyFill="1" applyAlignment="1">
      <alignment horizontal="right"/>
    </xf>
    <xf numFmtId="0" fontId="2" fillId="0" borderId="0" xfId="14" applyFont="1" applyFill="1"/>
    <xf numFmtId="174" fontId="0" fillId="0" borderId="0" xfId="0" applyNumberFormat="1"/>
    <xf numFmtId="37" fontId="0" fillId="0" borderId="1" xfId="0" applyNumberFormat="1" applyBorder="1"/>
    <xf numFmtId="175" fontId="0" fillId="0" borderId="0" xfId="0" applyNumberFormat="1"/>
    <xf numFmtId="165" fontId="13" fillId="0" borderId="0" xfId="12" applyNumberFormat="1" applyFont="1" applyBorder="1"/>
    <xf numFmtId="167" fontId="12" fillId="0" borderId="0" xfId="12" applyNumberFormat="1" applyFont="1" applyBorder="1" applyAlignment="1">
      <alignment horizontal="centerContinuous"/>
    </xf>
    <xf numFmtId="17" fontId="2" fillId="0" borderId="0" xfId="0" quotePrefix="1" applyNumberFormat="1" applyFont="1" applyAlignment="1">
      <alignment wrapText="1"/>
    </xf>
    <xf numFmtId="168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164" fontId="12" fillId="0" borderId="0" xfId="1" quotePrefix="1" applyNumberFormat="1" applyFont="1" applyBorder="1" applyAlignment="1">
      <alignment horizontal="center" vertical="center"/>
    </xf>
    <xf numFmtId="168" fontId="13" fillId="0" borderId="0" xfId="0" applyNumberFormat="1" applyFont="1" applyAlignment="1">
      <alignment vertical="center"/>
    </xf>
    <xf numFmtId="164" fontId="12" fillId="0" borderId="0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12" applyNumberFormat="1" applyFont="1"/>
    <xf numFmtId="164" fontId="12" fillId="0" borderId="0" xfId="1" quotePrefix="1" applyNumberFormat="1" applyFont="1" applyAlignment="1">
      <alignment horizontal="center"/>
    </xf>
    <xf numFmtId="164" fontId="12" fillId="0" borderId="0" xfId="1" applyNumberFormat="1" applyFont="1"/>
    <xf numFmtId="164" fontId="12" fillId="0" borderId="0" xfId="1" applyNumberFormat="1" applyFont="1" applyAlignment="1">
      <alignment vertical="center"/>
    </xf>
    <xf numFmtId="37" fontId="12" fillId="0" borderId="0" xfId="0" applyNumberFormat="1" applyFont="1"/>
    <xf numFmtId="164" fontId="12" fillId="0" borderId="7" xfId="1" applyNumberFormat="1" applyFont="1" applyFill="1" applyBorder="1"/>
    <xf numFmtId="37" fontId="12" fillId="0" borderId="0" xfId="15" applyNumberFormat="1" applyFont="1"/>
    <xf numFmtId="0" fontId="12" fillId="0" borderId="0" xfId="0" quotePrefix="1" applyFont="1" applyFill="1" applyAlignment="1">
      <alignment horizontal="center"/>
    </xf>
    <xf numFmtId="168" fontId="13" fillId="0" borderId="0" xfId="0" applyNumberFormat="1" applyFont="1" applyFill="1"/>
    <xf numFmtId="0" fontId="12" fillId="0" borderId="0" xfId="0" applyFont="1" applyFill="1" applyAlignment="1">
      <alignment horizontal="center"/>
    </xf>
    <xf numFmtId="164" fontId="12" fillId="0" borderId="0" xfId="1" applyNumberFormat="1" applyFont="1" applyFill="1" applyBorder="1"/>
    <xf numFmtId="0" fontId="12" fillId="0" borderId="0" xfId="0" applyFont="1" applyFill="1"/>
    <xf numFmtId="168" fontId="12" fillId="0" borderId="0" xfId="0" applyNumberFormat="1" applyFont="1" applyFill="1"/>
    <xf numFmtId="164" fontId="2" fillId="0" borderId="0" xfId="1" applyNumberFormat="1" applyFont="1" applyBorder="1"/>
    <xf numFmtId="164" fontId="2" fillId="0" borderId="1" xfId="1" applyNumberFormat="1" applyFont="1" applyBorder="1"/>
    <xf numFmtId="3" fontId="2" fillId="0" borderId="0" xfId="11" applyNumberFormat="1" applyFont="1" applyFill="1"/>
    <xf numFmtId="3" fontId="2" fillId="0" borderId="0" xfId="14" applyNumberFormat="1" applyFont="1" applyFill="1" applyBorder="1"/>
    <xf numFmtId="3" fontId="2" fillId="0" borderId="2" xfId="14" applyNumberFormat="1" applyFont="1" applyFill="1" applyBorder="1"/>
    <xf numFmtId="167" fontId="2" fillId="0" borderId="0" xfId="12" applyNumberFormat="1" applyFont="1"/>
    <xf numFmtId="165" fontId="2" fillId="0" borderId="0" xfId="12" applyNumberFormat="1" applyFont="1"/>
    <xf numFmtId="0" fontId="2" fillId="0" borderId="0" xfId="0" quotePrefix="1" applyFont="1"/>
    <xf numFmtId="41" fontId="2" fillId="0" borderId="1" xfId="0" applyNumberFormat="1" applyFont="1" applyBorder="1"/>
    <xf numFmtId="41" fontId="2" fillId="0" borderId="0" xfId="0" applyNumberFormat="1" applyFont="1" applyBorder="1"/>
    <xf numFmtId="3" fontId="2" fillId="0" borderId="0" xfId="0" applyNumberFormat="1" applyFont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6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_1998 Plan" xfId="10"/>
    <cellStyle name="Comma_Booked" xfId="11"/>
    <cellStyle name="Currency" xfId="12" builtinId="4"/>
    <cellStyle name="Normal" xfId="0" builtinId="0"/>
    <cellStyle name="Normal - Style1" xfId="13"/>
    <cellStyle name="Normal 2" xfId="15"/>
    <cellStyle name="Normal_Booked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\DSM97GAS\CARYM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work\IUB%20ECR%20Filings\2003\MECgdC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96"/>
      <sheetName val="carry97"/>
      <sheetName val="caryje"/>
      <sheetName val="je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"/>
      <sheetName val="TBRecon"/>
      <sheetName val="ACTUAL"/>
      <sheetName val="Booked"/>
      <sheetName val="carry97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SheetLayoutView="6"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68"/>
  <sheetViews>
    <sheetView showGridLines="0" showZeros="0" zoomScale="85" zoomScaleNormal="85" zoomScaleSheetLayoutView="70" workbookViewId="0">
      <selection activeCell="Q46" activeCellId="1" sqref="I46 Q46"/>
    </sheetView>
  </sheetViews>
  <sheetFormatPr defaultRowHeight="13.2" x14ac:dyDescent="0.25"/>
  <cols>
    <col min="1" max="1" width="6.33203125" customWidth="1"/>
    <col min="2" max="2" width="2" customWidth="1"/>
    <col min="3" max="3" width="13" customWidth="1"/>
    <col min="4" max="4" width="1.6640625" customWidth="1"/>
    <col min="5" max="5" width="13.6640625" customWidth="1"/>
    <col min="6" max="6" width="1.5546875" customWidth="1"/>
    <col min="7" max="7" width="16.44140625" customWidth="1"/>
    <col min="8" max="8" width="1.44140625" customWidth="1"/>
    <col min="9" max="9" width="14.33203125" bestFit="1" customWidth="1"/>
    <col min="10" max="10" width="2" customWidth="1"/>
    <col min="11" max="11" width="14.5546875" bestFit="1" customWidth="1"/>
    <col min="12" max="12" width="1.44140625" customWidth="1"/>
    <col min="13" max="13" width="11.88671875" customWidth="1"/>
    <col min="14" max="14" width="1.5546875" customWidth="1"/>
    <col min="15" max="15" width="14.88671875" customWidth="1"/>
    <col min="16" max="16" width="1.109375" customWidth="1"/>
    <col min="17" max="17" width="11.6640625" customWidth="1"/>
    <col min="18" max="18" width="1.44140625" customWidth="1"/>
    <col min="19" max="19" width="22.5546875" customWidth="1"/>
    <col min="20" max="20" width="18.6640625" bestFit="1" customWidth="1"/>
    <col min="21" max="21" width="22.44140625" customWidth="1"/>
    <col min="22" max="22" width="15.33203125" customWidth="1"/>
    <col min="27" max="27" width="9.6640625" customWidth="1"/>
  </cols>
  <sheetData>
    <row r="1" spans="1:22" ht="13.8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8"/>
      <c r="N1" s="68"/>
      <c r="O1" s="68"/>
      <c r="P1" s="68"/>
      <c r="Q1" s="68"/>
      <c r="R1" s="68"/>
      <c r="S1" s="68"/>
    </row>
    <row r="2" spans="1:22" ht="13.8" x14ac:dyDescent="0.2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68" t="s">
        <v>109</v>
      </c>
    </row>
    <row r="3" spans="1:22" ht="13.8" x14ac:dyDescent="0.25">
      <c r="A3" s="177" t="s">
        <v>100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68" t="s">
        <v>49</v>
      </c>
    </row>
    <row r="4" spans="1:22" ht="13.8" x14ac:dyDescent="0.25">
      <c r="A4" s="177" t="s">
        <v>45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1:22" ht="13.8" x14ac:dyDescent="0.25">
      <c r="A5" s="177" t="s">
        <v>81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2" ht="13.8" x14ac:dyDescent="0.25">
      <c r="A6" s="177" t="str">
        <f>"January "&amp;YEAR(C14)&amp;" - December "&amp;YEAR(C14)</f>
        <v>January 2014 - December 2014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2" ht="13.8" x14ac:dyDescent="0.25">
      <c r="A7" s="66"/>
      <c r="B7" s="66"/>
      <c r="C7" s="67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66"/>
      <c r="R7" s="66"/>
      <c r="S7" s="66"/>
      <c r="T7" s="66"/>
    </row>
    <row r="8" spans="1:22" ht="13.8" x14ac:dyDescent="0.25">
      <c r="A8" s="68"/>
      <c r="B8" s="68"/>
      <c r="C8" s="68"/>
      <c r="D8" s="67"/>
      <c r="E8" s="67"/>
      <c r="F8" s="67"/>
      <c r="G8" s="69" t="s">
        <v>7</v>
      </c>
      <c r="H8" s="67"/>
      <c r="I8" s="69" t="s">
        <v>5</v>
      </c>
      <c r="J8" s="67"/>
      <c r="K8" s="69" t="s">
        <v>5</v>
      </c>
      <c r="L8" s="67"/>
      <c r="M8" s="67"/>
      <c r="N8" s="68"/>
      <c r="O8" s="69" t="s">
        <v>5</v>
      </c>
      <c r="P8" s="70"/>
      <c r="Q8" s="70"/>
      <c r="R8" s="68">
        <v>0</v>
      </c>
      <c r="S8" s="68"/>
      <c r="T8" s="68"/>
    </row>
    <row r="9" spans="1:22" ht="13.8" x14ac:dyDescent="0.25">
      <c r="A9" s="71" t="s">
        <v>1</v>
      </c>
      <c r="B9" s="68"/>
      <c r="C9" s="72" t="s">
        <v>2</v>
      </c>
      <c r="D9" s="72"/>
      <c r="E9" s="71" t="s">
        <v>5</v>
      </c>
      <c r="F9" s="71"/>
      <c r="G9" s="69" t="s">
        <v>5</v>
      </c>
      <c r="H9" s="72"/>
      <c r="I9" s="69" t="s">
        <v>112</v>
      </c>
      <c r="J9" s="72"/>
      <c r="K9" s="71" t="s">
        <v>83</v>
      </c>
      <c r="L9" s="68"/>
      <c r="M9" s="69" t="s">
        <v>66</v>
      </c>
      <c r="N9" s="68"/>
      <c r="O9" s="69" t="s">
        <v>113</v>
      </c>
      <c r="P9" s="69"/>
      <c r="Q9" s="69" t="s">
        <v>59</v>
      </c>
      <c r="R9" s="68"/>
      <c r="S9" s="175" t="s">
        <v>120</v>
      </c>
      <c r="T9" s="176"/>
      <c r="U9" s="175" t="s">
        <v>120</v>
      </c>
      <c r="V9" s="176"/>
    </row>
    <row r="10" spans="1:22" ht="16.2" x14ac:dyDescent="0.25">
      <c r="A10" s="73" t="s">
        <v>3</v>
      </c>
      <c r="B10" s="68"/>
      <c r="C10" s="73" t="s">
        <v>4</v>
      </c>
      <c r="D10" s="74"/>
      <c r="E10" s="73" t="s">
        <v>67</v>
      </c>
      <c r="F10" s="73"/>
      <c r="G10" s="73" t="s">
        <v>27</v>
      </c>
      <c r="H10" s="74"/>
      <c r="I10" s="73" t="s">
        <v>27</v>
      </c>
      <c r="J10" s="74"/>
      <c r="K10" s="73" t="s">
        <v>68</v>
      </c>
      <c r="L10" s="76"/>
      <c r="M10" s="73" t="s">
        <v>65</v>
      </c>
      <c r="N10" s="76"/>
      <c r="O10" s="73" t="s">
        <v>119</v>
      </c>
      <c r="P10" s="75"/>
      <c r="Q10" s="73" t="s">
        <v>138</v>
      </c>
      <c r="R10" s="76"/>
      <c r="S10" s="173" t="s">
        <v>152</v>
      </c>
      <c r="T10" s="174"/>
      <c r="U10" s="173" t="s">
        <v>162</v>
      </c>
      <c r="V10" s="174"/>
    </row>
    <row r="11" spans="1:22" ht="13.8" x14ac:dyDescent="0.25">
      <c r="A11" s="68"/>
      <c r="B11" s="68"/>
      <c r="C11" s="77" t="s">
        <v>8</v>
      </c>
      <c r="D11" s="72"/>
      <c r="E11" s="77" t="s">
        <v>9</v>
      </c>
      <c r="F11" s="77"/>
      <c r="G11" s="77" t="s">
        <v>10</v>
      </c>
      <c r="H11" s="77"/>
      <c r="I11" s="77" t="s">
        <v>11</v>
      </c>
      <c r="J11" s="72"/>
      <c r="K11" s="77" t="s">
        <v>31</v>
      </c>
      <c r="L11" s="72"/>
      <c r="M11" s="77" t="s">
        <v>32</v>
      </c>
      <c r="N11" s="68"/>
      <c r="O11" s="77" t="s">
        <v>58</v>
      </c>
      <c r="P11" s="77"/>
      <c r="Q11" s="77" t="s">
        <v>88</v>
      </c>
      <c r="R11" s="68"/>
      <c r="S11" s="171" t="s">
        <v>123</v>
      </c>
      <c r="T11" s="172"/>
      <c r="U11" s="171" t="s">
        <v>136</v>
      </c>
      <c r="V11" s="172"/>
    </row>
    <row r="12" spans="1:22" ht="13.8" x14ac:dyDescent="0.25">
      <c r="A12" s="68"/>
      <c r="B12" s="68"/>
      <c r="C12" s="68"/>
      <c r="D12" s="72"/>
      <c r="E12" s="68"/>
      <c r="F12" s="68"/>
      <c r="G12" s="68"/>
      <c r="H12" s="77"/>
      <c r="I12" s="77"/>
      <c r="J12" s="77"/>
      <c r="K12" s="72"/>
      <c r="L12" s="72"/>
      <c r="M12" s="68"/>
      <c r="N12" s="68"/>
      <c r="O12" s="77"/>
      <c r="P12" s="77"/>
      <c r="Q12" s="77"/>
      <c r="R12" s="68"/>
      <c r="S12" s="94"/>
      <c r="T12" s="95"/>
      <c r="U12" s="94"/>
      <c r="V12" s="95"/>
    </row>
    <row r="13" spans="1:22" ht="16.2" x14ac:dyDescent="0.25">
      <c r="A13" s="77" t="s">
        <v>33</v>
      </c>
      <c r="B13" s="68"/>
      <c r="C13" s="78">
        <f>EDATE(C14,-1)</f>
        <v>41609</v>
      </c>
      <c r="D13" s="72"/>
      <c r="E13" s="68"/>
      <c r="F13" s="68"/>
      <c r="G13" s="68"/>
      <c r="H13" s="77"/>
      <c r="I13" s="77"/>
      <c r="J13" s="77"/>
      <c r="K13" s="151">
        <v>143352</v>
      </c>
      <c r="L13" s="72"/>
      <c r="M13" s="68"/>
      <c r="N13" s="68"/>
      <c r="O13" s="77"/>
      <c r="P13" s="77"/>
      <c r="Q13" s="77"/>
      <c r="R13" s="68"/>
      <c r="S13" s="96" t="s">
        <v>139</v>
      </c>
      <c r="T13" s="95"/>
      <c r="U13" s="96" t="s">
        <v>141</v>
      </c>
      <c r="V13" s="95"/>
    </row>
    <row r="14" spans="1:22" ht="13.8" x14ac:dyDescent="0.25">
      <c r="A14" s="77" t="s">
        <v>34</v>
      </c>
      <c r="B14" s="68"/>
      <c r="C14" s="78">
        <v>41640</v>
      </c>
      <c r="D14" s="72"/>
      <c r="E14" s="147">
        <v>300730</v>
      </c>
      <c r="F14" s="105"/>
      <c r="G14" s="81">
        <v>450102</v>
      </c>
      <c r="H14" s="77"/>
      <c r="I14" s="126">
        <f>O14*$V$16</f>
        <v>422542.57128819136</v>
      </c>
      <c r="J14" s="77"/>
      <c r="K14" s="81">
        <f t="shared" ref="K14:K26" si="0">E14-I14+K13</f>
        <v>21539.428711808636</v>
      </c>
      <c r="L14" s="72"/>
      <c r="M14" s="82">
        <f>K14*(0.08378/12)</f>
        <v>150.3811114562773</v>
      </c>
      <c r="N14" s="68"/>
      <c r="O14" s="79">
        <f>G14/($V$16+$V$21)</f>
        <v>13492266.187050359</v>
      </c>
      <c r="P14" s="79"/>
      <c r="Q14" s="79">
        <f>O14*$V$21</f>
        <v>27559.428711808589</v>
      </c>
      <c r="R14" s="68"/>
      <c r="S14" s="97" t="s">
        <v>114</v>
      </c>
      <c r="T14" s="98">
        <f>41516+115845</f>
        <v>157361</v>
      </c>
      <c r="U14" s="97" t="s">
        <v>114</v>
      </c>
      <c r="V14" s="98">
        <v>948678</v>
      </c>
    </row>
    <row r="15" spans="1:22" ht="13.8" x14ac:dyDescent="0.25">
      <c r="A15" s="77" t="s">
        <v>35</v>
      </c>
      <c r="B15" s="68"/>
      <c r="C15" s="78">
        <f t="shared" ref="C15:C25" si="1">EDATE(C14,1)</f>
        <v>41671</v>
      </c>
      <c r="D15" s="72"/>
      <c r="E15" s="105">
        <v>269799</v>
      </c>
      <c r="F15" s="105"/>
      <c r="G15" s="148">
        <v>389015</v>
      </c>
      <c r="H15" s="77"/>
      <c r="I15" s="126">
        <f>O15*$V$16</f>
        <v>365195.88530972035</v>
      </c>
      <c r="J15" s="77"/>
      <c r="K15" s="79">
        <f t="shared" si="0"/>
        <v>-73857.456597911718</v>
      </c>
      <c r="L15" s="72"/>
      <c r="M15" s="83">
        <f>K15*(0.08378/12)</f>
        <v>-515.64814281442034</v>
      </c>
      <c r="N15" s="68"/>
      <c r="O15" s="79">
        <f>G15/($V$16+$V$21)</f>
        <v>11661121.103117505</v>
      </c>
      <c r="P15" s="79"/>
      <c r="Q15" s="79">
        <f>O15*$V$21</f>
        <v>23819.114690279574</v>
      </c>
      <c r="R15" s="68"/>
      <c r="S15" s="97" t="s">
        <v>115</v>
      </c>
      <c r="T15" s="152">
        <v>26186929</v>
      </c>
      <c r="U15" s="97" t="s">
        <v>115</v>
      </c>
      <c r="V15" s="99">
        <v>30290178</v>
      </c>
    </row>
    <row r="16" spans="1:22" ht="13.8" x14ac:dyDescent="0.25">
      <c r="A16" s="77" t="s">
        <v>36</v>
      </c>
      <c r="B16" s="68"/>
      <c r="C16" s="78">
        <f t="shared" si="1"/>
        <v>41699</v>
      </c>
      <c r="D16" s="72"/>
      <c r="E16" s="105">
        <v>108074</v>
      </c>
      <c r="F16" s="105"/>
      <c r="G16" s="148">
        <v>332333</v>
      </c>
      <c r="H16" s="77"/>
      <c r="I16" s="126">
        <f>O16*$V$16</f>
        <v>311984.48428115959</v>
      </c>
      <c r="J16" s="77"/>
      <c r="K16" s="79">
        <f t="shared" si="0"/>
        <v>-277767.94087907131</v>
      </c>
      <c r="L16" s="72"/>
      <c r="M16" s="83">
        <f>K16*(0.08378/12)</f>
        <v>-1939.2831739040494</v>
      </c>
      <c r="N16" s="68"/>
      <c r="O16" s="79">
        <f>G16/($V$16+$V$21)</f>
        <v>9962020.383693045</v>
      </c>
      <c r="P16" s="79"/>
      <c r="Q16" s="79">
        <f>O16*$V$21</f>
        <v>20348.515718840357</v>
      </c>
      <c r="R16" s="68"/>
      <c r="S16" s="94" t="s">
        <v>116</v>
      </c>
      <c r="T16" s="100">
        <f>T26-T21</f>
        <v>6.0137448469043467E-3</v>
      </c>
      <c r="U16" s="94" t="s">
        <v>116</v>
      </c>
      <c r="V16" s="100">
        <f>V26-V21</f>
        <v>3.1317390676277965E-2</v>
      </c>
    </row>
    <row r="17" spans="1:27" ht="13.8" x14ac:dyDescent="0.25">
      <c r="A17" s="77" t="s">
        <v>38</v>
      </c>
      <c r="B17" s="68"/>
      <c r="C17" s="78">
        <f t="shared" si="1"/>
        <v>41730</v>
      </c>
      <c r="D17" s="72"/>
      <c r="E17" s="105">
        <v>52091</v>
      </c>
      <c r="F17" s="105"/>
      <c r="G17" s="148">
        <v>201077</v>
      </c>
      <c r="H17" s="77"/>
      <c r="I17" s="126">
        <f>O17*$V$16</f>
        <v>188765.19679298394</v>
      </c>
      <c r="J17" s="154"/>
      <c r="K17" s="155">
        <f t="shared" si="0"/>
        <v>-414442.13767205528</v>
      </c>
      <c r="L17" s="156"/>
      <c r="M17" s="157">
        <f>K17*(0.08378/12)</f>
        <v>-2893.4968578470657</v>
      </c>
      <c r="N17" s="158"/>
      <c r="O17" s="155">
        <f>G17/($V$16+$V$21)</f>
        <v>6027488.0095923264</v>
      </c>
      <c r="P17" s="155"/>
      <c r="Q17" s="155">
        <f>O17*$V$21</f>
        <v>12311.803207016044</v>
      </c>
      <c r="R17" s="68"/>
      <c r="S17" s="94"/>
      <c r="T17" s="95"/>
      <c r="U17" s="94"/>
      <c r="V17" s="95"/>
    </row>
    <row r="18" spans="1:27" ht="16.2" x14ac:dyDescent="0.25">
      <c r="A18" s="77" t="s">
        <v>39</v>
      </c>
      <c r="B18" s="68"/>
      <c r="C18" s="78">
        <f t="shared" si="1"/>
        <v>41760</v>
      </c>
      <c r="D18" s="68"/>
      <c r="E18" s="105">
        <v>32457</v>
      </c>
      <c r="F18" s="105"/>
      <c r="G18" s="149">
        <v>21258</v>
      </c>
      <c r="H18" s="85"/>
      <c r="I18" s="84">
        <f t="shared" ref="I18:I26" si="2">O18*$T$16</f>
        <v>18883.336477916189</v>
      </c>
      <c r="J18" s="85"/>
      <c r="K18" s="79">
        <f t="shared" si="0"/>
        <v>-400868.47414997144</v>
      </c>
      <c r="L18" s="72"/>
      <c r="M18" s="83">
        <f>K18*(0.08378/12)</f>
        <v>-2798.7300636903838</v>
      </c>
      <c r="N18" s="68"/>
      <c r="O18" s="79">
        <f t="shared" ref="O18:O26" si="3">G18/$T$26</f>
        <v>3140029.5420974889</v>
      </c>
      <c r="P18" s="79"/>
      <c r="Q18" s="79">
        <f t="shared" ref="Q18:Q25" si="4">O18*$T$21</f>
        <v>2374.6635220838102</v>
      </c>
      <c r="R18" s="68"/>
      <c r="S18" s="96" t="s">
        <v>140</v>
      </c>
      <c r="T18" s="95"/>
      <c r="U18" s="96" t="s">
        <v>144</v>
      </c>
      <c r="V18" s="95"/>
      <c r="AA18" s="51"/>
    </row>
    <row r="19" spans="1:27" ht="13.8" x14ac:dyDescent="0.25">
      <c r="A19" s="77" t="s">
        <v>40</v>
      </c>
      <c r="B19" s="68"/>
      <c r="C19" s="78">
        <f t="shared" si="1"/>
        <v>41791</v>
      </c>
      <c r="D19" s="68"/>
      <c r="E19" s="105">
        <v>89421</v>
      </c>
      <c r="F19" s="105"/>
      <c r="G19" s="149">
        <v>10711</v>
      </c>
      <c r="H19" s="85"/>
      <c r="I19" s="84">
        <f t="shared" si="2"/>
        <v>9514.5082799398024</v>
      </c>
      <c r="J19" s="85"/>
      <c r="K19" s="79">
        <f t="shared" si="0"/>
        <v>-320961.98242991127</v>
      </c>
      <c r="L19" s="68"/>
      <c r="M19" s="83">
        <f t="shared" ref="M19:M25" si="5">K19*(0.08378/12)</f>
        <v>-2240.8495739981636</v>
      </c>
      <c r="N19" s="68"/>
      <c r="O19" s="79">
        <f t="shared" si="3"/>
        <v>1582127.0310192024</v>
      </c>
      <c r="P19" s="79"/>
      <c r="Q19" s="79">
        <f t="shared" si="4"/>
        <v>1196.4917200601981</v>
      </c>
      <c r="R19" s="68"/>
      <c r="S19" s="97" t="s">
        <v>117</v>
      </c>
      <c r="T19" s="98">
        <f>-74778+94582</f>
        <v>19804</v>
      </c>
      <c r="U19" s="97" t="s">
        <v>117</v>
      </c>
      <c r="V19" s="98">
        <v>61871</v>
      </c>
      <c r="AA19" s="51"/>
    </row>
    <row r="20" spans="1:27" ht="13.8" x14ac:dyDescent="0.25">
      <c r="A20" s="77" t="s">
        <v>54</v>
      </c>
      <c r="B20" s="68"/>
      <c r="C20" s="78">
        <f t="shared" si="1"/>
        <v>41821</v>
      </c>
      <c r="D20" s="68"/>
      <c r="E20" s="105">
        <v>61634</v>
      </c>
      <c r="F20" s="105"/>
      <c r="G20" s="149">
        <v>8022</v>
      </c>
      <c r="H20" s="85"/>
      <c r="I20" s="84">
        <f t="shared" si="2"/>
        <v>7125.8879116494336</v>
      </c>
      <c r="J20" s="85"/>
      <c r="K20" s="79">
        <f t="shared" si="0"/>
        <v>-266453.87034156069</v>
      </c>
      <c r="L20" s="68"/>
      <c r="M20" s="83">
        <f t="shared" si="5"/>
        <v>-1860.2921047679961</v>
      </c>
      <c r="N20" s="68"/>
      <c r="O20" s="79">
        <f t="shared" si="3"/>
        <v>1184933.5302806499</v>
      </c>
      <c r="P20" s="79"/>
      <c r="Q20" s="79">
        <f t="shared" si="4"/>
        <v>896.11208835056573</v>
      </c>
      <c r="R20" s="68"/>
      <c r="S20" s="97" t="s">
        <v>115</v>
      </c>
      <c r="T20" s="99">
        <f>T15</f>
        <v>26186929</v>
      </c>
      <c r="U20" s="97" t="s">
        <v>115</v>
      </c>
      <c r="V20" s="99">
        <f>V15</f>
        <v>30290178</v>
      </c>
    </row>
    <row r="21" spans="1:27" ht="13.8" x14ac:dyDescent="0.25">
      <c r="A21" s="77" t="s">
        <v>55</v>
      </c>
      <c r="B21" s="68"/>
      <c r="C21" s="78">
        <f t="shared" si="1"/>
        <v>41852</v>
      </c>
      <c r="D21" s="68"/>
      <c r="E21" s="105">
        <v>72321</v>
      </c>
      <c r="F21" s="105"/>
      <c r="G21" s="149">
        <v>6825</v>
      </c>
      <c r="H21" s="68"/>
      <c r="I21" s="84">
        <f t="shared" si="2"/>
        <v>6062.6009719530521</v>
      </c>
      <c r="J21" s="85"/>
      <c r="K21" s="79">
        <f t="shared" si="0"/>
        <v>-200195.47131351376</v>
      </c>
      <c r="L21" s="68"/>
      <c r="M21" s="83">
        <f t="shared" si="5"/>
        <v>-1397.6980488871818</v>
      </c>
      <c r="N21" s="68"/>
      <c r="O21" s="79">
        <f t="shared" si="3"/>
        <v>1008124.0768094534</v>
      </c>
      <c r="P21" s="79"/>
      <c r="Q21" s="79">
        <f t="shared" si="4"/>
        <v>762.39902804694725</v>
      </c>
      <c r="R21" s="68"/>
      <c r="S21" s="94" t="s">
        <v>116</v>
      </c>
      <c r="T21" s="100">
        <f>T19/T20</f>
        <v>7.5625515309565318E-4</v>
      </c>
      <c r="U21" s="94" t="s">
        <v>116</v>
      </c>
      <c r="V21" s="100">
        <f>V19/V20</f>
        <v>2.042609323722033E-3</v>
      </c>
    </row>
    <row r="22" spans="1:27" ht="13.8" x14ac:dyDescent="0.25">
      <c r="A22" s="77" t="s">
        <v>41</v>
      </c>
      <c r="B22" s="68"/>
      <c r="C22" s="78">
        <f t="shared" si="1"/>
        <v>41883</v>
      </c>
      <c r="D22" s="68"/>
      <c r="E22" s="105">
        <v>103635</v>
      </c>
      <c r="F22" s="105"/>
      <c r="G22" s="149">
        <v>7719</v>
      </c>
      <c r="H22" s="85"/>
      <c r="I22" s="84">
        <f t="shared" si="2"/>
        <v>6856.7350772902</v>
      </c>
      <c r="J22" s="85"/>
      <c r="K22" s="79">
        <f t="shared" si="0"/>
        <v>-103417.20639080396</v>
      </c>
      <c r="L22" s="79"/>
      <c r="M22" s="83">
        <f t="shared" si="5"/>
        <v>-722.02446261846296</v>
      </c>
      <c r="N22" s="68"/>
      <c r="O22" s="79">
        <f t="shared" si="3"/>
        <v>1140177.2525849335</v>
      </c>
      <c r="P22" s="79"/>
      <c r="Q22" s="79">
        <f t="shared" si="4"/>
        <v>862.26492270980009</v>
      </c>
      <c r="R22" s="68"/>
      <c r="S22" s="94"/>
      <c r="T22" s="95"/>
      <c r="U22" s="94"/>
      <c r="V22" s="95"/>
    </row>
    <row r="23" spans="1:27" ht="13.8" x14ac:dyDescent="0.25">
      <c r="A23" s="77" t="s">
        <v>42</v>
      </c>
      <c r="B23" s="68"/>
      <c r="C23" s="78">
        <f t="shared" si="1"/>
        <v>41913</v>
      </c>
      <c r="D23" s="68"/>
      <c r="E23" s="105">
        <v>16743</v>
      </c>
      <c r="F23" s="105"/>
      <c r="G23" s="149">
        <v>12678</v>
      </c>
      <c r="H23" s="85"/>
      <c r="I23" s="84">
        <f t="shared" si="2"/>
        <v>11261.780970318066</v>
      </c>
      <c r="J23" s="85"/>
      <c r="K23" s="79">
        <f t="shared" si="0"/>
        <v>-97935.987361122025</v>
      </c>
      <c r="L23" s="79"/>
      <c r="M23" s="83">
        <f t="shared" si="5"/>
        <v>-683.75641842623361</v>
      </c>
      <c r="N23" s="68"/>
      <c r="O23" s="79">
        <f t="shared" si="3"/>
        <v>1872673.5598227475</v>
      </c>
      <c r="P23" s="79"/>
      <c r="Q23" s="79">
        <f t="shared" si="4"/>
        <v>1416.2190296819338</v>
      </c>
      <c r="R23" s="68"/>
      <c r="S23" s="96" t="s">
        <v>118</v>
      </c>
      <c r="T23" s="101"/>
      <c r="U23" s="96" t="s">
        <v>118</v>
      </c>
      <c r="V23" s="101"/>
    </row>
    <row r="24" spans="1:27" ht="13.8" x14ac:dyDescent="0.25">
      <c r="A24" s="77" t="s">
        <v>43</v>
      </c>
      <c r="B24" s="68"/>
      <c r="C24" s="78">
        <f t="shared" si="1"/>
        <v>41944</v>
      </c>
      <c r="D24" s="68"/>
      <c r="E24" s="105">
        <v>340693</v>
      </c>
      <c r="F24" s="105"/>
      <c r="G24" s="149">
        <v>23271</v>
      </c>
      <c r="H24" s="85"/>
      <c r="I24" s="84">
        <f t="shared" si="2"/>
        <v>20671.470654698827</v>
      </c>
      <c r="J24" s="85"/>
      <c r="K24" s="79">
        <f t="shared" si="0"/>
        <v>222085.54198417912</v>
      </c>
      <c r="L24" s="79"/>
      <c r="M24" s="83">
        <f t="shared" si="5"/>
        <v>1550.5272256195437</v>
      </c>
      <c r="N24" s="68"/>
      <c r="O24" s="79">
        <f t="shared" si="3"/>
        <v>3437370.7533234861</v>
      </c>
      <c r="P24" s="79"/>
      <c r="Q24" s="79">
        <f t="shared" si="4"/>
        <v>2599.5293453011736</v>
      </c>
      <c r="R24" s="68"/>
      <c r="S24" s="97" t="s">
        <v>122</v>
      </c>
      <c r="T24" s="98">
        <f>T14+T19</f>
        <v>177165</v>
      </c>
      <c r="U24" s="97" t="s">
        <v>122</v>
      </c>
      <c r="V24" s="98">
        <f>V14+V19</f>
        <v>1010549</v>
      </c>
    </row>
    <row r="25" spans="1:27" ht="13.8" x14ac:dyDescent="0.25">
      <c r="A25" s="77" t="s">
        <v>44</v>
      </c>
      <c r="B25" s="68"/>
      <c r="C25" s="78">
        <f t="shared" si="1"/>
        <v>41974</v>
      </c>
      <c r="D25" s="68"/>
      <c r="E25" s="105">
        <v>261299</v>
      </c>
      <c r="F25" s="105"/>
      <c r="G25" s="149">
        <v>65960</v>
      </c>
      <c r="H25" s="85"/>
      <c r="I25" s="84">
        <f t="shared" si="2"/>
        <v>58591.818331138951</v>
      </c>
      <c r="J25" s="85"/>
      <c r="K25" s="79">
        <f t="shared" si="0"/>
        <v>424792.72365304013</v>
      </c>
      <c r="L25" s="79"/>
      <c r="M25" s="83">
        <f t="shared" si="5"/>
        <v>2965.7611989709749</v>
      </c>
      <c r="N25" s="68"/>
      <c r="O25" s="79">
        <f t="shared" si="3"/>
        <v>9742983.7518463805</v>
      </c>
      <c r="P25" s="79"/>
      <c r="Q25" s="79">
        <f t="shared" si="4"/>
        <v>7368.1816688610461</v>
      </c>
      <c r="R25" s="68"/>
      <c r="S25" s="97" t="s">
        <v>115</v>
      </c>
      <c r="T25" s="102">
        <f>T15</f>
        <v>26186929</v>
      </c>
      <c r="U25" s="97" t="s">
        <v>115</v>
      </c>
      <c r="V25" s="102">
        <f>V15</f>
        <v>30290178</v>
      </c>
    </row>
    <row r="26" spans="1:27" ht="32.25" customHeight="1" x14ac:dyDescent="0.25">
      <c r="A26" s="77" t="s">
        <v>47</v>
      </c>
      <c r="B26" s="68"/>
      <c r="C26" s="140" t="s">
        <v>153</v>
      </c>
      <c r="D26" s="68"/>
      <c r="E26" s="141">
        <v>49200</v>
      </c>
      <c r="F26" s="141"/>
      <c r="G26" s="150">
        <v>0</v>
      </c>
      <c r="H26" s="142"/>
      <c r="I26" s="143">
        <f t="shared" si="2"/>
        <v>0</v>
      </c>
      <c r="J26" s="142"/>
      <c r="K26" s="144">
        <f t="shared" si="0"/>
        <v>473992.72365304013</v>
      </c>
      <c r="L26" s="144"/>
      <c r="M26" s="145">
        <v>0</v>
      </c>
      <c r="N26" s="146"/>
      <c r="O26" s="144">
        <f t="shared" si="3"/>
        <v>0</v>
      </c>
      <c r="P26" s="144"/>
      <c r="Q26" s="145">
        <v>0</v>
      </c>
      <c r="R26" s="68"/>
      <c r="S26" s="103" t="s">
        <v>121</v>
      </c>
      <c r="T26" s="104">
        <f>ROUND(T24/T25,5)</f>
        <v>6.77E-3</v>
      </c>
      <c r="U26" s="103" t="s">
        <v>121</v>
      </c>
      <c r="V26" s="104">
        <f>ROUND(V24/V25,5)</f>
        <v>3.3360000000000001E-2</v>
      </c>
    </row>
    <row r="27" spans="1:27" ht="16.8" thickBot="1" x14ac:dyDescent="0.3">
      <c r="A27" s="77" t="s">
        <v>48</v>
      </c>
      <c r="B27" s="68"/>
      <c r="C27" s="86" t="s">
        <v>157</v>
      </c>
      <c r="D27" s="68"/>
      <c r="E27" s="87">
        <f>SUM(E14:E26)</f>
        <v>1758097</v>
      </c>
      <c r="F27" s="83"/>
      <c r="G27" s="87">
        <f>SUM(G14:G26)</f>
        <v>1528971</v>
      </c>
      <c r="H27" s="85"/>
      <c r="I27" s="88">
        <f>SUM(I14:I26)</f>
        <v>1427456.2763469594</v>
      </c>
      <c r="J27" s="85"/>
      <c r="K27" s="89"/>
      <c r="L27" s="79"/>
      <c r="M27" s="87">
        <f>SUM(M14:M25)</f>
        <v>-10385.109310907161</v>
      </c>
      <c r="N27" s="68"/>
      <c r="O27" s="68"/>
      <c r="P27" s="68"/>
      <c r="Q27" s="87">
        <f>SUM(Q14:Q26)</f>
        <v>101514.72365304001</v>
      </c>
      <c r="R27" s="68"/>
      <c r="S27" s="90"/>
      <c r="T27" s="139"/>
      <c r="U27" s="90"/>
      <c r="V27" s="139"/>
    </row>
    <row r="28" spans="1:27" ht="14.4" thickTop="1" x14ac:dyDescent="0.25">
      <c r="A28" s="77"/>
      <c r="B28" s="68"/>
      <c r="C28" s="86"/>
      <c r="D28" s="68"/>
      <c r="E28" s="82"/>
      <c r="F28" s="83"/>
      <c r="G28" s="82"/>
      <c r="H28" s="85"/>
      <c r="I28" s="138"/>
      <c r="J28" s="85"/>
      <c r="K28" s="89"/>
      <c r="L28" s="79"/>
      <c r="M28" s="82"/>
      <c r="N28" s="68"/>
      <c r="O28" s="68"/>
      <c r="P28" s="68"/>
      <c r="Q28" s="82"/>
      <c r="R28" s="68"/>
      <c r="S28" s="68"/>
      <c r="T28" s="68"/>
      <c r="U28" s="68"/>
      <c r="V28" s="68"/>
    </row>
    <row r="29" spans="1:27" ht="13.8" x14ac:dyDescent="0.25">
      <c r="A29" s="68"/>
      <c r="B29" s="68"/>
      <c r="C29" s="68"/>
      <c r="D29" s="68"/>
      <c r="E29" s="68"/>
      <c r="F29" s="68"/>
      <c r="G29" s="69" t="s">
        <v>7</v>
      </c>
      <c r="H29" s="68"/>
      <c r="I29" s="69" t="s">
        <v>6</v>
      </c>
      <c r="J29" s="68"/>
      <c r="K29" s="68"/>
      <c r="L29" s="68"/>
      <c r="M29" s="68"/>
      <c r="N29" s="68"/>
      <c r="O29" s="69" t="s">
        <v>6</v>
      </c>
      <c r="P29" s="68"/>
      <c r="Q29" s="68"/>
      <c r="R29" s="68"/>
      <c r="S29" s="175" t="s">
        <v>120</v>
      </c>
      <c r="T29" s="176"/>
      <c r="U29" s="175" t="s">
        <v>120</v>
      </c>
      <c r="V29" s="176"/>
    </row>
    <row r="30" spans="1:27" ht="13.8" x14ac:dyDescent="0.25">
      <c r="A30" s="71" t="s">
        <v>1</v>
      </c>
      <c r="B30" s="68"/>
      <c r="C30" s="90"/>
      <c r="D30" s="90"/>
      <c r="E30" s="69" t="s">
        <v>6</v>
      </c>
      <c r="F30" s="69"/>
      <c r="G30" s="69" t="s">
        <v>6</v>
      </c>
      <c r="H30" s="90"/>
      <c r="I30" s="69" t="s">
        <v>112</v>
      </c>
      <c r="J30" s="90"/>
      <c r="K30" s="71" t="s">
        <v>83</v>
      </c>
      <c r="L30" s="90"/>
      <c r="M30" s="69" t="s">
        <v>66</v>
      </c>
      <c r="N30" s="68"/>
      <c r="O30" s="69" t="s">
        <v>113</v>
      </c>
      <c r="P30" s="69"/>
      <c r="Q30" s="69" t="s">
        <v>59</v>
      </c>
      <c r="R30" s="76"/>
      <c r="S30" s="173" t="s">
        <v>152</v>
      </c>
      <c r="T30" s="174"/>
      <c r="U30" s="173" t="s">
        <v>162</v>
      </c>
      <c r="V30" s="174"/>
    </row>
    <row r="31" spans="1:27" ht="16.2" x14ac:dyDescent="0.25">
      <c r="A31" s="73" t="s">
        <v>3</v>
      </c>
      <c r="B31" s="68"/>
      <c r="C31" s="73" t="s">
        <v>4</v>
      </c>
      <c r="D31" s="76"/>
      <c r="E31" s="73" t="s">
        <v>67</v>
      </c>
      <c r="F31" s="73"/>
      <c r="G31" s="73" t="s">
        <v>27</v>
      </c>
      <c r="H31" s="76"/>
      <c r="I31" s="73" t="s">
        <v>27</v>
      </c>
      <c r="J31" s="76"/>
      <c r="K31" s="73" t="s">
        <v>68</v>
      </c>
      <c r="L31" s="76"/>
      <c r="M31" s="73" t="s">
        <v>65</v>
      </c>
      <c r="N31" s="76"/>
      <c r="O31" s="73" t="s">
        <v>119</v>
      </c>
      <c r="P31" s="75"/>
      <c r="Q31" s="73" t="s">
        <v>138</v>
      </c>
      <c r="R31" s="68"/>
      <c r="S31" s="171" t="s">
        <v>123</v>
      </c>
      <c r="T31" s="172"/>
      <c r="U31" s="171" t="s">
        <v>136</v>
      </c>
      <c r="V31" s="172"/>
    </row>
    <row r="32" spans="1:27" ht="13.8" x14ac:dyDescent="0.25">
      <c r="A32" s="68"/>
      <c r="B32" s="68"/>
      <c r="C32" s="77" t="s">
        <v>8</v>
      </c>
      <c r="D32" s="72"/>
      <c r="E32" s="77" t="s">
        <v>9</v>
      </c>
      <c r="F32" s="77"/>
      <c r="G32" s="77" t="s">
        <v>10</v>
      </c>
      <c r="H32" s="77"/>
      <c r="I32" s="77" t="s">
        <v>11</v>
      </c>
      <c r="J32" s="72"/>
      <c r="K32" s="77" t="s">
        <v>31</v>
      </c>
      <c r="L32" s="72"/>
      <c r="M32" s="77" t="s">
        <v>32</v>
      </c>
      <c r="N32" s="68"/>
      <c r="O32" s="77" t="s">
        <v>58</v>
      </c>
      <c r="P32" s="77"/>
      <c r="Q32" s="77" t="s">
        <v>88</v>
      </c>
      <c r="R32" s="68"/>
      <c r="S32" s="94"/>
      <c r="T32" s="95"/>
      <c r="U32" s="94"/>
      <c r="V32" s="95"/>
    </row>
    <row r="33" spans="1:22" ht="16.2" x14ac:dyDescent="0.25">
      <c r="A33" s="68"/>
      <c r="B33" s="68"/>
      <c r="C33" s="68"/>
      <c r="D33" s="68"/>
      <c r="E33" s="68"/>
      <c r="F33" s="68"/>
      <c r="G33" s="68"/>
      <c r="H33" s="68"/>
      <c r="I33" s="77"/>
      <c r="J33" s="68"/>
      <c r="K33" s="68"/>
      <c r="L33" s="68"/>
      <c r="M33" s="68"/>
      <c r="N33" s="68"/>
      <c r="O33" s="68"/>
      <c r="P33" s="68"/>
      <c r="Q33" s="77"/>
      <c r="R33" s="68"/>
      <c r="S33" s="96" t="s">
        <v>139</v>
      </c>
      <c r="T33" s="95"/>
      <c r="U33" s="96" t="s">
        <v>141</v>
      </c>
      <c r="V33" s="95"/>
    </row>
    <row r="34" spans="1:22" ht="13.8" x14ac:dyDescent="0.25">
      <c r="A34" s="77" t="str">
        <f>A27+1&amp;"."</f>
        <v>16.</v>
      </c>
      <c r="B34" s="68"/>
      <c r="C34" s="91">
        <f t="shared" ref="C34:C46" si="6">C13</f>
        <v>41609</v>
      </c>
      <c r="D34" s="68"/>
      <c r="E34" s="68"/>
      <c r="F34" s="68"/>
      <c r="G34" s="68"/>
      <c r="H34" s="68"/>
      <c r="I34" s="77"/>
      <c r="J34" s="68"/>
      <c r="K34" s="153">
        <v>54292</v>
      </c>
      <c r="L34" s="68"/>
      <c r="M34" s="68"/>
      <c r="N34" s="68"/>
      <c r="O34" s="68"/>
      <c r="P34" s="68"/>
      <c r="Q34" s="77"/>
      <c r="R34" s="68"/>
      <c r="S34" s="97" t="s">
        <v>114</v>
      </c>
      <c r="T34" s="98">
        <f>221819.91+43875</f>
        <v>265694.91000000003</v>
      </c>
      <c r="U34" s="97" t="s">
        <v>114</v>
      </c>
      <c r="V34" s="98">
        <v>113208</v>
      </c>
    </row>
    <row r="35" spans="1:22" ht="13.8" x14ac:dyDescent="0.25">
      <c r="A35" s="77" t="str">
        <f>A34+1&amp;"."</f>
        <v>17.</v>
      </c>
      <c r="B35" s="68"/>
      <c r="C35" s="91">
        <f t="shared" si="6"/>
        <v>41640</v>
      </c>
      <c r="D35" s="68"/>
      <c r="E35" s="147">
        <v>43315</v>
      </c>
      <c r="F35" s="105"/>
      <c r="G35" s="81">
        <v>53932</v>
      </c>
      <c r="H35" s="77"/>
      <c r="I35" s="126">
        <f>O35*$V$36</f>
        <v>51705.333866759051</v>
      </c>
      <c r="J35" s="77"/>
      <c r="K35" s="80">
        <f t="shared" ref="K35:K46" si="7">E35-I35+K34</f>
        <v>45901.666133240949</v>
      </c>
      <c r="L35" s="72"/>
      <c r="M35" s="82">
        <f>ROUND(K35*(0.08378/12),0)</f>
        <v>320</v>
      </c>
      <c r="N35" s="68"/>
      <c r="O35" s="79">
        <f>G35/($V$36+$V$41)</f>
        <v>10431721.470019342</v>
      </c>
      <c r="P35" s="79"/>
      <c r="Q35" s="105">
        <f>O35*$V$41</f>
        <v>2226.6661332409567</v>
      </c>
      <c r="R35" s="68"/>
      <c r="S35" s="97" t="s">
        <v>115</v>
      </c>
      <c r="T35" s="152">
        <v>20605087</v>
      </c>
      <c r="U35" s="97" t="s">
        <v>115</v>
      </c>
      <c r="V35" s="99">
        <v>22820177</v>
      </c>
    </row>
    <row r="36" spans="1:22" ht="13.8" x14ac:dyDescent="0.25">
      <c r="A36" s="77" t="str">
        <f t="shared" ref="A36:A47" si="8">A35+1&amp;"."</f>
        <v>18.</v>
      </c>
      <c r="B36" s="68"/>
      <c r="C36" s="91">
        <f t="shared" si="6"/>
        <v>41671</v>
      </c>
      <c r="D36" s="68"/>
      <c r="E36" s="105">
        <v>26272</v>
      </c>
      <c r="F36" s="105"/>
      <c r="G36" s="148">
        <v>45360</v>
      </c>
      <c r="H36" s="77"/>
      <c r="I36" s="126">
        <f>O36*$V$36</f>
        <v>43487.24216042777</v>
      </c>
      <c r="J36" s="77"/>
      <c r="K36" s="79">
        <f t="shared" si="7"/>
        <v>28686.42397281318</v>
      </c>
      <c r="L36" s="72"/>
      <c r="M36" s="83">
        <f t="shared" ref="M36:M46" si="9">ROUND(K36*(0.08378/12),0)</f>
        <v>200</v>
      </c>
      <c r="N36" s="68"/>
      <c r="O36" s="79">
        <f>G36/($V$36+$V$41)</f>
        <v>8773694.390715668</v>
      </c>
      <c r="P36" s="79"/>
      <c r="Q36" s="105">
        <f>O36*$V$41</f>
        <v>1872.7578395722355</v>
      </c>
      <c r="R36" s="68"/>
      <c r="S36" s="94" t="s">
        <v>116</v>
      </c>
      <c r="T36" s="100">
        <f>T46-T41</f>
        <v>1.289658035852991E-2</v>
      </c>
      <c r="U36" s="94" t="s">
        <v>116</v>
      </c>
      <c r="V36" s="100">
        <f>V46-V41</f>
        <v>4.9565485442991967E-3</v>
      </c>
    </row>
    <row r="37" spans="1:22" ht="13.8" x14ac:dyDescent="0.25">
      <c r="A37" s="77" t="str">
        <f t="shared" si="8"/>
        <v>19.</v>
      </c>
      <c r="B37" s="68"/>
      <c r="C37" s="91">
        <f t="shared" si="6"/>
        <v>41699</v>
      </c>
      <c r="D37" s="68"/>
      <c r="E37" s="105">
        <v>11146</v>
      </c>
      <c r="F37" s="105"/>
      <c r="G37" s="148">
        <v>38297</v>
      </c>
      <c r="H37" s="77"/>
      <c r="I37" s="126">
        <f>O37*$V$36</f>
        <v>36715.849052422891</v>
      </c>
      <c r="J37" s="77"/>
      <c r="K37" s="79">
        <f t="shared" si="7"/>
        <v>3116.5749203902888</v>
      </c>
      <c r="L37" s="72"/>
      <c r="M37" s="83">
        <f t="shared" si="9"/>
        <v>22</v>
      </c>
      <c r="N37" s="68"/>
      <c r="O37" s="79">
        <f>G37/($V$36+$V$41)</f>
        <v>7407543.520309478</v>
      </c>
      <c r="P37" s="79"/>
      <c r="Q37" s="105">
        <f>O37*$V$41</f>
        <v>1581.1509475771143</v>
      </c>
      <c r="R37" s="68"/>
      <c r="S37" s="94"/>
      <c r="T37" s="95"/>
      <c r="U37" s="94"/>
      <c r="V37" s="95"/>
    </row>
    <row r="38" spans="1:22" ht="16.2" x14ac:dyDescent="0.25">
      <c r="A38" s="77" t="str">
        <f t="shared" si="8"/>
        <v>20.</v>
      </c>
      <c r="B38" s="68"/>
      <c r="C38" s="91">
        <f t="shared" si="6"/>
        <v>41730</v>
      </c>
      <c r="D38" s="68"/>
      <c r="E38" s="105">
        <v>12068</v>
      </c>
      <c r="F38" s="105"/>
      <c r="G38" s="148">
        <v>23505</v>
      </c>
      <c r="H38" s="77"/>
      <c r="I38" s="126">
        <f>O38*$V$36</f>
        <v>22534.559677708436</v>
      </c>
      <c r="J38" s="154"/>
      <c r="K38" s="155">
        <f t="shared" si="7"/>
        <v>-7349.9847573181469</v>
      </c>
      <c r="L38" s="156"/>
      <c r="M38" s="157">
        <f t="shared" si="9"/>
        <v>-51</v>
      </c>
      <c r="N38" s="158"/>
      <c r="O38" s="155">
        <f>G38/($V$36+$V$41)</f>
        <v>4546421.6634429395</v>
      </c>
      <c r="P38" s="155"/>
      <c r="Q38" s="159">
        <f>O38*$V$41</f>
        <v>970.44032229156494</v>
      </c>
      <c r="R38" s="68"/>
      <c r="S38" s="96" t="s">
        <v>140</v>
      </c>
      <c r="T38" s="95"/>
      <c r="U38" s="96" t="s">
        <v>144</v>
      </c>
      <c r="V38" s="95"/>
    </row>
    <row r="39" spans="1:22" ht="13.8" x14ac:dyDescent="0.25">
      <c r="A39" s="77" t="str">
        <f t="shared" si="8"/>
        <v>21.</v>
      </c>
      <c r="B39" s="68"/>
      <c r="C39" s="91">
        <f t="shared" si="6"/>
        <v>41760</v>
      </c>
      <c r="D39" s="68"/>
      <c r="E39" s="105">
        <v>22662</v>
      </c>
      <c r="F39" s="105"/>
      <c r="G39" s="149">
        <v>33874</v>
      </c>
      <c r="H39" s="85"/>
      <c r="I39" s="84">
        <f t="shared" ref="I39:I46" si="10">O39*$T$36</f>
        <v>31496.666406982131</v>
      </c>
      <c r="J39" s="85"/>
      <c r="K39" s="79">
        <f t="shared" si="7"/>
        <v>-16184.651164300278</v>
      </c>
      <c r="L39" s="72"/>
      <c r="M39" s="83">
        <f t="shared" si="9"/>
        <v>-113</v>
      </c>
      <c r="N39" s="68"/>
      <c r="O39" s="79">
        <f t="shared" ref="O39:O45" si="11">G39/$T$46</f>
        <v>2442249.4592645997</v>
      </c>
      <c r="P39" s="79"/>
      <c r="Q39" s="79">
        <f>O39*$T$41</f>
        <v>2377.3335930178664</v>
      </c>
      <c r="R39" s="68"/>
      <c r="S39" s="97" t="s">
        <v>117</v>
      </c>
      <c r="T39" s="98">
        <f>-9567.3792+29624.7756</f>
        <v>20057.396400000001</v>
      </c>
      <c r="U39" s="97" t="s">
        <v>117</v>
      </c>
      <c r="V39" s="98">
        <v>4871</v>
      </c>
    </row>
    <row r="40" spans="1:22" ht="13.8" x14ac:dyDescent="0.25">
      <c r="A40" s="77" t="str">
        <f t="shared" si="8"/>
        <v>22.</v>
      </c>
      <c r="B40" s="68"/>
      <c r="C40" s="91">
        <f t="shared" si="6"/>
        <v>41791</v>
      </c>
      <c r="D40" s="68"/>
      <c r="E40" s="105">
        <v>9275</v>
      </c>
      <c r="F40" s="105"/>
      <c r="G40" s="149">
        <v>20849</v>
      </c>
      <c r="H40" s="85"/>
      <c r="I40" s="84">
        <f t="shared" si="10"/>
        <v>19385.78254470008</v>
      </c>
      <c r="J40" s="85"/>
      <c r="K40" s="79">
        <f t="shared" si="7"/>
        <v>-26295.433709000357</v>
      </c>
      <c r="L40" s="68"/>
      <c r="M40" s="83">
        <f t="shared" si="9"/>
        <v>-184</v>
      </c>
      <c r="N40" s="68"/>
      <c r="O40" s="79">
        <f t="shared" si="11"/>
        <v>1503172.3143475126</v>
      </c>
      <c r="P40" s="79"/>
      <c r="Q40" s="79">
        <f t="shared" ref="Q40:Q45" si="12">O40*$T$41</f>
        <v>1463.2174552999204</v>
      </c>
      <c r="R40" s="68"/>
      <c r="S40" s="97" t="s">
        <v>115</v>
      </c>
      <c r="T40" s="99">
        <f>T35</f>
        <v>20605087</v>
      </c>
      <c r="U40" s="97" t="s">
        <v>115</v>
      </c>
      <c r="V40" s="99">
        <f>V35</f>
        <v>22820177</v>
      </c>
    </row>
    <row r="41" spans="1:22" ht="13.8" x14ac:dyDescent="0.25">
      <c r="A41" s="77" t="str">
        <f t="shared" si="8"/>
        <v>23.</v>
      </c>
      <c r="B41" s="68"/>
      <c r="C41" s="91">
        <f t="shared" si="6"/>
        <v>41821</v>
      </c>
      <c r="D41" s="68"/>
      <c r="E41" s="105">
        <v>9695</v>
      </c>
      <c r="F41" s="105"/>
      <c r="G41" s="149">
        <v>17541</v>
      </c>
      <c r="H41" s="85"/>
      <c r="I41" s="84">
        <f t="shared" si="10"/>
        <v>16309.943480099002</v>
      </c>
      <c r="J41" s="85"/>
      <c r="K41" s="79">
        <f t="shared" si="7"/>
        <v>-32910.377189099359</v>
      </c>
      <c r="L41" s="68"/>
      <c r="M41" s="83">
        <f t="shared" si="9"/>
        <v>-230</v>
      </c>
      <c r="N41" s="68"/>
      <c r="O41" s="79">
        <f t="shared" si="11"/>
        <v>1264671.9538572459</v>
      </c>
      <c r="P41" s="79"/>
      <c r="Q41" s="79">
        <f t="shared" si="12"/>
        <v>1231.0565199009977</v>
      </c>
      <c r="R41" s="68"/>
      <c r="S41" s="94" t="s">
        <v>116</v>
      </c>
      <c r="T41" s="100">
        <f>T39/T40</f>
        <v>9.734196414700895E-4</v>
      </c>
      <c r="U41" s="94" t="s">
        <v>116</v>
      </c>
      <c r="V41" s="100">
        <f>V39/V40</f>
        <v>2.1345145570080372E-4</v>
      </c>
    </row>
    <row r="42" spans="1:22" ht="13.8" x14ac:dyDescent="0.25">
      <c r="A42" s="77" t="str">
        <f t="shared" si="8"/>
        <v>24.</v>
      </c>
      <c r="B42" s="68"/>
      <c r="C42" s="91">
        <f t="shared" si="6"/>
        <v>41852</v>
      </c>
      <c r="D42" s="68"/>
      <c r="E42" s="105">
        <v>9469</v>
      </c>
      <c r="F42" s="105"/>
      <c r="G42" s="149">
        <v>16777</v>
      </c>
      <c r="H42" s="68"/>
      <c r="I42" s="84">
        <f t="shared" si="10"/>
        <v>15599.562269290287</v>
      </c>
      <c r="J42" s="85"/>
      <c r="K42" s="79">
        <f t="shared" si="7"/>
        <v>-39040.93945838965</v>
      </c>
      <c r="L42" s="68"/>
      <c r="M42" s="83">
        <f t="shared" si="9"/>
        <v>-273</v>
      </c>
      <c r="N42" s="68"/>
      <c r="O42" s="79">
        <f t="shared" si="11"/>
        <v>1209589.0410958903</v>
      </c>
      <c r="P42" s="79"/>
      <c r="Q42" s="79">
        <f t="shared" si="12"/>
        <v>1177.4377307097109</v>
      </c>
      <c r="R42" s="68"/>
      <c r="S42" s="94"/>
      <c r="T42" s="95"/>
      <c r="U42" s="94"/>
      <c r="V42" s="95"/>
    </row>
    <row r="43" spans="1:22" ht="13.8" x14ac:dyDescent="0.25">
      <c r="A43" s="77" t="str">
        <f t="shared" si="8"/>
        <v>25.</v>
      </c>
      <c r="B43" s="68"/>
      <c r="C43" s="91">
        <f t="shared" si="6"/>
        <v>41883</v>
      </c>
      <c r="D43" s="68"/>
      <c r="E43" s="105">
        <v>14772</v>
      </c>
      <c r="F43" s="105"/>
      <c r="G43" s="149">
        <v>17312</v>
      </c>
      <c r="H43" s="85"/>
      <c r="I43" s="84">
        <f t="shared" si="10"/>
        <v>16097.015080524139</v>
      </c>
      <c r="J43" s="85"/>
      <c r="K43" s="79">
        <f t="shared" si="7"/>
        <v>-40365.954538913793</v>
      </c>
      <c r="L43" s="79"/>
      <c r="M43" s="83">
        <f t="shared" si="9"/>
        <v>-282</v>
      </c>
      <c r="N43" s="68"/>
      <c r="O43" s="79">
        <f t="shared" si="11"/>
        <v>1248161.4996395097</v>
      </c>
      <c r="P43" s="79"/>
      <c r="Q43" s="79">
        <f t="shared" si="12"/>
        <v>1214.9849194758608</v>
      </c>
      <c r="R43" s="68"/>
      <c r="S43" s="96" t="s">
        <v>118</v>
      </c>
      <c r="T43" s="101"/>
      <c r="U43" s="96" t="s">
        <v>118</v>
      </c>
      <c r="V43" s="101"/>
    </row>
    <row r="44" spans="1:22" ht="13.8" x14ac:dyDescent="0.25">
      <c r="A44" s="77" t="str">
        <f t="shared" si="8"/>
        <v>26.</v>
      </c>
      <c r="B44" s="68"/>
      <c r="C44" s="91">
        <f t="shared" si="6"/>
        <v>41913</v>
      </c>
      <c r="D44" s="68"/>
      <c r="E44" s="105">
        <v>17316</v>
      </c>
      <c r="F44" s="105"/>
      <c r="G44" s="149">
        <v>25152</v>
      </c>
      <c r="H44" s="85"/>
      <c r="I44" s="84">
        <f t="shared" si="10"/>
        <v>23386.79085636224</v>
      </c>
      <c r="J44" s="85"/>
      <c r="K44" s="79">
        <f t="shared" si="7"/>
        <v>-46436.745395276033</v>
      </c>
      <c r="L44" s="79"/>
      <c r="M44" s="83">
        <f t="shared" si="9"/>
        <v>-324</v>
      </c>
      <c r="N44" s="68"/>
      <c r="O44" s="79">
        <f t="shared" si="11"/>
        <v>1813410.237923576</v>
      </c>
      <c r="P44" s="79"/>
      <c r="Q44" s="79">
        <f t="shared" si="12"/>
        <v>1765.2091436377571</v>
      </c>
      <c r="R44" s="68"/>
      <c r="S44" s="97" t="s">
        <v>122</v>
      </c>
      <c r="T44" s="98">
        <f>T34+T39</f>
        <v>285752.30640000006</v>
      </c>
      <c r="U44" s="97" t="s">
        <v>122</v>
      </c>
      <c r="V44" s="98">
        <f>V34+V39</f>
        <v>118079</v>
      </c>
    </row>
    <row r="45" spans="1:22" ht="13.8" x14ac:dyDescent="0.25">
      <c r="A45" s="77" t="str">
        <f t="shared" si="8"/>
        <v>27.</v>
      </c>
      <c r="B45" s="68"/>
      <c r="C45" s="91">
        <f t="shared" si="6"/>
        <v>41944</v>
      </c>
      <c r="D45" s="68"/>
      <c r="E45" s="105">
        <v>51011</v>
      </c>
      <c r="F45" s="105"/>
      <c r="G45" s="149">
        <v>49162</v>
      </c>
      <c r="H45" s="85"/>
      <c r="I45" s="84">
        <f t="shared" si="10"/>
        <v>45711.729169866434</v>
      </c>
      <c r="J45" s="85"/>
      <c r="K45" s="79">
        <f t="shared" si="7"/>
        <v>-41137.474565142467</v>
      </c>
      <c r="L45" s="79"/>
      <c r="M45" s="83">
        <f t="shared" si="9"/>
        <v>-287</v>
      </c>
      <c r="N45" s="68"/>
      <c r="O45" s="79">
        <f t="shared" si="11"/>
        <v>3544484.4989185291</v>
      </c>
      <c r="P45" s="79"/>
      <c r="Q45" s="79">
        <f t="shared" si="12"/>
        <v>3450.2708301335647</v>
      </c>
      <c r="R45" s="68"/>
      <c r="S45" s="97" t="s">
        <v>115</v>
      </c>
      <c r="T45" s="102">
        <f>T35</f>
        <v>20605087</v>
      </c>
      <c r="U45" s="97" t="s">
        <v>115</v>
      </c>
      <c r="V45" s="102">
        <f>V35</f>
        <v>22820177</v>
      </c>
    </row>
    <row r="46" spans="1:22" ht="13.8" x14ac:dyDescent="0.25">
      <c r="A46" s="77" t="str">
        <f t="shared" si="8"/>
        <v>28.</v>
      </c>
      <c r="B46" s="68"/>
      <c r="C46" s="91">
        <f t="shared" si="6"/>
        <v>41974</v>
      </c>
      <c r="D46" s="68"/>
      <c r="E46" s="105">
        <v>40693</v>
      </c>
      <c r="F46" s="105"/>
      <c r="G46" s="149">
        <v>104706</v>
      </c>
      <c r="H46" s="85"/>
      <c r="I46" s="84">
        <f t="shared" si="10"/>
        <v>97357.558977666384</v>
      </c>
      <c r="J46" s="85"/>
      <c r="K46" s="79">
        <f t="shared" si="7"/>
        <v>-97802.033542808844</v>
      </c>
      <c r="L46" s="79"/>
      <c r="M46" s="83">
        <f t="shared" si="9"/>
        <v>-683</v>
      </c>
      <c r="N46" s="68"/>
      <c r="O46" s="79">
        <f>G46/$T$46</f>
        <v>7549098.7743330924</v>
      </c>
      <c r="P46" s="79"/>
      <c r="Q46" s="79">
        <f>O46*$T$41</f>
        <v>7348.4410223336108</v>
      </c>
      <c r="R46" s="68"/>
      <c r="S46" s="103" t="s">
        <v>121</v>
      </c>
      <c r="T46" s="104">
        <f>ROUND(T44/T45,5)</f>
        <v>1.387E-2</v>
      </c>
      <c r="U46" s="103" t="s">
        <v>121</v>
      </c>
      <c r="V46" s="104">
        <f>ROUND(V44/V45,5)</f>
        <v>5.1700000000000001E-3</v>
      </c>
    </row>
    <row r="47" spans="1:22" ht="16.8" thickBot="1" x14ac:dyDescent="0.3">
      <c r="A47" s="77" t="str">
        <f t="shared" si="8"/>
        <v>29.</v>
      </c>
      <c r="B47" s="68"/>
      <c r="C47" s="86" t="s">
        <v>157</v>
      </c>
      <c r="D47" s="68"/>
      <c r="E47" s="87">
        <f>SUM(E35:E46)</f>
        <v>267694</v>
      </c>
      <c r="F47" s="83"/>
      <c r="G47" s="87">
        <f>SUM(G35:G46)</f>
        <v>446467</v>
      </c>
      <c r="H47" s="85"/>
      <c r="I47" s="88">
        <f>SUM(I35:I46)</f>
        <v>419788.03354280884</v>
      </c>
      <c r="J47" s="85"/>
      <c r="K47" s="89"/>
      <c r="L47" s="79"/>
      <c r="M47" s="87">
        <f>SUM(M35:M46)</f>
        <v>-1885</v>
      </c>
      <c r="N47" s="68"/>
      <c r="O47" s="68"/>
      <c r="P47" s="68"/>
      <c r="Q47" s="87">
        <f>SUM(Q35:Q46)</f>
        <v>26678.966457191163</v>
      </c>
      <c r="R47" s="68"/>
      <c r="S47" s="68"/>
      <c r="T47" s="68"/>
    </row>
    <row r="48" spans="1:22" ht="14.4" thickTop="1" x14ac:dyDescent="0.25">
      <c r="A48" s="68"/>
      <c r="B48" s="68"/>
      <c r="C48" s="78"/>
      <c r="D48" s="68"/>
      <c r="E48" s="68"/>
      <c r="F48" s="68"/>
      <c r="G48" s="130"/>
      <c r="H48" s="68"/>
      <c r="I48" s="130"/>
      <c r="J48" s="68"/>
      <c r="K48" s="68"/>
      <c r="L48" s="68"/>
      <c r="M48" s="68"/>
      <c r="N48" s="68"/>
      <c r="O48" s="68"/>
      <c r="P48" s="68"/>
      <c r="Q48" s="105"/>
      <c r="R48" s="62"/>
      <c r="S48" s="62"/>
      <c r="T48" s="62"/>
    </row>
    <row r="49" spans="1:20" ht="13.8" x14ac:dyDescent="0.25">
      <c r="A49" s="68"/>
      <c r="B49" s="62" t="s">
        <v>69</v>
      </c>
      <c r="C49" s="62"/>
      <c r="D49" s="62"/>
      <c r="E49" s="19"/>
      <c r="F49" s="19"/>
      <c r="G49" s="19"/>
      <c r="H49" s="62"/>
      <c r="I49" s="62"/>
      <c r="J49" s="62"/>
      <c r="K49" s="62"/>
      <c r="N49" s="62" t="s">
        <v>124</v>
      </c>
      <c r="O49" s="62"/>
      <c r="P49" s="62"/>
      <c r="Q49" s="131"/>
      <c r="R49" s="62"/>
      <c r="S49" s="62"/>
      <c r="T49" s="62"/>
    </row>
    <row r="50" spans="1:20" ht="13.8" x14ac:dyDescent="0.25">
      <c r="A50" s="68"/>
      <c r="B50" s="92" t="s">
        <v>96</v>
      </c>
      <c r="C50" s="62" t="s">
        <v>159</v>
      </c>
      <c r="D50" s="62"/>
      <c r="E50" s="26"/>
      <c r="F50" s="26"/>
      <c r="G50" s="26"/>
      <c r="H50" s="62"/>
      <c r="I50" s="62"/>
      <c r="J50" s="62"/>
      <c r="K50" s="62"/>
      <c r="L50" s="62"/>
      <c r="N50" s="62" t="s">
        <v>125</v>
      </c>
      <c r="O50" s="62"/>
      <c r="P50" s="62"/>
      <c r="Q50" s="62"/>
      <c r="R50" s="62"/>
      <c r="S50" s="62"/>
      <c r="T50" s="62"/>
    </row>
    <row r="51" spans="1:20" ht="13.8" x14ac:dyDescent="0.25">
      <c r="A51" s="68"/>
      <c r="B51" s="63"/>
      <c r="C51" s="127" t="s">
        <v>160</v>
      </c>
      <c r="D51" s="127"/>
      <c r="E51" s="127"/>
      <c r="F51" s="127"/>
      <c r="G51" s="127"/>
      <c r="H51" s="127"/>
      <c r="I51" s="127"/>
      <c r="J51" s="127"/>
      <c r="K51" s="127"/>
      <c r="L51" s="62"/>
      <c r="N51" s="62" t="s">
        <v>111</v>
      </c>
      <c r="O51" s="62"/>
      <c r="P51" s="62"/>
      <c r="Q51" s="62"/>
      <c r="R51" s="62"/>
      <c r="S51" s="62"/>
      <c r="T51" s="62"/>
    </row>
    <row r="52" spans="1:20" ht="13.8" x14ac:dyDescent="0.25">
      <c r="A52" s="68"/>
      <c r="B52" s="92" t="s">
        <v>126</v>
      </c>
      <c r="C52" s="62" t="s">
        <v>133</v>
      </c>
      <c r="D52" s="62"/>
      <c r="E52" s="62"/>
      <c r="F52" s="62"/>
      <c r="G52" s="62"/>
      <c r="H52" s="62"/>
      <c r="I52" s="62"/>
      <c r="J52" s="62"/>
      <c r="K52" s="62"/>
      <c r="L52" s="62"/>
      <c r="N52" s="127" t="s">
        <v>127</v>
      </c>
      <c r="O52" s="62"/>
      <c r="P52" s="62"/>
      <c r="Q52" s="62"/>
      <c r="R52" s="62"/>
      <c r="S52" s="62"/>
      <c r="T52" s="62"/>
    </row>
    <row r="53" spans="1:20" ht="13.8" x14ac:dyDescent="0.25">
      <c r="A53" s="68"/>
      <c r="B53" s="92" t="s">
        <v>137</v>
      </c>
      <c r="C53" s="62" t="s">
        <v>134</v>
      </c>
      <c r="D53" s="62"/>
      <c r="E53" s="62"/>
      <c r="F53" s="62"/>
      <c r="G53" s="62"/>
      <c r="H53" s="62"/>
      <c r="I53" s="62"/>
      <c r="J53" s="62"/>
      <c r="K53" s="62"/>
      <c r="L53" s="62"/>
      <c r="N53" s="62" t="s">
        <v>147</v>
      </c>
      <c r="O53" s="62"/>
      <c r="P53" s="62"/>
      <c r="Q53" s="62"/>
      <c r="R53" s="62"/>
      <c r="S53" s="62"/>
      <c r="T53" s="62"/>
    </row>
    <row r="54" spans="1:20" ht="13.8" x14ac:dyDescent="0.25">
      <c r="A54" s="68"/>
      <c r="B54" s="92" t="s">
        <v>142</v>
      </c>
      <c r="C54" s="62" t="s">
        <v>143</v>
      </c>
      <c r="D54" s="62"/>
      <c r="E54" s="62"/>
      <c r="F54" s="62"/>
      <c r="G54" s="62"/>
      <c r="H54" s="62"/>
      <c r="I54" s="62"/>
      <c r="J54" s="62"/>
      <c r="K54" s="62"/>
      <c r="L54" s="62"/>
      <c r="N54" s="62" t="s">
        <v>128</v>
      </c>
      <c r="O54" s="62"/>
      <c r="P54" s="62"/>
      <c r="Q54" s="62"/>
      <c r="R54" s="62"/>
      <c r="S54" s="62"/>
      <c r="T54" s="62"/>
    </row>
    <row r="55" spans="1:20" x14ac:dyDescent="0.25">
      <c r="B55" s="92" t="s">
        <v>154</v>
      </c>
      <c r="C55" s="62" t="s">
        <v>156</v>
      </c>
      <c r="L55" s="62"/>
      <c r="M55" s="62"/>
      <c r="N55" s="62"/>
      <c r="O55" s="62"/>
      <c r="P55" s="62"/>
      <c r="Q55" s="62"/>
    </row>
    <row r="56" spans="1:20" x14ac:dyDescent="0.25">
      <c r="B56" s="92" t="s">
        <v>158</v>
      </c>
      <c r="C56" s="62" t="s">
        <v>163</v>
      </c>
      <c r="T56" s="129"/>
    </row>
    <row r="57" spans="1:20" x14ac:dyDescent="0.25">
      <c r="G57" s="132"/>
    </row>
    <row r="58" spans="1:20" x14ac:dyDescent="0.25">
      <c r="G58" s="132"/>
    </row>
    <row r="59" spans="1:20" x14ac:dyDescent="0.25">
      <c r="G59" s="132"/>
    </row>
    <row r="60" spans="1:20" x14ac:dyDescent="0.25">
      <c r="G60" s="132"/>
    </row>
    <row r="61" spans="1:20" x14ac:dyDescent="0.25">
      <c r="G61" s="132"/>
    </row>
    <row r="62" spans="1:20" x14ac:dyDescent="0.25">
      <c r="G62" s="132"/>
    </row>
    <row r="63" spans="1:20" x14ac:dyDescent="0.25">
      <c r="G63" s="132"/>
    </row>
    <row r="64" spans="1:20" x14ac:dyDescent="0.25">
      <c r="G64" s="132"/>
    </row>
    <row r="65" spans="7:7" x14ac:dyDescent="0.25">
      <c r="G65" s="132"/>
    </row>
    <row r="66" spans="7:7" x14ac:dyDescent="0.25">
      <c r="G66" s="132"/>
    </row>
    <row r="67" spans="7:7" x14ac:dyDescent="0.25">
      <c r="G67" s="132"/>
    </row>
    <row r="68" spans="7:7" x14ac:dyDescent="0.25">
      <c r="G68" s="132"/>
    </row>
  </sheetData>
  <mergeCells count="17">
    <mergeCell ref="A2:U2"/>
    <mergeCell ref="A3:U3"/>
    <mergeCell ref="A4:U4"/>
    <mergeCell ref="A5:U5"/>
    <mergeCell ref="A6:U6"/>
    <mergeCell ref="U31:V31"/>
    <mergeCell ref="S31:T31"/>
    <mergeCell ref="U30:V30"/>
    <mergeCell ref="S30:T30"/>
    <mergeCell ref="S9:T9"/>
    <mergeCell ref="U11:V11"/>
    <mergeCell ref="U29:V29"/>
    <mergeCell ref="U9:V9"/>
    <mergeCell ref="U10:V10"/>
    <mergeCell ref="S10:T10"/>
    <mergeCell ref="S11:T11"/>
    <mergeCell ref="S29:T29"/>
  </mergeCells>
  <phoneticPr fontId="0" type="noConversion"/>
  <printOptions horizontalCentered="1"/>
  <pageMargins left="0" right="0" top="0" bottom="0" header="0" footer="0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43"/>
  <sheetViews>
    <sheetView showGridLines="0" zoomScaleNormal="100" workbookViewId="0">
      <selection activeCell="K20" sqref="K20:K21"/>
    </sheetView>
  </sheetViews>
  <sheetFormatPr defaultRowHeight="13.2" x14ac:dyDescent="0.25"/>
  <cols>
    <col min="1" max="1" width="6.6640625" customWidth="1"/>
    <col min="2" max="2" width="10.44140625" customWidth="1"/>
    <col min="3" max="3" width="4" customWidth="1"/>
    <col min="4" max="4" width="1.88671875" customWidth="1"/>
    <col min="5" max="5" width="13.33203125" customWidth="1"/>
    <col min="6" max="6" width="2.88671875" customWidth="1"/>
    <col min="7" max="7" width="2" customWidth="1"/>
    <col min="8" max="8" width="12.44140625" customWidth="1"/>
    <col min="9" max="10" width="2.44140625" customWidth="1"/>
    <col min="11" max="11" width="12" customWidth="1"/>
    <col min="12" max="13" width="2.44140625" customWidth="1"/>
    <col min="14" max="14" width="12.44140625" customWidth="1"/>
    <col min="15" max="15" width="3.88671875" customWidth="1"/>
    <col min="16" max="16" width="2" customWidth="1"/>
    <col min="17" max="17" width="11.88671875" customWidth="1"/>
  </cols>
  <sheetData>
    <row r="1" spans="1:18" x14ac:dyDescent="0.25">
      <c r="Q1" t="str">
        <f>Page1!$V$2</f>
        <v>Exhibit C(G)</v>
      </c>
    </row>
    <row r="2" spans="1:18" x14ac:dyDescent="0.25">
      <c r="Q2" t="s">
        <v>50</v>
      </c>
    </row>
    <row r="4" spans="1:18" x14ac:dyDescent="0.25">
      <c r="A4" s="21"/>
      <c r="B4" s="21"/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x14ac:dyDescent="0.25">
      <c r="A5" s="21" t="str">
        <f>Page1!A2</f>
        <v>MidAmerican Energy Company</v>
      </c>
      <c r="B5" s="21"/>
      <c r="C5" s="21"/>
      <c r="D5" s="2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21" t="str">
        <f>Page1!A3</f>
        <v xml:space="preserve">Gas </v>
      </c>
      <c r="B6" s="21"/>
      <c r="C6" s="21"/>
      <c r="D6" s="2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21" t="str">
        <f>Page1!A4</f>
        <v>Contemporaneous Costs</v>
      </c>
      <c r="B7" s="2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21" t="s">
        <v>13</v>
      </c>
      <c r="B8" s="21"/>
      <c r="C8" s="21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21" t="str">
        <f>Page1!A6</f>
        <v>January 2014 - December 2014</v>
      </c>
      <c r="B9" s="21"/>
      <c r="C9" s="21"/>
      <c r="D9" s="21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E10" s="3"/>
      <c r="F10" s="3"/>
    </row>
    <row r="11" spans="1:18" x14ac:dyDescent="0.25">
      <c r="E11" s="3"/>
      <c r="F11" s="3"/>
      <c r="N11" s="23" t="s">
        <v>14</v>
      </c>
    </row>
    <row r="12" spans="1:18" x14ac:dyDescent="0.25">
      <c r="E12" s="93" t="s">
        <v>14</v>
      </c>
      <c r="I12" s="23"/>
      <c r="J12" s="23"/>
      <c r="K12" s="23"/>
      <c r="L12" s="23"/>
      <c r="M12" s="23"/>
      <c r="N12" s="93" t="s">
        <v>112</v>
      </c>
      <c r="Q12" s="23" t="s">
        <v>62</v>
      </c>
    </row>
    <row r="13" spans="1:18" x14ac:dyDescent="0.25">
      <c r="E13" s="93" t="s">
        <v>132</v>
      </c>
      <c r="H13" s="23" t="s">
        <v>63</v>
      </c>
      <c r="I13" s="23"/>
      <c r="J13" s="23"/>
      <c r="K13" s="93" t="str">
        <f>YEAR(Page1!C13)&amp;" Under"</f>
        <v>2013 Under</v>
      </c>
      <c r="L13" s="23"/>
      <c r="M13" s="23"/>
      <c r="N13" s="23" t="s">
        <v>16</v>
      </c>
      <c r="Q13" s="23" t="s">
        <v>17</v>
      </c>
    </row>
    <row r="14" spans="1:18" x14ac:dyDescent="0.25">
      <c r="E14" s="23" t="s">
        <v>18</v>
      </c>
      <c r="H14" s="23" t="s">
        <v>64</v>
      </c>
      <c r="I14" s="23"/>
      <c r="J14" s="23"/>
      <c r="K14" s="23" t="s">
        <v>97</v>
      </c>
      <c r="L14" s="23"/>
      <c r="M14" s="23"/>
      <c r="N14" s="23" t="s">
        <v>18</v>
      </c>
      <c r="Q14" s="23" t="s">
        <v>19</v>
      </c>
    </row>
    <row r="15" spans="1:18" x14ac:dyDescent="0.25">
      <c r="A15" s="23" t="s">
        <v>1</v>
      </c>
      <c r="E15" s="23" t="s">
        <v>13</v>
      </c>
      <c r="H15" s="23" t="s">
        <v>70</v>
      </c>
      <c r="I15" s="23"/>
      <c r="J15" s="23"/>
      <c r="K15" s="23" t="s">
        <v>98</v>
      </c>
      <c r="L15" s="23"/>
      <c r="M15" s="23"/>
      <c r="N15" s="23" t="s">
        <v>13</v>
      </c>
      <c r="Q15" s="23" t="s">
        <v>13</v>
      </c>
    </row>
    <row r="16" spans="1:18" x14ac:dyDescent="0.25">
      <c r="A16" s="24" t="s">
        <v>3</v>
      </c>
      <c r="B16" s="24" t="s">
        <v>20</v>
      </c>
      <c r="E16" s="24" t="s">
        <v>21</v>
      </c>
      <c r="F16" s="5"/>
      <c r="G16" s="5"/>
      <c r="H16" s="24" t="s">
        <v>17</v>
      </c>
      <c r="I16" s="24"/>
      <c r="J16" s="24"/>
      <c r="K16" s="24">
        <f>YEAR(Page1!C14)</f>
        <v>2014</v>
      </c>
      <c r="L16" s="24"/>
      <c r="M16" s="24"/>
      <c r="N16" s="24" t="s">
        <v>21</v>
      </c>
      <c r="O16" s="5"/>
      <c r="P16" s="5"/>
      <c r="Q16" s="24" t="s">
        <v>21</v>
      </c>
    </row>
    <row r="17" spans="1:17" x14ac:dyDescent="0.25">
      <c r="B17" s="4" t="s">
        <v>8</v>
      </c>
      <c r="E17" s="4" t="s">
        <v>9</v>
      </c>
      <c r="F17" s="4"/>
      <c r="H17" s="4" t="s">
        <v>10</v>
      </c>
      <c r="I17" s="4"/>
      <c r="J17" s="4"/>
      <c r="K17" s="4" t="s">
        <v>11</v>
      </c>
      <c r="L17" s="4"/>
      <c r="N17" s="4" t="s">
        <v>31</v>
      </c>
      <c r="Q17" s="4" t="s">
        <v>32</v>
      </c>
    </row>
    <row r="18" spans="1:17" x14ac:dyDescent="0.25">
      <c r="Q18" s="3" t="s">
        <v>99</v>
      </c>
    </row>
    <row r="20" spans="1:17" x14ac:dyDescent="0.25">
      <c r="A20" s="4" t="s">
        <v>22</v>
      </c>
      <c r="B20" t="s">
        <v>5</v>
      </c>
      <c r="D20" s="10" t="s">
        <v>12</v>
      </c>
      <c r="E20" s="40">
        <f>ROUND(Page1!E27,0)</f>
        <v>1758097</v>
      </c>
      <c r="F20" s="8"/>
      <c r="G20" s="10" t="s">
        <v>12</v>
      </c>
      <c r="H20" s="51">
        <f>ROUND(Page1!M27,0)</f>
        <v>-10385</v>
      </c>
      <c r="I20" s="12"/>
      <c r="J20" s="10" t="s">
        <v>12</v>
      </c>
      <c r="K20" s="160">
        <v>115845</v>
      </c>
      <c r="L20" s="12"/>
      <c r="M20" s="18" t="s">
        <v>12</v>
      </c>
      <c r="N20" s="12">
        <f>ROUND(Page1!I27,0)</f>
        <v>1427456</v>
      </c>
      <c r="O20" s="8"/>
      <c r="P20" s="10" t="s">
        <v>12</v>
      </c>
      <c r="Q20" s="19">
        <f>E20+H20+K20-N20</f>
        <v>436101</v>
      </c>
    </row>
    <row r="21" spans="1:17" x14ac:dyDescent="0.25">
      <c r="A21" s="4" t="s">
        <v>23</v>
      </c>
      <c r="B21" t="s">
        <v>6</v>
      </c>
      <c r="E21" s="56">
        <f>ROUND(Page1!E47,0)</f>
        <v>267694</v>
      </c>
      <c r="H21" s="61">
        <f>ROUND(Page1!M47,0)</f>
        <v>-1885</v>
      </c>
      <c r="I21" s="18"/>
      <c r="J21" s="18"/>
      <c r="K21" s="161">
        <v>43875</v>
      </c>
      <c r="L21" s="18"/>
      <c r="N21" s="14">
        <f>ROUND(Page1!I47,0)</f>
        <v>419788</v>
      </c>
      <c r="Q21" s="20">
        <f>E21+H21+K21-N21</f>
        <v>-110104</v>
      </c>
    </row>
    <row r="22" spans="1:17" x14ac:dyDescent="0.25">
      <c r="A22" s="4"/>
      <c r="H22" s="18"/>
      <c r="I22" s="18"/>
      <c r="J22" s="18"/>
      <c r="K22" s="18"/>
      <c r="L22" s="18"/>
      <c r="M22" s="18"/>
      <c r="N22" s="18"/>
      <c r="Q22" s="19"/>
    </row>
    <row r="23" spans="1:17" ht="13.8" thickBot="1" x14ac:dyDescent="0.3">
      <c r="A23" s="4" t="s">
        <v>24</v>
      </c>
      <c r="B23" t="s">
        <v>7</v>
      </c>
      <c r="D23" s="10" t="s">
        <v>12</v>
      </c>
      <c r="E23" s="17">
        <f>SUM(E20:E21)</f>
        <v>2025791</v>
      </c>
      <c r="F23" s="16"/>
      <c r="G23" s="10" t="s">
        <v>12</v>
      </c>
      <c r="H23" s="52">
        <f>SUM(H20:H21)</f>
        <v>-12270</v>
      </c>
      <c r="I23" s="18"/>
      <c r="J23" s="10" t="s">
        <v>12</v>
      </c>
      <c r="K23" s="52">
        <f>SUM(K20:K22)</f>
        <v>159720</v>
      </c>
      <c r="L23" s="18"/>
      <c r="M23" s="53" t="s">
        <v>12</v>
      </c>
      <c r="N23" s="17">
        <f>SUM(N20:N21)</f>
        <v>1847244</v>
      </c>
      <c r="O23" s="16"/>
      <c r="P23" s="10" t="s">
        <v>12</v>
      </c>
      <c r="Q23" s="22">
        <f>E23+H23+K23-N23</f>
        <v>325997</v>
      </c>
    </row>
    <row r="24" spans="1:17" ht="13.8" thickTop="1" x14ac:dyDescent="0.25"/>
    <row r="27" spans="1:17" x14ac:dyDescent="0.25">
      <c r="B27" t="s">
        <v>82</v>
      </c>
    </row>
    <row r="28" spans="1:17" x14ac:dyDescent="0.25">
      <c r="C28" s="62" t="s">
        <v>148</v>
      </c>
    </row>
    <row r="29" spans="1:17" x14ac:dyDescent="0.25">
      <c r="C29" s="62" t="s">
        <v>129</v>
      </c>
    </row>
    <row r="30" spans="1:17" x14ac:dyDescent="0.25">
      <c r="C30" s="62" t="s">
        <v>135</v>
      </c>
    </row>
    <row r="31" spans="1:17" x14ac:dyDescent="0.25">
      <c r="C31" s="62" t="s">
        <v>130</v>
      </c>
    </row>
    <row r="32" spans="1:17" x14ac:dyDescent="0.25">
      <c r="C32" s="62" t="s">
        <v>108</v>
      </c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</sheetData>
  <phoneticPr fontId="0" type="noConversion"/>
  <pageMargins left="1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L43"/>
  <sheetViews>
    <sheetView showGridLines="0" zoomScaleNormal="100" workbookViewId="0">
      <selection activeCell="G17" sqref="G17"/>
    </sheetView>
  </sheetViews>
  <sheetFormatPr defaultColWidth="9.109375" defaultRowHeight="12.6" x14ac:dyDescent="0.25"/>
  <cols>
    <col min="1" max="1" width="6.44140625" style="27" customWidth="1"/>
    <col min="2" max="2" width="1.33203125" style="27" customWidth="1"/>
    <col min="3" max="3" width="30.5546875" style="27" customWidth="1"/>
    <col min="4" max="4" width="18.109375" style="27" customWidth="1"/>
    <col min="5" max="5" width="11.5546875" style="27" customWidth="1"/>
    <col min="6" max="6" width="9" style="27" customWidth="1"/>
    <col min="7" max="7" width="11.5546875" style="27" customWidth="1"/>
    <col min="8" max="8" width="9" style="27" customWidth="1"/>
    <col min="9" max="9" width="11.5546875" style="27" customWidth="1"/>
    <col min="10" max="10" width="12.44140625" style="27" customWidth="1"/>
    <col min="11" max="11" width="10" style="27" bestFit="1" customWidth="1"/>
    <col min="12" max="16384" width="9.109375" style="27"/>
  </cols>
  <sheetData>
    <row r="2" spans="1:12" ht="13.2" x14ac:dyDescent="0.25">
      <c r="J2" t="str">
        <f>Page2!$Q$1</f>
        <v>Exhibit C(G)</v>
      </c>
    </row>
    <row r="3" spans="1:12" ht="13.2" x14ac:dyDescent="0.25">
      <c r="J3" t="s">
        <v>52</v>
      </c>
    </row>
    <row r="4" spans="1:12" x14ac:dyDescent="0.25">
      <c r="I4" s="28"/>
    </row>
    <row r="5" spans="1:12" x14ac:dyDescent="0.25">
      <c r="I5" s="28"/>
    </row>
    <row r="6" spans="1:12" ht="13.2" x14ac:dyDescent="0.25">
      <c r="C6" s="178" t="str">
        <f>Page2!A5</f>
        <v>MidAmerican Energy Company</v>
      </c>
      <c r="D6" s="178"/>
      <c r="E6" s="178"/>
      <c r="F6" s="178"/>
      <c r="G6" s="178"/>
      <c r="H6" s="178"/>
      <c r="I6" s="178"/>
      <c r="J6" s="107"/>
    </row>
    <row r="7" spans="1:12" ht="13.2" x14ac:dyDescent="0.25">
      <c r="C7" s="178" t="str">
        <f>Page2!A6</f>
        <v xml:space="preserve">Gas </v>
      </c>
      <c r="D7" s="178"/>
      <c r="E7" s="178"/>
      <c r="F7" s="178"/>
      <c r="G7" s="178"/>
      <c r="H7" s="178"/>
      <c r="I7" s="178"/>
      <c r="J7" s="106"/>
    </row>
    <row r="8" spans="1:12" ht="13.2" x14ac:dyDescent="0.25">
      <c r="C8" s="178" t="s">
        <v>45</v>
      </c>
      <c r="D8" s="178"/>
      <c r="E8" s="178"/>
      <c r="F8" s="178"/>
      <c r="G8" s="178"/>
      <c r="H8" s="178"/>
      <c r="I8" s="178"/>
      <c r="J8" s="106"/>
    </row>
    <row r="9" spans="1:12" ht="13.2" x14ac:dyDescent="0.25">
      <c r="C9" s="178" t="str">
        <f>YEAR(EDATE(Page1!C14,12))&amp;" Plan Updated Expenditures"</f>
        <v>2015 Plan Updated Expenditures</v>
      </c>
      <c r="D9" s="178"/>
      <c r="E9" s="178"/>
      <c r="F9" s="178"/>
      <c r="G9" s="178"/>
      <c r="H9" s="178"/>
      <c r="I9" s="178"/>
      <c r="J9" s="106"/>
    </row>
    <row r="10" spans="1:12" x14ac:dyDescent="0.25">
      <c r="C10" s="29"/>
      <c r="D10" s="29"/>
      <c r="E10" s="29"/>
      <c r="F10" s="29"/>
      <c r="G10" s="29"/>
      <c r="H10" s="29"/>
      <c r="I10" s="29"/>
    </row>
    <row r="11" spans="1:12" ht="13.2" x14ac:dyDescent="0.25">
      <c r="A11" s="23" t="s">
        <v>1</v>
      </c>
      <c r="B11" s="23"/>
      <c r="C11" s="15"/>
      <c r="E11" s="31"/>
      <c r="F11" s="31"/>
      <c r="G11" s="30"/>
      <c r="H11" s="31"/>
      <c r="I11" s="30"/>
    </row>
    <row r="12" spans="1:12" ht="13.2" x14ac:dyDescent="0.25">
      <c r="A12" s="24" t="s">
        <v>3</v>
      </c>
      <c r="B12" s="38"/>
      <c r="C12" s="24" t="s">
        <v>20</v>
      </c>
      <c r="E12" s="36" t="s">
        <v>5</v>
      </c>
      <c r="F12" s="34"/>
      <c r="G12" s="37" t="s">
        <v>6</v>
      </c>
      <c r="H12" s="34"/>
      <c r="I12" s="36" t="s">
        <v>7</v>
      </c>
    </row>
    <row r="13" spans="1:12" ht="13.2" x14ac:dyDescent="0.25">
      <c r="C13" s="3" t="s">
        <v>8</v>
      </c>
      <c r="E13" s="3" t="s">
        <v>9</v>
      </c>
      <c r="F13" s="34"/>
      <c r="G13" s="3" t="s">
        <v>10</v>
      </c>
      <c r="H13" s="34"/>
      <c r="I13" s="3" t="s">
        <v>11</v>
      </c>
    </row>
    <row r="14" spans="1:12" ht="13.2" x14ac:dyDescent="0.25">
      <c r="C14" s="3"/>
      <c r="E14" s="3"/>
      <c r="F14" s="34"/>
      <c r="G14" s="3"/>
      <c r="H14" s="34"/>
      <c r="I14" s="3"/>
    </row>
    <row r="15" spans="1:12" ht="13.2" x14ac:dyDescent="0.25">
      <c r="A15" s="109"/>
      <c r="B15" s="110" t="str">
        <f>YEAR(EDATE(Page1!C14,12))&amp;" Proposed Budget"</f>
        <v>2015 Proposed Budget</v>
      </c>
      <c r="C15" s="109"/>
      <c r="D15" s="109"/>
      <c r="E15" s="111"/>
      <c r="F15" s="112"/>
      <c r="G15" s="111"/>
      <c r="H15" s="112"/>
      <c r="I15" s="111"/>
    </row>
    <row r="16" spans="1:12" ht="13.2" x14ac:dyDescent="0.25">
      <c r="A16" s="111" t="s">
        <v>33</v>
      </c>
      <c r="B16" s="109"/>
      <c r="C16" s="109" t="s">
        <v>71</v>
      </c>
      <c r="D16" s="113" t="s">
        <v>12</v>
      </c>
      <c r="E16" s="162">
        <v>722077</v>
      </c>
      <c r="F16" s="133" t="s">
        <v>12</v>
      </c>
      <c r="G16" s="162">
        <v>143915</v>
      </c>
      <c r="H16" s="113" t="s">
        <v>12</v>
      </c>
      <c r="I16" s="114">
        <f>E16+G16</f>
        <v>865992</v>
      </c>
      <c r="K16" s="42"/>
      <c r="L16" s="28"/>
    </row>
    <row r="17" spans="1:12" ht="13.2" x14ac:dyDescent="0.25">
      <c r="A17" s="111" t="s">
        <v>34</v>
      </c>
      <c r="B17" s="109"/>
      <c r="C17" s="109" t="s">
        <v>72</v>
      </c>
      <c r="D17" s="109"/>
      <c r="E17" s="162">
        <v>302151</v>
      </c>
      <c r="F17" s="134"/>
      <c r="G17" s="162">
        <v>44068</v>
      </c>
      <c r="H17" s="114"/>
      <c r="I17" s="114">
        <f>E17+G17</f>
        <v>346219</v>
      </c>
      <c r="K17" s="41"/>
    </row>
    <row r="18" spans="1:12" ht="13.2" x14ac:dyDescent="0.25">
      <c r="A18" s="111" t="s">
        <v>35</v>
      </c>
      <c r="B18" s="109"/>
      <c r="C18" s="109" t="s">
        <v>37</v>
      </c>
      <c r="D18" s="109"/>
      <c r="E18" s="162">
        <v>0</v>
      </c>
      <c r="F18" s="134"/>
      <c r="G18" s="162"/>
      <c r="H18" s="114"/>
      <c r="I18" s="114">
        <f>E18+G18</f>
        <v>0</v>
      </c>
      <c r="K18" s="41"/>
      <c r="L18" s="28"/>
    </row>
    <row r="19" spans="1:12" ht="13.2" x14ac:dyDescent="0.25">
      <c r="A19" s="111" t="s">
        <v>92</v>
      </c>
      <c r="B19" s="109"/>
      <c r="C19" s="109" t="s">
        <v>73</v>
      </c>
      <c r="D19" s="109"/>
      <c r="E19" s="162">
        <v>0</v>
      </c>
      <c r="F19" s="134"/>
      <c r="G19" s="162">
        <v>31236</v>
      </c>
      <c r="H19" s="114"/>
      <c r="I19" s="114">
        <f>E19+G19</f>
        <v>31236</v>
      </c>
      <c r="K19" s="41"/>
    </row>
    <row r="20" spans="1:12" ht="13.2" x14ac:dyDescent="0.25">
      <c r="A20" s="109"/>
      <c r="B20" s="109"/>
      <c r="C20" s="109"/>
      <c r="D20" s="109"/>
      <c r="E20" s="163"/>
      <c r="F20" s="134"/>
      <c r="G20" s="163"/>
      <c r="H20" s="115"/>
      <c r="I20" s="115"/>
      <c r="K20" s="35"/>
    </row>
    <row r="21" spans="1:12" ht="13.8" thickBot="1" x14ac:dyDescent="0.3">
      <c r="A21" s="111" t="s">
        <v>85</v>
      </c>
      <c r="B21" s="109"/>
      <c r="C21" s="109" t="str">
        <f>"Total "&amp;YEAR(EDATE(Page1!C14,12))&amp;" Approved Costs"</f>
        <v>Total 2015 Approved Costs</v>
      </c>
      <c r="D21" s="113" t="s">
        <v>12</v>
      </c>
      <c r="E21" s="164">
        <f>SUM(E16:E19)</f>
        <v>1024228</v>
      </c>
      <c r="F21" s="133" t="s">
        <v>12</v>
      </c>
      <c r="G21" s="164">
        <f>SUM(G16:G19)</f>
        <v>219219</v>
      </c>
      <c r="H21" s="113" t="s">
        <v>12</v>
      </c>
      <c r="I21" s="116">
        <f>SUM(I16:I19)</f>
        <v>1243447</v>
      </c>
      <c r="K21" s="35"/>
    </row>
    <row r="22" spans="1:12" ht="13.8" thickTop="1" x14ac:dyDescent="0.25">
      <c r="A22" s="109"/>
      <c r="B22" s="109"/>
      <c r="C22" s="109"/>
      <c r="D22" s="109"/>
      <c r="E22" s="117"/>
      <c r="F22" s="109"/>
      <c r="G22" s="117"/>
      <c r="H22" s="109"/>
      <c r="I22" s="117"/>
      <c r="K22" s="35"/>
    </row>
    <row r="23" spans="1:12" ht="13.2" x14ac:dyDescent="0.25">
      <c r="A23" s="109"/>
      <c r="B23" s="110" t="s">
        <v>74</v>
      </c>
      <c r="C23" s="109"/>
      <c r="D23" s="109"/>
      <c r="E23" s="118"/>
      <c r="F23" s="109"/>
      <c r="G23" s="118"/>
      <c r="H23" s="109"/>
      <c r="I23" s="118"/>
    </row>
    <row r="24" spans="1:12" ht="13.2" x14ac:dyDescent="0.25">
      <c r="A24" s="111" t="s">
        <v>86</v>
      </c>
      <c r="B24" s="109"/>
      <c r="C24" s="119" t="s">
        <v>75</v>
      </c>
      <c r="D24" s="120" t="s">
        <v>12</v>
      </c>
      <c r="E24" s="121">
        <v>74878</v>
      </c>
      <c r="F24" s="120" t="s">
        <v>12</v>
      </c>
      <c r="G24" s="121">
        <v>122525</v>
      </c>
      <c r="H24" s="113" t="s">
        <v>12</v>
      </c>
      <c r="I24" s="114">
        <f>E24+G24</f>
        <v>197403</v>
      </c>
      <c r="J24" s="33"/>
    </row>
    <row r="25" spans="1:12" ht="13.2" x14ac:dyDescent="0.25">
      <c r="A25" s="111" t="s">
        <v>87</v>
      </c>
      <c r="B25" s="109"/>
      <c r="C25" s="119" t="s">
        <v>145</v>
      </c>
      <c r="D25" s="109"/>
      <c r="E25" s="121">
        <f>I39*8953082</f>
        <v>60612.365140000002</v>
      </c>
      <c r="F25" s="109"/>
      <c r="G25" s="121">
        <f>I40*7050643</f>
        <v>97792.418409999998</v>
      </c>
      <c r="H25" s="109"/>
      <c r="I25" s="114">
        <f>E25+G25</f>
        <v>158404.78354999999</v>
      </c>
      <c r="J25" s="28"/>
    </row>
    <row r="26" spans="1:12" ht="13.2" x14ac:dyDescent="0.25">
      <c r="A26" s="111" t="s">
        <v>54</v>
      </c>
      <c r="B26" s="109"/>
      <c r="C26" s="119" t="s">
        <v>76</v>
      </c>
      <c r="D26" s="109"/>
      <c r="E26" s="121">
        <f>I39*7226986</f>
        <v>48926.695220000001</v>
      </c>
      <c r="F26" s="109"/>
      <c r="G26" s="121">
        <f>I40*5643499</f>
        <v>78275.331130000006</v>
      </c>
      <c r="H26" s="113"/>
      <c r="I26" s="114">
        <f>E26+G26</f>
        <v>127202.02635</v>
      </c>
      <c r="J26" s="28"/>
    </row>
    <row r="27" spans="1:12" ht="13.2" x14ac:dyDescent="0.25">
      <c r="A27" s="111" t="s">
        <v>55</v>
      </c>
      <c r="B27" s="109"/>
      <c r="C27" s="119"/>
      <c r="D27" s="109"/>
      <c r="E27" s="121"/>
      <c r="F27" s="109"/>
      <c r="G27" s="121"/>
      <c r="H27" s="113"/>
      <c r="I27" s="114"/>
      <c r="J27" s="28"/>
    </row>
    <row r="28" spans="1:12" ht="13.8" thickBot="1" x14ac:dyDescent="0.3">
      <c r="A28" s="111" t="s">
        <v>41</v>
      </c>
      <c r="B28" s="109"/>
      <c r="C28" s="109" t="s">
        <v>77</v>
      </c>
      <c r="D28" s="120" t="s">
        <v>12</v>
      </c>
      <c r="E28" s="122">
        <f>SUM(E24:E26)</f>
        <v>184417.06036</v>
      </c>
      <c r="F28" s="120" t="s">
        <v>12</v>
      </c>
      <c r="G28" s="122">
        <f>SUM(G24:G26)</f>
        <v>298592.74953999999</v>
      </c>
      <c r="H28" s="120" t="s">
        <v>12</v>
      </c>
      <c r="I28" s="122">
        <f>SUM(I24:I26)</f>
        <v>483009.80989999999</v>
      </c>
      <c r="J28" s="28"/>
    </row>
    <row r="29" spans="1:12" ht="13.8" thickTop="1" x14ac:dyDescent="0.25">
      <c r="A29" s="109"/>
      <c r="B29" s="109"/>
      <c r="C29" s="119"/>
      <c r="D29" s="109"/>
      <c r="E29" s="109"/>
      <c r="F29" s="109"/>
      <c r="G29" s="109"/>
      <c r="H29" s="113"/>
      <c r="I29" s="118"/>
      <c r="J29" s="28"/>
    </row>
    <row r="30" spans="1:12" ht="13.8" thickBot="1" x14ac:dyDescent="0.3">
      <c r="A30" s="111" t="s">
        <v>42</v>
      </c>
      <c r="B30" s="110" t="s">
        <v>78</v>
      </c>
      <c r="C30" s="109"/>
      <c r="D30" s="120" t="s">
        <v>12</v>
      </c>
      <c r="E30" s="123">
        <f>E21-E28</f>
        <v>839810.93964</v>
      </c>
      <c r="F30" s="120" t="s">
        <v>12</v>
      </c>
      <c r="G30" s="123">
        <f>G21-G28</f>
        <v>-79373.74953999999</v>
      </c>
      <c r="H30" s="120" t="s">
        <v>12</v>
      </c>
      <c r="I30" s="123">
        <f>I21-I28</f>
        <v>760437.19010000001</v>
      </c>
      <c r="J30" s="28"/>
    </row>
    <row r="31" spans="1:12" ht="13.8" thickTop="1" x14ac:dyDescent="0.25">
      <c r="A31" s="109"/>
      <c r="B31" s="109"/>
      <c r="C31" s="119"/>
      <c r="D31" s="109"/>
      <c r="E31" s="109"/>
      <c r="F31" s="109"/>
      <c r="G31" s="109"/>
      <c r="H31" s="113"/>
      <c r="I31" s="118"/>
      <c r="J31" s="28"/>
    </row>
    <row r="32" spans="1:12" ht="13.2" x14ac:dyDescent="0.25">
      <c r="A32" s="109"/>
      <c r="B32" s="109"/>
      <c r="C32" s="119"/>
      <c r="D32" s="109"/>
      <c r="E32" s="109"/>
      <c r="F32" s="109"/>
      <c r="G32" s="109"/>
      <c r="H32" s="113"/>
      <c r="I32" s="118"/>
      <c r="J32" s="28"/>
    </row>
    <row r="33" spans="1:9" ht="13.2" x14ac:dyDescent="0.25">
      <c r="A33" s="109"/>
      <c r="B33" s="109" t="s">
        <v>82</v>
      </c>
      <c r="C33" s="120"/>
      <c r="D33" s="113"/>
      <c r="E33" s="118"/>
      <c r="F33" s="113"/>
      <c r="G33" s="118"/>
      <c r="H33" s="109"/>
      <c r="I33" s="109"/>
    </row>
    <row r="34" spans="1:9" ht="13.2" x14ac:dyDescent="0.25">
      <c r="A34" s="109"/>
      <c r="B34" s="109"/>
      <c r="C34" s="109" t="str">
        <f>"Lines 1 through 5 are proposed "&amp;YEAR(EDATE(Page1!C14,12))&amp;" budgets."</f>
        <v>Lines 1 through 5 are proposed 2015 budgets.</v>
      </c>
      <c r="D34" s="109"/>
      <c r="E34" s="124"/>
      <c r="F34" s="124"/>
      <c r="G34" s="124"/>
      <c r="H34" s="124"/>
      <c r="I34" s="124"/>
    </row>
    <row r="35" spans="1:9" ht="13.2" x14ac:dyDescent="0.25">
      <c r="A35" s="109"/>
      <c r="B35" s="109"/>
      <c r="C35" s="109" t="s">
        <v>149</v>
      </c>
      <c r="D35" s="109"/>
      <c r="E35" s="124"/>
      <c r="F35" s="124"/>
      <c r="G35" s="124"/>
      <c r="H35" s="124"/>
      <c r="I35" s="124"/>
    </row>
    <row r="36" spans="1:9" ht="13.2" x14ac:dyDescent="0.25">
      <c r="A36" s="109"/>
      <c r="B36" s="109"/>
      <c r="C36" s="109" t="s">
        <v>150</v>
      </c>
      <c r="D36" s="109"/>
      <c r="E36" s="124"/>
      <c r="F36" s="124"/>
      <c r="G36" s="124"/>
      <c r="H36" s="124"/>
      <c r="I36" s="124"/>
    </row>
    <row r="37" spans="1:9" ht="13.2" x14ac:dyDescent="0.25">
      <c r="A37" s="109"/>
      <c r="B37" s="109"/>
      <c r="C37" s="119" t="s">
        <v>84</v>
      </c>
      <c r="D37" s="109"/>
      <c r="E37" s="124"/>
      <c r="F37" s="124"/>
      <c r="G37" s="124"/>
      <c r="H37" s="124"/>
      <c r="I37" s="124"/>
    </row>
    <row r="38" spans="1:9" ht="13.2" x14ac:dyDescent="0.25">
      <c r="A38" s="109"/>
      <c r="B38" s="109"/>
      <c r="C38" s="119"/>
      <c r="D38" s="109"/>
      <c r="E38" s="124"/>
      <c r="F38" s="124"/>
      <c r="G38" s="124"/>
      <c r="H38" s="124"/>
      <c r="I38" s="124"/>
    </row>
    <row r="39" spans="1:9" ht="13.2" x14ac:dyDescent="0.25">
      <c r="A39" s="109"/>
      <c r="B39" s="109"/>
      <c r="C39" s="109"/>
      <c r="D39" s="109"/>
      <c r="E39" s="124"/>
      <c r="F39" s="124"/>
      <c r="G39" s="109" t="s">
        <v>5</v>
      </c>
      <c r="H39" s="124"/>
      <c r="I39" s="165">
        <v>6.77E-3</v>
      </c>
    </row>
    <row r="40" spans="1:9" ht="13.2" x14ac:dyDescent="0.25">
      <c r="A40" s="109"/>
      <c r="B40" s="109"/>
      <c r="C40" s="109"/>
      <c r="D40" s="109"/>
      <c r="E40" s="124"/>
      <c r="F40" s="124"/>
      <c r="G40" s="109" t="s">
        <v>6</v>
      </c>
      <c r="H40" s="124"/>
      <c r="I40" s="165">
        <v>1.387E-2</v>
      </c>
    </row>
    <row r="41" spans="1:9" ht="13.2" x14ac:dyDescent="0.25">
      <c r="A41" s="109"/>
      <c r="B41" s="109"/>
      <c r="C41" s="109"/>
      <c r="D41" s="109"/>
      <c r="E41" s="124"/>
      <c r="F41" s="124"/>
      <c r="G41" s="124"/>
      <c r="H41" s="124"/>
      <c r="I41" s="124"/>
    </row>
    <row r="42" spans="1:9" ht="13.2" x14ac:dyDescent="0.25">
      <c r="A42" s="109"/>
      <c r="B42" s="109"/>
      <c r="C42" s="109" t="s">
        <v>107</v>
      </c>
      <c r="D42" s="109"/>
      <c r="E42" s="124"/>
      <c r="F42" s="124"/>
      <c r="G42" s="124"/>
      <c r="H42" s="124"/>
      <c r="I42" s="124"/>
    </row>
    <row r="43" spans="1:9" x14ac:dyDescent="0.25">
      <c r="E43" s="32"/>
      <c r="F43" s="32"/>
      <c r="G43" s="32"/>
      <c r="H43" s="32"/>
      <c r="I43" s="32"/>
    </row>
  </sheetData>
  <mergeCells count="4">
    <mergeCell ref="C6:I6"/>
    <mergeCell ref="C7:I7"/>
    <mergeCell ref="C8:I8"/>
    <mergeCell ref="C9:I9"/>
  </mergeCells>
  <phoneticPr fontId="0" type="noConversion"/>
  <printOptions horizontalCentered="1"/>
  <pageMargins left="0.28000000000000003" right="0.45" top="0.51" bottom="0.48" header="0.17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zoomScaleNormal="100" zoomScaleSheetLayoutView="100" workbookViewId="0">
      <selection activeCell="E20" sqref="E20:K21"/>
    </sheetView>
  </sheetViews>
  <sheetFormatPr defaultRowHeight="13.2" x14ac:dyDescent="0.25"/>
  <cols>
    <col min="1" max="1" width="6.6640625" customWidth="1"/>
    <col min="2" max="2" width="10.44140625" customWidth="1"/>
    <col min="3" max="3" width="3.109375" customWidth="1"/>
    <col min="4" max="4" width="1.88671875" customWidth="1"/>
    <col min="5" max="5" width="18.109375" customWidth="1"/>
    <col min="6" max="6" width="1.5546875" customWidth="1"/>
    <col min="7" max="7" width="2" customWidth="1"/>
    <col min="8" max="8" width="16.109375" customWidth="1"/>
    <col min="9" max="10" width="2.33203125" customWidth="1"/>
    <col min="11" max="11" width="13.88671875" customWidth="1"/>
    <col min="12" max="13" width="2.44140625" customWidth="1"/>
    <col min="14" max="14" width="12.44140625" customWidth="1"/>
    <col min="15" max="15" width="3.88671875" customWidth="1"/>
    <col min="16" max="16" width="2" customWidth="1"/>
    <col min="17" max="17" width="13.6640625" customWidth="1"/>
    <col min="20" max="20" width="18" bestFit="1" customWidth="1"/>
  </cols>
  <sheetData>
    <row r="1" spans="1:17" x14ac:dyDescent="0.25">
      <c r="Q1" t="str">
        <f>Page3!$J$2</f>
        <v>Exhibit C(G)</v>
      </c>
    </row>
    <row r="2" spans="1:17" x14ac:dyDescent="0.25">
      <c r="Q2" t="s">
        <v>53</v>
      </c>
    </row>
    <row r="4" spans="1:17" x14ac:dyDescent="0.25">
      <c r="A4" s="21"/>
      <c r="B4" s="21"/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1" t="str">
        <f>Page1!A2</f>
        <v>MidAmerican Energy Company</v>
      </c>
      <c r="B5" s="21"/>
      <c r="C5" s="21"/>
      <c r="D5" s="21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1" t="str">
        <f>Page1!A3</f>
        <v xml:space="preserve">Gas </v>
      </c>
      <c r="B6" s="21"/>
      <c r="C6" s="21"/>
      <c r="D6" s="21"/>
      <c r="E6" s="21"/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21" t="str">
        <f>Page1!A4</f>
        <v>Contemporaneous Costs</v>
      </c>
      <c r="B7" s="2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21" t="str">
        <f>YEAR(Page1!C14)&amp;" Incentive Reconciliation"</f>
        <v>2014 Incentive Reconciliation</v>
      </c>
      <c r="B8" s="21"/>
      <c r="C8" s="21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21" t="str">
        <f>Page1!A6</f>
        <v>January 2014 - December 2014</v>
      </c>
      <c r="B9" s="21"/>
      <c r="C9" s="21"/>
      <c r="D9" s="21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E10" s="3"/>
      <c r="F10" s="3"/>
    </row>
    <row r="11" spans="1:17" x14ac:dyDescent="0.25">
      <c r="E11" s="3"/>
      <c r="F11" s="3"/>
      <c r="N11" s="23" t="s">
        <v>14</v>
      </c>
    </row>
    <row r="12" spans="1:17" x14ac:dyDescent="0.25">
      <c r="E12" s="23"/>
      <c r="L12" s="23"/>
      <c r="M12" s="23"/>
      <c r="N12" s="39" t="s">
        <v>59</v>
      </c>
      <c r="Q12" s="23" t="s">
        <v>62</v>
      </c>
    </row>
    <row r="13" spans="1:17" x14ac:dyDescent="0.25">
      <c r="E13" s="38">
        <f>YEAR(Page1!$C$14)</f>
        <v>2014</v>
      </c>
      <c r="H13" s="38">
        <f>YEAR(Page1!$C$14)</f>
        <v>2014</v>
      </c>
      <c r="I13" s="23"/>
      <c r="J13" s="23"/>
      <c r="K13" s="38">
        <f>YEAR(EDATE(Page1!$C$14,-12))</f>
        <v>2013</v>
      </c>
      <c r="L13" s="23"/>
      <c r="M13" s="23"/>
      <c r="N13" s="23" t="s">
        <v>27</v>
      </c>
      <c r="Q13" s="23" t="s">
        <v>17</v>
      </c>
    </row>
    <row r="14" spans="1:17" x14ac:dyDescent="0.25">
      <c r="E14" s="39" t="s">
        <v>59</v>
      </c>
      <c r="H14" s="39" t="s">
        <v>59</v>
      </c>
      <c r="I14" s="39"/>
      <c r="J14" s="39"/>
      <c r="K14" s="23" t="s">
        <v>110</v>
      </c>
      <c r="L14" s="23"/>
      <c r="M14" s="23"/>
      <c r="N14" s="23" t="s">
        <v>18</v>
      </c>
      <c r="Q14" s="23" t="s">
        <v>19</v>
      </c>
    </row>
    <row r="15" spans="1:17" x14ac:dyDescent="0.25">
      <c r="A15" s="23" t="s">
        <v>1</v>
      </c>
      <c r="E15" s="23" t="s">
        <v>93</v>
      </c>
      <c r="H15" s="23" t="s">
        <v>94</v>
      </c>
      <c r="I15" s="23"/>
      <c r="J15" s="23"/>
      <c r="K15" s="23" t="s">
        <v>98</v>
      </c>
      <c r="L15" s="23"/>
      <c r="M15" s="23"/>
      <c r="N15" s="23" t="s">
        <v>13</v>
      </c>
      <c r="Q15" s="23" t="s">
        <v>13</v>
      </c>
    </row>
    <row r="16" spans="1:17" x14ac:dyDescent="0.25">
      <c r="A16" s="24" t="s">
        <v>3</v>
      </c>
      <c r="B16" s="24" t="s">
        <v>20</v>
      </c>
      <c r="E16" s="24" t="s">
        <v>95</v>
      </c>
      <c r="F16" s="5"/>
      <c r="G16" s="5"/>
      <c r="H16" s="44" t="s">
        <v>132</v>
      </c>
      <c r="I16" s="24"/>
      <c r="J16" s="24"/>
      <c r="K16" s="24">
        <f>YEAR(Page1!$C$14)</f>
        <v>2014</v>
      </c>
      <c r="L16" s="24"/>
      <c r="M16" s="24"/>
      <c r="N16" s="24" t="s">
        <v>21</v>
      </c>
      <c r="O16" s="5"/>
      <c r="P16" s="5"/>
      <c r="Q16" s="24" t="s">
        <v>21</v>
      </c>
    </row>
    <row r="17" spans="1:20" x14ac:dyDescent="0.25">
      <c r="B17" s="4" t="s">
        <v>8</v>
      </c>
      <c r="E17" s="4" t="s">
        <v>9</v>
      </c>
      <c r="F17" s="4"/>
      <c r="H17" s="4" t="s">
        <v>10</v>
      </c>
      <c r="I17" s="4"/>
      <c r="J17" s="4"/>
      <c r="K17" s="4" t="s">
        <v>11</v>
      </c>
      <c r="L17" s="4"/>
      <c r="M17" s="4"/>
      <c r="N17" s="4" t="s">
        <v>31</v>
      </c>
      <c r="O17" s="4"/>
      <c r="Q17" s="4" t="s">
        <v>32</v>
      </c>
    </row>
    <row r="18" spans="1:20" x14ac:dyDescent="0.25">
      <c r="Q18" s="65" t="s">
        <v>146</v>
      </c>
    </row>
    <row r="20" spans="1:20" x14ac:dyDescent="0.25">
      <c r="A20" s="4" t="s">
        <v>22</v>
      </c>
      <c r="B20" t="s">
        <v>5</v>
      </c>
      <c r="D20" s="10" t="s">
        <v>12</v>
      </c>
      <c r="E20" s="121">
        <v>94582</v>
      </c>
      <c r="F20" s="166"/>
      <c r="G20" s="167" t="s">
        <v>12</v>
      </c>
      <c r="H20" s="121">
        <f>Page1!E27*0.08378</f>
        <v>147293.36666</v>
      </c>
      <c r="I20" s="121"/>
      <c r="J20" s="167" t="s">
        <v>12</v>
      </c>
      <c r="K20" s="121">
        <v>-74778</v>
      </c>
      <c r="L20" s="12"/>
      <c r="M20" s="18" t="s">
        <v>12</v>
      </c>
      <c r="N20" s="12">
        <f>Page1!Q27</f>
        <v>101514.72365304001</v>
      </c>
      <c r="O20" s="8"/>
      <c r="P20" s="10" t="s">
        <v>12</v>
      </c>
      <c r="Q20" s="19">
        <f>IF(H23&lt;E23,H20+K20-N20,E20+K20-N20)</f>
        <v>-81710.723653040011</v>
      </c>
      <c r="S20" s="11"/>
      <c r="T20" s="135"/>
    </row>
    <row r="21" spans="1:20" x14ac:dyDescent="0.25">
      <c r="A21" s="4" t="s">
        <v>23</v>
      </c>
      <c r="B21" t="s">
        <v>6</v>
      </c>
      <c r="E21" s="168">
        <v>29625</v>
      </c>
      <c r="F21" s="62"/>
      <c r="G21" s="62"/>
      <c r="H21" s="168">
        <f>Page1!E47*0.08378</f>
        <v>22427.403319999998</v>
      </c>
      <c r="I21" s="169"/>
      <c r="J21" s="169"/>
      <c r="K21" s="168">
        <v>-9567</v>
      </c>
      <c r="L21" s="18"/>
      <c r="N21" s="14">
        <f>Page1!Q47</f>
        <v>26678.966457191163</v>
      </c>
      <c r="Q21" s="128">
        <f>IF(H23&lt;E23,H21+K21-N21,E21+K21-N21)</f>
        <v>-6620.9664571911635</v>
      </c>
      <c r="S21" s="11"/>
      <c r="T21" s="135"/>
    </row>
    <row r="22" spans="1:20" x14ac:dyDescent="0.25">
      <c r="A22" s="4"/>
      <c r="H22" s="18"/>
      <c r="I22" s="18"/>
      <c r="J22" s="18"/>
      <c r="K22" s="18"/>
      <c r="L22" s="18"/>
      <c r="M22" s="18"/>
      <c r="N22" s="18"/>
      <c r="Q22" s="19"/>
    </row>
    <row r="23" spans="1:20" ht="13.8" thickBot="1" x14ac:dyDescent="0.3">
      <c r="A23" s="4" t="s">
        <v>24</v>
      </c>
      <c r="B23" t="s">
        <v>7</v>
      </c>
      <c r="D23" s="10" t="s">
        <v>12</v>
      </c>
      <c r="E23" s="17">
        <f>SUM(E20:E21)</f>
        <v>124207</v>
      </c>
      <c r="F23" s="16"/>
      <c r="G23" s="10" t="s">
        <v>12</v>
      </c>
      <c r="H23" s="17">
        <f>SUM(H20:H21)</f>
        <v>169720.76997999998</v>
      </c>
      <c r="I23" s="18"/>
      <c r="J23" s="10" t="s">
        <v>12</v>
      </c>
      <c r="K23" s="22">
        <f>SUM(K20:K21)</f>
        <v>-84345</v>
      </c>
      <c r="L23" s="18"/>
      <c r="M23" s="53" t="s">
        <v>12</v>
      </c>
      <c r="N23" s="17">
        <f>SUM(N20:N21)</f>
        <v>128193.69011023117</v>
      </c>
      <c r="O23" s="16"/>
      <c r="P23" s="10" t="s">
        <v>12</v>
      </c>
      <c r="Q23" s="22">
        <f>SUM(Q20:Q21)</f>
        <v>-88331.690110231168</v>
      </c>
    </row>
    <row r="24" spans="1:20" ht="13.8" thickTop="1" x14ac:dyDescent="0.25"/>
    <row r="25" spans="1:20" x14ac:dyDescent="0.25">
      <c r="E25" s="108"/>
    </row>
    <row r="27" spans="1:20" x14ac:dyDescent="0.25">
      <c r="C27" t="s">
        <v>82</v>
      </c>
    </row>
    <row r="28" spans="1:20" x14ac:dyDescent="0.25">
      <c r="C28" s="62" t="s">
        <v>105</v>
      </c>
    </row>
    <row r="29" spans="1:20" x14ac:dyDescent="0.25">
      <c r="C29" s="62" t="s">
        <v>151</v>
      </c>
    </row>
    <row r="30" spans="1:20" x14ac:dyDescent="0.25">
      <c r="D30" s="43" t="s">
        <v>91</v>
      </c>
    </row>
    <row r="31" spans="1:20" x14ac:dyDescent="0.25">
      <c r="C31" s="62" t="s">
        <v>106</v>
      </c>
    </row>
    <row r="32" spans="1:20" x14ac:dyDescent="0.25">
      <c r="C32" s="62" t="s">
        <v>131</v>
      </c>
    </row>
    <row r="33" spans="3:12" x14ac:dyDescent="0.25">
      <c r="C33" s="62" t="s">
        <v>155</v>
      </c>
      <c r="D33" s="125"/>
      <c r="E33" s="125"/>
      <c r="F33" s="125"/>
      <c r="G33" s="125"/>
      <c r="H33" s="125"/>
      <c r="I33" s="125"/>
      <c r="J33" s="125"/>
      <c r="K33" s="125"/>
      <c r="L33" s="125"/>
    </row>
    <row r="35" spans="3:12" x14ac:dyDescent="0.25">
      <c r="E35" s="2"/>
    </row>
    <row r="36" spans="3:12" x14ac:dyDescent="0.25">
      <c r="E36" s="2"/>
    </row>
    <row r="37" spans="3:12" x14ac:dyDescent="0.25">
      <c r="E37" s="2"/>
    </row>
    <row r="38" spans="3:12" x14ac:dyDescent="0.25">
      <c r="E38" s="2"/>
    </row>
    <row r="39" spans="3:12" x14ac:dyDescent="0.25">
      <c r="E39" s="2"/>
    </row>
    <row r="40" spans="3:12" x14ac:dyDescent="0.25">
      <c r="E40" s="2"/>
    </row>
    <row r="41" spans="3:12" x14ac:dyDescent="0.25">
      <c r="E41" s="2"/>
    </row>
    <row r="42" spans="3:12" x14ac:dyDescent="0.25">
      <c r="E42" s="2"/>
    </row>
    <row r="43" spans="3:12" x14ac:dyDescent="0.25">
      <c r="E43" s="2"/>
    </row>
  </sheetData>
  <phoneticPr fontId="0" type="noConversion"/>
  <pageMargins left="1" right="0.5" top="0.7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Z47"/>
  <sheetViews>
    <sheetView showGridLines="0" tabSelected="1" zoomScaleNormal="100" workbookViewId="0">
      <selection activeCell="Y38" sqref="Y38"/>
    </sheetView>
  </sheetViews>
  <sheetFormatPr defaultRowHeight="13.2" x14ac:dyDescent="0.25"/>
  <cols>
    <col min="1" max="1" width="4.33203125" customWidth="1"/>
    <col min="2" max="2" width="2.44140625" customWidth="1"/>
    <col min="3" max="3" width="12.88671875" customWidth="1"/>
    <col min="4" max="4" width="1" customWidth="1"/>
    <col min="5" max="5" width="2" customWidth="1"/>
    <col min="6" max="6" width="10.6640625" customWidth="1"/>
    <col min="7" max="8" width="2" customWidth="1"/>
    <col min="9" max="9" width="10.6640625" customWidth="1"/>
    <col min="10" max="10" width="2.109375" customWidth="1"/>
    <col min="11" max="11" width="2" customWidth="1"/>
    <col min="12" max="12" width="10.5546875" customWidth="1"/>
    <col min="13" max="14" width="2.109375" customWidth="1"/>
    <col min="15" max="15" width="10.5546875" customWidth="1"/>
    <col min="16" max="16" width="2.33203125" customWidth="1"/>
    <col min="17" max="17" width="2.109375" customWidth="1"/>
    <col min="18" max="18" width="13.33203125" customWidth="1"/>
    <col min="19" max="19" width="1.44140625" customWidth="1"/>
    <col min="20" max="20" width="13.6640625" hidden="1" customWidth="1"/>
    <col min="21" max="21" width="1.44140625" hidden="1" customWidth="1"/>
    <col min="22" max="22" width="1.5546875" hidden="1" customWidth="1"/>
    <col min="23" max="23" width="10.33203125" hidden="1" customWidth="1"/>
    <col min="24" max="24" width="17.5546875" customWidth="1"/>
    <col min="25" max="25" width="1.5546875" customWidth="1"/>
    <col min="26" max="26" width="10.109375" customWidth="1"/>
  </cols>
  <sheetData>
    <row r="2" spans="1:26" x14ac:dyDescent="0.25">
      <c r="X2" t="str">
        <f>Page1!V2</f>
        <v>Exhibit C(G)</v>
      </c>
    </row>
    <row r="3" spans="1:26" x14ac:dyDescent="0.25">
      <c r="X3" t="s">
        <v>51</v>
      </c>
    </row>
    <row r="5" spans="1:26" x14ac:dyDescent="0.25">
      <c r="A5" s="179" t="str">
        <f>Page2!A5</f>
        <v>MidAmerican Energy Company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</row>
    <row r="6" spans="1:26" x14ac:dyDescent="0.25">
      <c r="A6" s="179" t="str">
        <f>Page2!A6</f>
        <v xml:space="preserve">Gas 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x14ac:dyDescent="0.25">
      <c r="A7" s="179" t="str">
        <f>Page2!A7</f>
        <v>Contemporaneous Costs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x14ac:dyDescent="0.25">
      <c r="A8" s="178" t="s">
        <v>101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6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6" x14ac:dyDescent="0.25">
      <c r="F10" s="3"/>
      <c r="G10" s="3"/>
      <c r="H10" s="3"/>
      <c r="I10" s="3"/>
      <c r="J10" s="3"/>
    </row>
    <row r="11" spans="1:26" x14ac:dyDescent="0.25">
      <c r="F11" s="3"/>
      <c r="G11" s="3"/>
      <c r="H11" s="3"/>
      <c r="I11" s="23" t="s">
        <v>62</v>
      </c>
      <c r="J11" s="3"/>
      <c r="L11" s="3"/>
      <c r="M11" s="3"/>
      <c r="N11" s="3"/>
      <c r="O11" s="3"/>
      <c r="P11" s="3"/>
      <c r="R11" s="3"/>
    </row>
    <row r="12" spans="1:26" x14ac:dyDescent="0.25">
      <c r="F12" s="3"/>
      <c r="G12" s="3"/>
      <c r="H12" s="3"/>
      <c r="I12" s="23" t="s">
        <v>17</v>
      </c>
      <c r="J12" s="3"/>
      <c r="L12" s="3"/>
      <c r="M12" s="3"/>
      <c r="N12" s="3"/>
      <c r="O12" s="3"/>
      <c r="P12" s="3"/>
      <c r="R12" s="3"/>
    </row>
    <row r="13" spans="1:26" x14ac:dyDescent="0.25">
      <c r="F13" s="23" t="s">
        <v>60</v>
      </c>
      <c r="G13" s="23"/>
      <c r="H13" s="23"/>
      <c r="I13" s="23" t="s">
        <v>19</v>
      </c>
      <c r="J13" s="3"/>
      <c r="L13" s="38">
        <f>YEAR(Page1!$C$14)</f>
        <v>2014</v>
      </c>
      <c r="M13" s="39"/>
      <c r="N13" s="39"/>
      <c r="O13" s="39" t="s">
        <v>59</v>
      </c>
      <c r="P13" s="3"/>
      <c r="R13" s="3"/>
      <c r="X13" s="23" t="s">
        <v>26</v>
      </c>
    </row>
    <row r="14" spans="1:26" x14ac:dyDescent="0.25">
      <c r="A14" s="15" t="s">
        <v>1</v>
      </c>
      <c r="F14" s="23" t="s">
        <v>15</v>
      </c>
      <c r="G14" s="23"/>
      <c r="H14" s="23"/>
      <c r="I14" s="23" t="s">
        <v>13</v>
      </c>
      <c r="J14" s="3"/>
      <c r="L14" s="39" t="s">
        <v>59</v>
      </c>
      <c r="M14" s="46"/>
      <c r="N14" s="46"/>
      <c r="O14" s="46" t="s">
        <v>27</v>
      </c>
      <c r="P14" s="3"/>
      <c r="R14" s="23" t="s">
        <v>25</v>
      </c>
      <c r="T14" s="3" t="s">
        <v>26</v>
      </c>
      <c r="U14" s="3"/>
      <c r="W14" s="3" t="s">
        <v>25</v>
      </c>
      <c r="X14" s="39" t="s">
        <v>80</v>
      </c>
      <c r="Y14" s="10" t="s">
        <v>56</v>
      </c>
      <c r="Z14" s="39" t="s">
        <v>57</v>
      </c>
    </row>
    <row r="15" spans="1:26" x14ac:dyDescent="0.25">
      <c r="A15" s="25" t="s">
        <v>3</v>
      </c>
      <c r="C15" s="24" t="s">
        <v>20</v>
      </c>
      <c r="F15" s="24" t="s">
        <v>27</v>
      </c>
      <c r="G15" s="24"/>
      <c r="H15" s="24"/>
      <c r="I15" s="24" t="s">
        <v>21</v>
      </c>
      <c r="J15" s="5"/>
      <c r="K15" s="5"/>
      <c r="L15" s="24" t="s">
        <v>61</v>
      </c>
      <c r="M15" s="54"/>
      <c r="N15" s="54"/>
      <c r="O15" s="24">
        <f>YEAR(EDATE(Page1!C14,12))</f>
        <v>2015</v>
      </c>
      <c r="P15" s="5"/>
      <c r="Q15" s="5"/>
      <c r="R15" s="24" t="s">
        <v>28</v>
      </c>
      <c r="S15" s="5"/>
      <c r="T15" s="5" t="s">
        <v>29</v>
      </c>
      <c r="U15" s="5"/>
      <c r="V15" s="5"/>
      <c r="W15" s="5" t="s">
        <v>30</v>
      </c>
      <c r="X15" s="24" t="s">
        <v>79</v>
      </c>
      <c r="Y15" s="54"/>
      <c r="Z15" s="44" t="s">
        <v>46</v>
      </c>
    </row>
    <row r="16" spans="1:26" x14ac:dyDescent="0.25">
      <c r="C16" s="3" t="s">
        <v>8</v>
      </c>
      <c r="F16" s="4" t="s">
        <v>9</v>
      </c>
      <c r="G16" s="4"/>
      <c r="H16" s="4"/>
      <c r="I16" s="4" t="s">
        <v>10</v>
      </c>
      <c r="J16" s="4"/>
      <c r="L16" s="3" t="s">
        <v>11</v>
      </c>
      <c r="M16" s="3"/>
      <c r="N16" s="3"/>
      <c r="O16" s="4" t="s">
        <v>31</v>
      </c>
      <c r="P16" s="4"/>
      <c r="R16" s="3" t="s">
        <v>32</v>
      </c>
      <c r="T16" s="4" t="s">
        <v>11</v>
      </c>
      <c r="U16" s="4"/>
      <c r="V16" s="3"/>
      <c r="W16" s="4" t="s">
        <v>31</v>
      </c>
      <c r="X16" s="4" t="s">
        <v>58</v>
      </c>
      <c r="Y16" s="3"/>
      <c r="Z16" s="4" t="s">
        <v>88</v>
      </c>
    </row>
    <row r="17" spans="1:26" x14ac:dyDescent="0.25">
      <c r="R17" s="4" t="s">
        <v>89</v>
      </c>
      <c r="W17" s="3"/>
      <c r="Z17" s="4" t="s">
        <v>90</v>
      </c>
    </row>
    <row r="19" spans="1:26" x14ac:dyDescent="0.25">
      <c r="A19" s="4" t="s">
        <v>22</v>
      </c>
      <c r="C19" t="s">
        <v>5</v>
      </c>
      <c r="E19" s="10" t="s">
        <v>12</v>
      </c>
      <c r="F19" s="19">
        <f>Page3!E30</f>
        <v>839810.93964</v>
      </c>
      <c r="G19" s="12"/>
      <c r="H19" s="12" t="s">
        <v>12</v>
      </c>
      <c r="I19" s="19">
        <f>Page2!Q20</f>
        <v>436101</v>
      </c>
      <c r="J19" s="8"/>
      <c r="K19" s="10" t="s">
        <v>12</v>
      </c>
      <c r="L19" s="51">
        <f>Page4!Q20</f>
        <v>-81710.723653040011</v>
      </c>
      <c r="M19" s="51"/>
      <c r="N19" s="51" t="s">
        <v>12</v>
      </c>
      <c r="O19" s="51">
        <f>Page3!$E$21*0.08378</f>
        <v>85809.82183999999</v>
      </c>
      <c r="P19" s="8"/>
      <c r="Q19" s="10" t="s">
        <v>12</v>
      </c>
      <c r="R19" s="18">
        <f>ROUND(F19+I19+L19+O19,0)</f>
        <v>1280011</v>
      </c>
      <c r="T19" s="12">
        <v>417640752</v>
      </c>
      <c r="U19" s="13"/>
      <c r="V19" t="s">
        <v>12</v>
      </c>
      <c r="W19" s="9">
        <f>ROUND(R19/T19,5)</f>
        <v>3.0599999999999998E-3</v>
      </c>
      <c r="X19" s="170">
        <v>30835126</v>
      </c>
      <c r="Z19" s="43">
        <f>ROUND(R19/X19,5)</f>
        <v>4.1509999999999998E-2</v>
      </c>
    </row>
    <row r="20" spans="1:26" x14ac:dyDescent="0.25">
      <c r="A20" s="4" t="s">
        <v>23</v>
      </c>
      <c r="C20" t="s">
        <v>6</v>
      </c>
      <c r="F20" s="20">
        <f>Page3!G30</f>
        <v>-79373.74953999999</v>
      </c>
      <c r="G20" s="18"/>
      <c r="H20" s="18"/>
      <c r="I20" s="20">
        <f>Page2!Q21</f>
        <v>-110104</v>
      </c>
      <c r="J20" s="12"/>
      <c r="K20" s="12"/>
      <c r="L20" s="48">
        <f>Page4!Q21</f>
        <v>-6620.9664571911635</v>
      </c>
      <c r="M20" s="49"/>
      <c r="N20" s="49"/>
      <c r="O20" s="48">
        <f>Page3!$G$21*0.08378</f>
        <v>18366.167819999999</v>
      </c>
      <c r="P20" s="12"/>
      <c r="Q20" s="12"/>
      <c r="R20" s="136">
        <f>ROUND(F20+I20+L20+O20,0)</f>
        <v>-177733</v>
      </c>
      <c r="T20" s="18">
        <v>14872747</v>
      </c>
      <c r="U20" s="13"/>
      <c r="W20" s="9">
        <f>ROUND(R20/T20,5)</f>
        <v>-1.1950000000000001E-2</v>
      </c>
      <c r="X20" s="170">
        <v>23973511</v>
      </c>
      <c r="Z20" s="137">
        <f>ROUND(R20/X20,5)</f>
        <v>-7.4099999999999999E-3</v>
      </c>
    </row>
    <row r="21" spans="1:26" x14ac:dyDescent="0.25">
      <c r="A21" s="3"/>
      <c r="F21" s="16"/>
      <c r="G21" s="16"/>
      <c r="H21" s="16"/>
      <c r="I21" s="16"/>
      <c r="J21" s="16"/>
      <c r="P21" s="16"/>
      <c r="Q21" s="7"/>
      <c r="R21" s="16"/>
      <c r="T21" s="13"/>
      <c r="U21" s="13"/>
    </row>
    <row r="22" spans="1:26" x14ac:dyDescent="0.25">
      <c r="A22" s="3"/>
      <c r="I22" s="8"/>
      <c r="P22" s="8"/>
      <c r="R22" s="6"/>
      <c r="T22" s="13"/>
      <c r="U22" s="13"/>
      <c r="X22" s="12"/>
    </row>
    <row r="23" spans="1:26" ht="13.8" thickBot="1" x14ac:dyDescent="0.3">
      <c r="A23" s="4" t="s">
        <v>24</v>
      </c>
      <c r="C23" t="s">
        <v>7</v>
      </c>
      <c r="E23" s="10" t="s">
        <v>12</v>
      </c>
      <c r="F23" s="22">
        <f>SUM(F19:F20)</f>
        <v>760437.19010000001</v>
      </c>
      <c r="G23" s="18"/>
      <c r="H23" s="18" t="s">
        <v>12</v>
      </c>
      <c r="I23" s="22">
        <f>SUM(I19:I22)</f>
        <v>325997</v>
      </c>
      <c r="J23" s="16"/>
      <c r="K23" s="10" t="s">
        <v>12</v>
      </c>
      <c r="L23" s="52">
        <f>SUM(L19:L20)</f>
        <v>-88331.690110231168</v>
      </c>
      <c r="M23" s="64"/>
      <c r="N23" s="64" t="s">
        <v>12</v>
      </c>
      <c r="O23" s="52">
        <f>SUM(O19:O20)</f>
        <v>104175.98965999999</v>
      </c>
      <c r="P23" s="16"/>
      <c r="Q23" s="10" t="s">
        <v>12</v>
      </c>
      <c r="R23" s="22">
        <f>SUM(R19:R22)</f>
        <v>1102278</v>
      </c>
      <c r="U23" s="13"/>
      <c r="X23" s="12"/>
    </row>
    <row r="24" spans="1:26" ht="13.8" thickTop="1" x14ac:dyDescent="0.25"/>
    <row r="26" spans="1:26" x14ac:dyDescent="0.25">
      <c r="C26" s="63" t="s">
        <v>82</v>
      </c>
    </row>
    <row r="27" spans="1:26" x14ac:dyDescent="0.25">
      <c r="E27" s="62" t="s">
        <v>102</v>
      </c>
      <c r="T27" s="11"/>
      <c r="U27" s="11"/>
      <c r="Z27" s="11"/>
    </row>
    <row r="28" spans="1:26" x14ac:dyDescent="0.25">
      <c r="E28" s="62" t="s">
        <v>103</v>
      </c>
      <c r="Z28" s="11"/>
    </row>
    <row r="29" spans="1:26" x14ac:dyDescent="0.25">
      <c r="E29" s="62" t="s">
        <v>104</v>
      </c>
    </row>
    <row r="30" spans="1:26" x14ac:dyDescent="0.25">
      <c r="C30" s="10"/>
      <c r="E30" s="62" t="s">
        <v>161</v>
      </c>
      <c r="R30" s="13"/>
    </row>
    <row r="31" spans="1:26" x14ac:dyDescent="0.25">
      <c r="F31" s="43" t="s">
        <v>91</v>
      </c>
      <c r="G31" s="43"/>
      <c r="H31" s="43"/>
      <c r="I31" s="43"/>
      <c r="Q31" s="10"/>
      <c r="R31" s="45"/>
    </row>
    <row r="32" spans="1:26" x14ac:dyDescent="0.25">
      <c r="F32" s="43"/>
      <c r="G32" s="43"/>
      <c r="H32" s="43"/>
      <c r="I32" s="43"/>
      <c r="Q32" s="10"/>
      <c r="R32" s="45"/>
    </row>
    <row r="33" spans="3:25" x14ac:dyDescent="0.25">
      <c r="Q33" s="10"/>
      <c r="R33" s="45"/>
      <c r="S33" s="45"/>
    </row>
    <row r="34" spans="3:25" x14ac:dyDescent="0.25">
      <c r="C34" s="55"/>
      <c r="D34" s="46"/>
      <c r="E34" s="55"/>
      <c r="F34" s="55"/>
      <c r="G34" s="55"/>
      <c r="H34" s="55"/>
      <c r="I34" s="46"/>
      <c r="J34" s="46"/>
      <c r="K34" s="46"/>
      <c r="L34" s="46"/>
      <c r="M34" s="46"/>
      <c r="N34" s="46"/>
      <c r="O34" s="46"/>
      <c r="P34" s="55"/>
      <c r="Q34" s="55"/>
      <c r="R34" s="46"/>
      <c r="S34" s="55"/>
      <c r="T34" s="55"/>
      <c r="U34" s="46"/>
      <c r="V34" s="55"/>
      <c r="W34" s="46"/>
      <c r="X34" s="55"/>
      <c r="Y34" s="46"/>
    </row>
    <row r="35" spans="3:25" x14ac:dyDescent="0.25">
      <c r="C35" s="55"/>
      <c r="D35" s="46"/>
      <c r="E35" s="55"/>
      <c r="F35" s="57"/>
      <c r="G35" s="47"/>
      <c r="H35" s="55"/>
      <c r="I35" s="46"/>
      <c r="J35" s="46"/>
      <c r="K35" s="46"/>
      <c r="L35" s="46"/>
      <c r="M35" s="46"/>
      <c r="N35" s="46"/>
      <c r="O35" s="46"/>
      <c r="P35" s="55"/>
      <c r="Q35" s="47"/>
      <c r="R35" s="46"/>
      <c r="S35" s="47"/>
      <c r="T35" s="55"/>
      <c r="U35" s="46"/>
      <c r="V35" s="55"/>
      <c r="W35" s="46"/>
      <c r="X35" s="55"/>
      <c r="Y35" s="46"/>
    </row>
    <row r="36" spans="3:25" x14ac:dyDescent="0.25">
      <c r="C36" s="55"/>
      <c r="D36" s="55"/>
      <c r="E36" s="55"/>
      <c r="F36" s="58"/>
      <c r="G36" s="55"/>
      <c r="H36" s="55"/>
      <c r="I36" s="47"/>
      <c r="J36" s="47"/>
      <c r="K36" s="47"/>
      <c r="L36" s="47"/>
      <c r="M36" s="47"/>
      <c r="N36" s="47"/>
      <c r="O36" s="47"/>
      <c r="P36" s="55"/>
      <c r="Q36" s="55"/>
      <c r="R36" s="47"/>
      <c r="S36" s="55"/>
      <c r="T36" s="55"/>
      <c r="U36" s="58"/>
      <c r="V36" s="55"/>
      <c r="W36" s="58"/>
      <c r="X36" s="55"/>
      <c r="Y36" s="58"/>
    </row>
    <row r="37" spans="3:25" x14ac:dyDescent="0.2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8"/>
      <c r="V37" s="55"/>
      <c r="W37" s="55"/>
      <c r="X37" s="55"/>
      <c r="Y37" s="58"/>
    </row>
    <row r="38" spans="3:25" x14ac:dyDescent="0.25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3:25" x14ac:dyDescent="0.25">
      <c r="C39" s="55"/>
      <c r="D39" s="59"/>
      <c r="E39" s="55"/>
      <c r="F39" s="55"/>
      <c r="G39" s="55"/>
      <c r="H39" s="55"/>
      <c r="I39" s="50"/>
      <c r="J39" s="50"/>
      <c r="K39" s="50"/>
      <c r="L39" s="50"/>
      <c r="M39" s="50"/>
      <c r="N39" s="50"/>
      <c r="O39" s="50"/>
      <c r="P39" s="55"/>
      <c r="Q39" s="55"/>
      <c r="R39" s="50"/>
      <c r="S39" s="55"/>
      <c r="T39" s="55"/>
      <c r="U39" s="50"/>
      <c r="V39" s="55"/>
      <c r="W39" s="60"/>
      <c r="X39" s="55"/>
      <c r="Y39" s="18"/>
    </row>
    <row r="40" spans="3:25" x14ac:dyDescent="0.25">
      <c r="C40" s="55"/>
      <c r="D40" s="59"/>
      <c r="E40" s="55"/>
      <c r="F40" s="55"/>
      <c r="G40" s="55"/>
      <c r="H40" s="55"/>
      <c r="I40" s="49"/>
      <c r="J40" s="49"/>
      <c r="K40" s="49"/>
      <c r="L40" s="49"/>
      <c r="M40" s="49"/>
      <c r="N40" s="49"/>
      <c r="O40" s="49"/>
      <c r="P40" s="55"/>
      <c r="Q40" s="55"/>
      <c r="R40" s="49"/>
      <c r="S40" s="55"/>
      <c r="T40" s="55"/>
      <c r="U40" s="49"/>
      <c r="V40" s="55"/>
      <c r="W40" s="60"/>
      <c r="X40" s="55"/>
      <c r="Y40" s="18"/>
    </row>
    <row r="41" spans="3:25" x14ac:dyDescent="0.25">
      <c r="C41" s="55"/>
      <c r="D41" s="5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3:25" x14ac:dyDescent="0.25">
      <c r="C42" s="55"/>
      <c r="D42" s="59"/>
      <c r="E42" s="55"/>
      <c r="F42" s="55"/>
      <c r="G42" s="55"/>
      <c r="H42" s="55"/>
      <c r="I42" s="50"/>
      <c r="J42" s="50"/>
      <c r="K42" s="50"/>
      <c r="L42" s="50"/>
      <c r="M42" s="50"/>
      <c r="N42" s="50"/>
      <c r="O42" s="50"/>
      <c r="P42" s="55"/>
      <c r="Q42" s="55"/>
      <c r="R42" s="50"/>
      <c r="S42" s="55"/>
      <c r="T42" s="55"/>
      <c r="U42" s="50"/>
      <c r="V42" s="55"/>
      <c r="W42" s="55"/>
      <c r="X42" s="55"/>
      <c r="Y42" s="55"/>
    </row>
    <row r="47" spans="3:25" x14ac:dyDescent="0.25">
      <c r="F47" s="50"/>
      <c r="G47" s="50"/>
      <c r="H47" s="50"/>
      <c r="I47" s="50"/>
    </row>
  </sheetData>
  <mergeCells count="4">
    <mergeCell ref="A5:Z5"/>
    <mergeCell ref="A6:Z6"/>
    <mergeCell ref="A7:Z7"/>
    <mergeCell ref="A8:Z8"/>
  </mergeCells>
  <phoneticPr fontId="0" type="noConversion"/>
  <pageMargins left="0.52" right="0.3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Page1!Print_Area</vt:lpstr>
      <vt:lpstr>Page2!Print_Area</vt:lpstr>
      <vt:lpstr>Page3!Print_Area</vt:lpstr>
      <vt:lpstr>Page4!Print_Area</vt:lpstr>
      <vt:lpstr>Page5!Print_Area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rev95</dc:title>
  <dc:subject>monthly revenue entries</dc:subject>
  <dc:creator>Energy Services</dc:creator>
  <cp:keywords>revenue, amortization</cp:keywords>
  <cp:lastModifiedBy>Douglas, Tina  (PUC)</cp:lastModifiedBy>
  <cp:lastPrinted>2015-02-20T15:30:25Z</cp:lastPrinted>
  <dcterms:created xsi:type="dcterms:W3CDTF">1999-02-08T21:29:17Z</dcterms:created>
  <dcterms:modified xsi:type="dcterms:W3CDTF">2015-04-01T13:06:28Z</dcterms:modified>
</cp:coreProperties>
</file>