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M:\PUC\WEB\Internet\commission\Dockets\electric\2022\EL22-003\"/>
    </mc:Choice>
  </mc:AlternateContent>
  <xr:revisionPtr revIDLastSave="0" documentId="8_{656025E9-F0FE-4D23-A590-EFF7E8565C8E}" xr6:coauthVersionLast="47" xr6:coauthVersionMax="47" xr10:uidLastSave="{00000000-0000-0000-0000-000000000000}"/>
  <bookViews>
    <workbookView xWindow="1125" yWindow="1125" windowWidth="17280" windowHeight="8955" tabRatio="778" xr2:uid="{00000000-000D-0000-FFFF-FFFF00000000}"/>
  </bookViews>
  <sheets>
    <sheet name="Nonlevelized-IOU" sheetId="47" r:id="rId1"/>
    <sheet name="Plant Balance" sheetId="9" r:id="rId2"/>
    <sheet name="Plant Balance - ARO" sheetId="38" r:id="rId3"/>
    <sheet name="Accum Depr" sheetId="11" r:id="rId4"/>
    <sheet name="Accum Depr - ARO" sheetId="39" r:id="rId5"/>
    <sheet name="CWIP" sheetId="18" r:id="rId6"/>
    <sheet name="ADIT Projection Summary" sheetId="37" r:id="rId7"/>
    <sheet name="AFUDC" sheetId="42" r:id="rId8"/>
    <sheet name="Summ EADIT_Equity AFUDC " sheetId="50" r:id="rId9"/>
    <sheet name="Inv Bal" sheetId="12" r:id="rId10"/>
    <sheet name="Prepay" sheetId="13" r:id="rId11"/>
    <sheet name="O&amp;M" sheetId="21" r:id="rId12"/>
    <sheet name="A&amp;G" sheetId="22" r:id="rId13"/>
    <sheet name="Depreciation" sheetId="14" r:id="rId14"/>
    <sheet name="Other Tax" sheetId="23" r:id="rId15"/>
    <sheet name="Amort Inves Tax Credit" sheetId="24" r:id="rId16"/>
    <sheet name="Acct 561" sheetId="25" r:id="rId17"/>
    <sheet name="Acct 565" sheetId="27" r:id="rId18"/>
    <sheet name="FERC Exp &amp; EPRI" sheetId="28" r:id="rId19"/>
    <sheet name="Labor Ratios" sheetId="15" r:id="rId20"/>
    <sheet name="Pref Stock" sheetId="26" r:id="rId21"/>
    <sheet name="Common Equity" sheetId="16" r:id="rId22"/>
    <sheet name="Acct 216.1" sheetId="29" r:id="rId23"/>
    <sheet name="Cost of Debt" sheetId="17" r:id="rId24"/>
    <sheet name="trans for others" sheetId="2" r:id="rId25"/>
    <sheet name="454 rents" sheetId="3" r:id="rId26"/>
    <sheet name="Divisor" sheetId="20" r:id="rId27"/>
    <sheet name="tax " sheetId="51" r:id="rId28"/>
    <sheet name="footnote k tax" sheetId="33" r:id="rId29"/>
    <sheet name="2020 Attach O True-Up" sheetId="46" r:id="rId30"/>
    <sheet name="prime interest rate" sheetId="32" r:id="rId31"/>
  </sheets>
  <externalReferences>
    <externalReference r:id="rId32"/>
    <externalReference r:id="rId33"/>
    <externalReference r:id="rId34"/>
    <externalReference r:id="rId35"/>
    <externalReference r:id="rId36"/>
    <externalReference r:id="rId37"/>
    <externalReference r:id="rId38"/>
    <externalReference r:id="rId39"/>
  </externalReferences>
  <definedNames>
    <definedName name="__123Graph_A" localSheetId="29" hidden="1">[1]Sheet3!#REF!</definedName>
    <definedName name="__123Graph_A" localSheetId="6" hidden="1">[1]Sheet3!#REF!</definedName>
    <definedName name="__123Graph_A" localSheetId="8" hidden="1">[1]Sheet3!#REF!</definedName>
    <definedName name="__123Graph_A" localSheetId="27" hidden="1">[1]Sheet3!#REF!</definedName>
    <definedName name="__123Graph_A" hidden="1">[1]Sheet3!#REF!</definedName>
    <definedName name="__123Graph_A1991" localSheetId="29" hidden="1">[1]Sheet3!#REF!</definedName>
    <definedName name="__123Graph_A1991" localSheetId="6" hidden="1">[1]Sheet3!#REF!</definedName>
    <definedName name="__123Graph_A1991" localSheetId="8" hidden="1">[1]Sheet3!#REF!</definedName>
    <definedName name="__123Graph_A1991" hidden="1">[1]Sheet3!#REF!</definedName>
    <definedName name="__123Graph_A1992" localSheetId="29" hidden="1">[1]Sheet3!#REF!</definedName>
    <definedName name="__123Graph_A1992" localSheetId="6" hidden="1">[1]Sheet3!#REF!</definedName>
    <definedName name="__123Graph_A1992" localSheetId="8" hidden="1">[1]Sheet3!#REF!</definedName>
    <definedName name="__123Graph_A1992" hidden="1">[1]Sheet3!#REF!</definedName>
    <definedName name="__123Graph_A1993" localSheetId="29" hidden="1">[1]Sheet3!#REF!</definedName>
    <definedName name="__123Graph_A1993" localSheetId="6" hidden="1">[1]Sheet3!#REF!</definedName>
    <definedName name="__123Graph_A1993" localSheetId="8" hidden="1">[1]Sheet3!#REF!</definedName>
    <definedName name="__123Graph_A1993" hidden="1">[1]Sheet3!#REF!</definedName>
    <definedName name="__123Graph_A1994" localSheetId="29" hidden="1">[1]Sheet3!#REF!</definedName>
    <definedName name="__123Graph_A1994" localSheetId="6" hidden="1">[1]Sheet3!#REF!</definedName>
    <definedName name="__123Graph_A1994" localSheetId="8" hidden="1">[1]Sheet3!#REF!</definedName>
    <definedName name="__123Graph_A1994" hidden="1">[1]Sheet3!#REF!</definedName>
    <definedName name="__123Graph_A1995" localSheetId="6" hidden="1">[1]Sheet3!#REF!</definedName>
    <definedName name="__123Graph_A1995" localSheetId="8" hidden="1">[1]Sheet3!#REF!</definedName>
    <definedName name="__123Graph_A1995" hidden="1">[1]Sheet3!#REF!</definedName>
    <definedName name="__123Graph_A1996" localSheetId="6" hidden="1">[1]Sheet3!#REF!</definedName>
    <definedName name="__123Graph_A1996" localSheetId="8" hidden="1">[1]Sheet3!#REF!</definedName>
    <definedName name="__123Graph_A1996" hidden="1">[1]Sheet3!#REF!</definedName>
    <definedName name="__123Graph_ABAR" localSheetId="6" hidden="1">[1]Sheet3!#REF!</definedName>
    <definedName name="__123Graph_ABAR" localSheetId="8" hidden="1">[1]Sheet3!#REF!</definedName>
    <definedName name="__123Graph_ABAR" hidden="1">[1]Sheet3!#REF!</definedName>
    <definedName name="__123Graph_B" localSheetId="6" hidden="1">[1]Sheet3!#REF!</definedName>
    <definedName name="__123Graph_B" localSheetId="8" hidden="1">[1]Sheet3!#REF!</definedName>
    <definedName name="__123Graph_B" hidden="1">[1]Sheet3!#REF!</definedName>
    <definedName name="__123Graph_B1991" localSheetId="6" hidden="1">[1]Sheet3!#REF!</definedName>
    <definedName name="__123Graph_B1991" localSheetId="8" hidden="1">[1]Sheet3!#REF!</definedName>
    <definedName name="__123Graph_B1991" hidden="1">[1]Sheet3!#REF!</definedName>
    <definedName name="__123Graph_B1992" localSheetId="6" hidden="1">[1]Sheet3!#REF!</definedName>
    <definedName name="__123Graph_B1992" localSheetId="8" hidden="1">[1]Sheet3!#REF!</definedName>
    <definedName name="__123Graph_B1992" hidden="1">[1]Sheet3!#REF!</definedName>
    <definedName name="__123Graph_B1993" localSheetId="6" hidden="1">[1]Sheet3!#REF!</definedName>
    <definedName name="__123Graph_B1993" localSheetId="8" hidden="1">[1]Sheet3!#REF!</definedName>
    <definedName name="__123Graph_B1993" hidden="1">[1]Sheet3!#REF!</definedName>
    <definedName name="__123Graph_B1994" localSheetId="6" hidden="1">[1]Sheet3!#REF!</definedName>
    <definedName name="__123Graph_B1994" localSheetId="8" hidden="1">[1]Sheet3!#REF!</definedName>
    <definedName name="__123Graph_B1994" hidden="1">[1]Sheet3!#REF!</definedName>
    <definedName name="__123Graph_B1995" localSheetId="6" hidden="1">[1]Sheet3!#REF!</definedName>
    <definedName name="__123Graph_B1995" localSheetId="8" hidden="1">[1]Sheet3!#REF!</definedName>
    <definedName name="__123Graph_B1995" hidden="1">[1]Sheet3!#REF!</definedName>
    <definedName name="__123Graph_B1996" localSheetId="6" hidden="1">[1]Sheet3!#REF!</definedName>
    <definedName name="__123Graph_B1996" localSheetId="8" hidden="1">[1]Sheet3!#REF!</definedName>
    <definedName name="__123Graph_B1996" hidden="1">[1]Sheet3!#REF!</definedName>
    <definedName name="__123Graph_BBAR" localSheetId="6" hidden="1">[1]Sheet3!#REF!</definedName>
    <definedName name="__123Graph_BBAR" localSheetId="8" hidden="1">[1]Sheet3!#REF!</definedName>
    <definedName name="__123Graph_BBAR" hidden="1">[1]Sheet3!#REF!</definedName>
    <definedName name="__123Graph_CBAR" localSheetId="6" hidden="1">[1]Sheet3!#REF!</definedName>
    <definedName name="__123Graph_CBAR" localSheetId="8" hidden="1">[1]Sheet3!#REF!</definedName>
    <definedName name="__123Graph_CBAR" hidden="1">[1]Sheet3!#REF!</definedName>
    <definedName name="__123Graph_DBAR" localSheetId="6" hidden="1">[1]Sheet3!#REF!</definedName>
    <definedName name="__123Graph_DBAR" localSheetId="8" hidden="1">[1]Sheet3!#REF!</definedName>
    <definedName name="__123Graph_DBAR" hidden="1">[1]Sheet3!#REF!</definedName>
    <definedName name="__123Graph_EBAR" localSheetId="6" hidden="1">[1]Sheet3!#REF!</definedName>
    <definedName name="__123Graph_EBAR" localSheetId="8" hidden="1">[1]Sheet3!#REF!</definedName>
    <definedName name="__123Graph_EBAR" hidden="1">[1]Sheet3!#REF!</definedName>
    <definedName name="__123Graph_FBAR" localSheetId="6" hidden="1">[1]Sheet3!#REF!</definedName>
    <definedName name="__123Graph_FBAR" localSheetId="8" hidden="1">[1]Sheet3!#REF!</definedName>
    <definedName name="__123Graph_FBAR" hidden="1">[1]Sheet3!#REF!</definedName>
    <definedName name="__123Graph_X" localSheetId="6" hidden="1">[1]Sheet3!#REF!</definedName>
    <definedName name="__123Graph_X" localSheetId="8" hidden="1">[1]Sheet3!#REF!</definedName>
    <definedName name="__123Graph_X" hidden="1">[1]Sheet3!#REF!</definedName>
    <definedName name="__123Graph_X1991" localSheetId="6" hidden="1">[1]Sheet3!#REF!</definedName>
    <definedName name="__123Graph_X1991" localSheetId="8" hidden="1">[1]Sheet3!#REF!</definedName>
    <definedName name="__123Graph_X1991" hidden="1">[1]Sheet3!#REF!</definedName>
    <definedName name="__123Graph_X1992" localSheetId="6" hidden="1">[1]Sheet3!#REF!</definedName>
    <definedName name="__123Graph_X1992" localSheetId="8" hidden="1">[1]Sheet3!#REF!</definedName>
    <definedName name="__123Graph_X1992" hidden="1">[1]Sheet3!#REF!</definedName>
    <definedName name="__123Graph_X1993" localSheetId="6" hidden="1">[1]Sheet3!#REF!</definedName>
    <definedName name="__123Graph_X1993" localSheetId="8" hidden="1">[1]Sheet3!#REF!</definedName>
    <definedName name="__123Graph_X1993" hidden="1">[1]Sheet3!#REF!</definedName>
    <definedName name="__123Graph_X1994" localSheetId="6" hidden="1">[1]Sheet3!#REF!</definedName>
    <definedName name="__123Graph_X1994" localSheetId="8" hidden="1">[1]Sheet3!#REF!</definedName>
    <definedName name="__123Graph_X1994" hidden="1">[1]Sheet3!#REF!</definedName>
    <definedName name="__123Graph_X1995" localSheetId="6" hidden="1">[1]Sheet3!#REF!</definedName>
    <definedName name="__123Graph_X1995" localSheetId="8" hidden="1">[1]Sheet3!#REF!</definedName>
    <definedName name="__123Graph_X1995" hidden="1">[1]Sheet3!#REF!</definedName>
    <definedName name="__123Graph_X1996" localSheetId="6" hidden="1">[1]Sheet3!#REF!</definedName>
    <definedName name="__123Graph_X1996" localSheetId="8" hidden="1">[1]Sheet3!#REF!</definedName>
    <definedName name="__123Graph_X1996" hidden="1">[1]Sheet3!#REF!</definedName>
    <definedName name="_FEB01" localSheetId="29" hidden="1">{#N/A,#N/A,FALSE,"EMPPAY"}</definedName>
    <definedName name="_FEB01" localSheetId="6" hidden="1">{#N/A,#N/A,FALSE,"EMPPAY"}</definedName>
    <definedName name="_FEB01" localSheetId="8" hidden="1">{#N/A,#N/A,FALSE,"EMPPAY"}</definedName>
    <definedName name="_FEB01" localSheetId="27" hidden="1">{#N/A,#N/A,FALSE,"EMPPAY"}</definedName>
    <definedName name="_FEB01" hidden="1">{#N/A,#N/A,FALSE,"EMPPAY"}</definedName>
    <definedName name="_Fill" localSheetId="6" hidden="1">'[2]Exp Detail'!#REF!</definedName>
    <definedName name="_Fill" hidden="1">'[2]Exp Detail'!#REF!</definedName>
    <definedName name="_JAN01" localSheetId="29" hidden="1">{#N/A,#N/A,FALSE,"EMPPAY"}</definedName>
    <definedName name="_JAN01" localSheetId="6" hidden="1">{#N/A,#N/A,FALSE,"EMPPAY"}</definedName>
    <definedName name="_JAN01" localSheetId="8" hidden="1">{#N/A,#N/A,FALSE,"EMPPAY"}</definedName>
    <definedName name="_JAN01" localSheetId="27" hidden="1">{#N/A,#N/A,FALSE,"EMPPAY"}</definedName>
    <definedName name="_JAN01" hidden="1">{#N/A,#N/A,FALSE,"EMPPAY"}</definedName>
    <definedName name="_JAN2001" localSheetId="29" hidden="1">{#N/A,#N/A,FALSE,"EMPPAY"}</definedName>
    <definedName name="_JAN2001" localSheetId="6" hidden="1">{#N/A,#N/A,FALSE,"EMPPAY"}</definedName>
    <definedName name="_JAN2001" localSheetId="8" hidden="1">{#N/A,#N/A,FALSE,"EMPPAY"}</definedName>
    <definedName name="_JAN2001" localSheetId="27" hidden="1">{#N/A,#N/A,FALSE,"EMPPAY"}</definedName>
    <definedName name="_JAN2001" hidden="1">{#N/A,#N/A,FALSE,"EMPPAY"}</definedName>
    <definedName name="_Key1" localSheetId="6" hidden="1">'[2]Exp Detail'!#REF!</definedName>
    <definedName name="_Key1" hidden="1">'[2]Exp Detail'!#REF!</definedName>
    <definedName name="_Key2" hidden="1">#REF!</definedName>
    <definedName name="_Order1" hidden="1">255</definedName>
    <definedName name="_Order2" hidden="1">255</definedName>
    <definedName name="_Sort" localSheetId="6" hidden="1">'[2]Exp Detail'!#REF!</definedName>
    <definedName name="_Sort" hidden="1">'[2]Exp Detail'!#REF!</definedName>
    <definedName name="A" localSheetId="29" hidden="1">{#N/A,#N/A,FALSE,"EMPPAY"}</definedName>
    <definedName name="A" localSheetId="6" hidden="1">{#N/A,#N/A,FALSE,"EMPPAY"}</definedName>
    <definedName name="A" localSheetId="8" hidden="1">{#N/A,#N/A,FALSE,"EMPPAY"}</definedName>
    <definedName name="a" localSheetId="27">"VSERV1"</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b">"V2004-10-31"</definedName>
    <definedName name="Current_Year">'[5]Electric Fund Historical'!$D$1</definedName>
    <definedName name="DEC00" localSheetId="29" hidden="1">{#N/A,#N/A,FALSE,"ARREC"}</definedName>
    <definedName name="DEC00" localSheetId="6" hidden="1">{#N/A,#N/A,FALSE,"ARREC"}</definedName>
    <definedName name="DEC00" localSheetId="8" hidden="1">{#N/A,#N/A,FALSE,"ARREC"}</definedName>
    <definedName name="DEC00" localSheetId="27" hidden="1">{#N/A,#N/A,FALSE,"ARREC"}</definedName>
    <definedName name="DEC00" hidden="1">{#N/A,#N/A,FALSE,"ARREC"}</definedName>
    <definedName name="Depr_alloc" localSheetId="8">'[6]General Plant'!#REF!</definedName>
    <definedName name="Depr_alloc" localSheetId="27">'[7]General Plant'!#REF!</definedName>
    <definedName name="Depr_alloc">'[8]General Plant'!#REF!</definedName>
    <definedName name="Deprec" localSheetId="8">'[6]General Plant'!#REF!</definedName>
    <definedName name="Deprec" localSheetId="27">'[7]General Plant'!#REF!</definedName>
    <definedName name="Deprec">'[8]General Plant'!#REF!</definedName>
    <definedName name="DIT_summary" localSheetId="8">'[6]General Plant'!#REF!</definedName>
    <definedName name="DIT_summary" localSheetId="27">'[7]General Plant'!#REF!</definedName>
    <definedName name="DIT_summary">'[8]General Plant'!#REF!</definedName>
    <definedName name="FAS_109" localSheetId="8">'[6]General Plant'!#REF!</definedName>
    <definedName name="FAS_109" localSheetId="27">'[7]General Plant'!#REF!</definedName>
    <definedName name="FAS_109">'[8]General Plant'!#REF!</definedName>
    <definedName name="FEB00" localSheetId="29" hidden="1">{#N/A,#N/A,FALSE,"ARREC"}</definedName>
    <definedName name="FEB00" localSheetId="6" hidden="1">{#N/A,#N/A,FALSE,"ARREC"}</definedName>
    <definedName name="FEB00" localSheetId="8" hidden="1">{#N/A,#N/A,FALSE,"ARREC"}</definedName>
    <definedName name="FEB00" localSheetId="27" hidden="1">{#N/A,#N/A,FALSE,"ARREC"}</definedName>
    <definedName name="FEB00" hidden="1">{#N/A,#N/A,FALSE,"ARREC"}</definedName>
    <definedName name="Hours">[3]CALCULATIONS!$C$11</definedName>
    <definedName name="MAY" localSheetId="29" hidden="1">{#N/A,#N/A,FALSE,"EMPPAY"}</definedName>
    <definedName name="MAY" localSheetId="6" hidden="1">{#N/A,#N/A,FALSE,"EMPPAY"}</definedName>
    <definedName name="MAY" localSheetId="8" hidden="1">{#N/A,#N/A,FALSE,"EMPPAY"}</definedName>
    <definedName name="MAY" localSheetId="27" hidden="1">{#N/A,#N/A,FALSE,"EMPPAY"}</definedName>
    <definedName name="MAY" hidden="1">{#N/A,#N/A,FALSE,"EMPPAY"}</definedName>
    <definedName name="NvsASD">"V2006-06-30"</definedName>
    <definedName name="NvsAutoDrillOk">"VN"</definedName>
    <definedName name="NvsElapsedTime">0.000185185184818693</definedName>
    <definedName name="NvsEndTime">38929.5522453704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"V2050-01-01"</definedName>
    <definedName name="NvsPanelSetid">"VCOMMN"</definedName>
    <definedName name="NvsReqBU">"VINC01"</definedName>
    <definedName name="NvsReqBUOnly">"VN"</definedName>
    <definedName name="NvsTransLed">"VN"</definedName>
    <definedName name="NvsTreeASD">"V2050-01-01"</definedName>
    <definedName name="NvsValTbl.ACCOUNT">"GL_ACCOUNT_TBL"</definedName>
    <definedName name="NvsValTbl.BUSINESS_UNIT">"BUS_UNIT_TBL_GL"</definedName>
    <definedName name="PAGE1" localSheetId="28">#REF!</definedName>
    <definedName name="PAGE1" localSheetId="30">#REF!</definedName>
    <definedName name="PAGE1" localSheetId="8">#REF!</definedName>
    <definedName name="PAGE1">#REF!</definedName>
    <definedName name="PAGE2" localSheetId="28">#REF!</definedName>
    <definedName name="PAGE2" localSheetId="30">#REF!</definedName>
    <definedName name="PAGE2" localSheetId="8">#REF!</definedName>
    <definedName name="PAGE2">#REF!</definedName>
    <definedName name="_xlnm.Print_Area" localSheetId="0">'Nonlevelized-IOU'!$A$1:$K$381</definedName>
    <definedName name="_xlnm.Print_Titles" localSheetId="27">'tax '!$A:$B,'tax '!$3:$5</definedName>
    <definedName name="SAPBEXrevision" hidden="1">1</definedName>
    <definedName name="SAPBEXsysID" hidden="1">"BP1"</definedName>
    <definedName name="SAPBEXwbID" hidden="1">"457N7FLFP4VKF5UHVZVNP7T9Q"</definedName>
    <definedName name="TEST" localSheetId="29" hidden="1">{#N/A,#N/A,FALSE,"EMPPAY"}</definedName>
    <definedName name="TEST" localSheetId="6" hidden="1">{#N/A,#N/A,FALSE,"EMPPAY"}</definedName>
    <definedName name="TEST" localSheetId="8" hidden="1">{#N/A,#N/A,FALSE,"EMPPAY"}</definedName>
    <definedName name="TEST" localSheetId="27" hidden="1">{#N/A,#N/A,FALSE,"EMPPAY"}</definedName>
    <definedName name="TEST" hidden="1">{#N/A,#N/A,FALSE,"EMPPAY"}</definedName>
    <definedName name="wrn.ARREC." localSheetId="29" hidden="1">{#N/A,#N/A,FALSE,"ARREC"}</definedName>
    <definedName name="wrn.ARREC." localSheetId="6" hidden="1">{#N/A,#N/A,FALSE,"ARREC"}</definedName>
    <definedName name="wrn.ARREC." localSheetId="8" hidden="1">{#N/A,#N/A,FALSE,"ARREC"}</definedName>
    <definedName name="wrn.ARREC." localSheetId="27" hidden="1">{#N/A,#N/A,FALSE,"ARREC"}</definedName>
    <definedName name="wrn.ARREC." hidden="1">{#N/A,#N/A,FALSE,"ARREC"}</definedName>
    <definedName name="wrn.EMPPAY." localSheetId="29" hidden="1">{#N/A,#N/A,FALSE,"EMPPAY"}</definedName>
    <definedName name="wrn.EMPPAY." localSheetId="6" hidden="1">{#N/A,#N/A,FALSE,"EMPPAY"}</definedName>
    <definedName name="wrn.EMPPAY." localSheetId="8" hidden="1">{#N/A,#N/A,FALSE,"EMPPAY"}</definedName>
    <definedName name="wrn.EMPPAY." localSheetId="27" hidden="1">{#N/A,#N/A,FALSE,"EMPPAY"}</definedName>
    <definedName name="wrn.EMPPAY." hidden="1">{#N/A,#N/A,FALSE,"EMPPAY"}</definedName>
    <definedName name="xx" localSheetId="29" hidden="1">{#N/A,#N/A,FALSE,"EMPPAY"}</definedName>
    <definedName name="xx" localSheetId="6" hidden="1">{#N/A,#N/A,FALSE,"EMPPAY"}</definedName>
    <definedName name="xx" localSheetId="8" hidden="1">{#N/A,#N/A,FALSE,"EMPPAY"}</definedName>
    <definedName name="xx" localSheetId="27" hidden="1">{#N/A,#N/A,FALSE,"EMPPAY"}</definedName>
    <definedName name="xx" hidden="1">{#N/A,#N/A,FALSE,"EMPPAY"}</definedName>
    <definedName name="Z_35B719C6_A9AB_4C8A_ADAE_A40200F22436_.wvu.PrintTitles" localSheetId="27" hidden="1">'tax '!$A:$B,'tax '!$3:$5</definedName>
    <definedName name="Z_45C2D156_D7B7_4628_B82B_8552C490F5C3_.wvu.PrintTitles" localSheetId="27" hidden="1">'tax '!$A:$B,'tax '!$3:$5</definedName>
    <definedName name="Z_551DCC66_7C16_4000_8D2A_ED6EAC29DA64_.wvu.PrintTitles" localSheetId="27" hidden="1">'tax '!$A:$B,'tax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D204" i="47" l="1"/>
  <c r="D32" i="50"/>
  <c r="D35" i="50" s="1"/>
  <c r="F30" i="50"/>
  <c r="F32" i="50" s="1"/>
  <c r="F35" i="50" s="1"/>
  <c r="D30" i="50"/>
  <c r="F29" i="50"/>
  <c r="E29" i="50"/>
  <c r="E30" i="50" s="1"/>
  <c r="G28" i="50"/>
  <c r="A10" i="50"/>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F9" i="12"/>
  <c r="G35" i="50" l="1"/>
  <c r="E32" i="50"/>
  <c r="E35" i="50" s="1"/>
  <c r="G30" i="50"/>
  <c r="G32" i="50"/>
  <c r="C9" i="33"/>
  <c r="C8" i="33"/>
  <c r="O4" i="51"/>
  <c r="N4" i="51"/>
  <c r="M4" i="51"/>
  <c r="L4" i="51"/>
  <c r="K4" i="51"/>
  <c r="J4" i="51"/>
  <c r="I4" i="51"/>
  <c r="H4" i="51"/>
  <c r="P2" i="51"/>
  <c r="D23" i="50"/>
  <c r="D25" i="50" s="1"/>
  <c r="G21" i="50"/>
  <c r="F14" i="50"/>
  <c r="G13" i="50"/>
  <c r="G12" i="50"/>
  <c r="E14" i="50"/>
  <c r="G11" i="50"/>
  <c r="D14" i="50" l="1"/>
  <c r="D16" i="50" l="1"/>
  <c r="G14" i="50"/>
  <c r="D45" i="37" l="1"/>
  <c r="D44" i="37"/>
  <c r="D39" i="37"/>
  <c r="D38" i="37"/>
  <c r="D33" i="37"/>
  <c r="D32" i="37"/>
  <c r="D18" i="37"/>
  <c r="D19" i="37" s="1"/>
  <c r="D20" i="37" s="1"/>
  <c r="D21" i="37" s="1"/>
  <c r="D22" i="37" s="1"/>
  <c r="D23" i="37" s="1"/>
  <c r="D24" i="37" s="1"/>
  <c r="D25" i="37" s="1"/>
  <c r="D26" i="37" s="1"/>
  <c r="D27" i="37" s="1"/>
  <c r="D28" i="37" s="1"/>
  <c r="D17" i="37"/>
  <c r="C23" i="32" l="1"/>
  <c r="C22" i="32"/>
  <c r="C21" i="32"/>
  <c r="C20" i="32"/>
  <c r="C19" i="32"/>
  <c r="C18" i="32"/>
  <c r="C17" i="32"/>
  <c r="C16" i="32"/>
  <c r="C15" i="32"/>
  <c r="C14" i="32"/>
  <c r="C13" i="32"/>
  <c r="C12" i="32"/>
  <c r="C11" i="32"/>
  <c r="C10" i="32"/>
  <c r="C9" i="32"/>
  <c r="C8" i="32"/>
  <c r="C7" i="32"/>
  <c r="C6" i="32"/>
  <c r="C5" i="32"/>
  <c r="C18" i="15" l="1"/>
  <c r="C11" i="27"/>
  <c r="C23" i="25"/>
  <c r="C17" i="23"/>
  <c r="C13" i="23"/>
  <c r="C9" i="23"/>
  <c r="I9" i="9" l="1"/>
  <c r="I31" i="47" l="1"/>
  <c r="I220" i="47" l="1"/>
  <c r="K45" i="2" s="1"/>
  <c r="I217" i="47"/>
  <c r="K43" i="2" s="1"/>
  <c r="I24" i="47"/>
  <c r="I23" i="47"/>
  <c r="D376" i="47"/>
  <c r="D374" i="47"/>
  <c r="D373" i="47"/>
  <c r="D332" i="47"/>
  <c r="D331" i="47"/>
  <c r="I278" i="47" l="1"/>
  <c r="I271" i="47"/>
  <c r="D260" i="47"/>
  <c r="D259" i="47"/>
  <c r="D258" i="47"/>
  <c r="I249" i="47"/>
  <c r="D181" i="47"/>
  <c r="D178" i="47"/>
  <c r="D171" i="47"/>
  <c r="D170" i="47"/>
  <c r="D375" i="47" l="1"/>
  <c r="D377" i="47" s="1"/>
  <c r="I26" i="47" s="1"/>
  <c r="D314" i="47"/>
  <c r="K311" i="47"/>
  <c r="I292" i="47"/>
  <c r="G283" i="47"/>
  <c r="I277" i="47"/>
  <c r="I264" i="47"/>
  <c r="G260" i="47"/>
  <c r="G258" i="47"/>
  <c r="D236" i="47"/>
  <c r="G233" i="47"/>
  <c r="F192" i="47"/>
  <c r="C192" i="47"/>
  <c r="F191" i="47"/>
  <c r="F188" i="47"/>
  <c r="C188" i="47"/>
  <c r="B182" i="47"/>
  <c r="B178" i="47"/>
  <c r="I174" i="47"/>
  <c r="C173" i="47"/>
  <c r="F172" i="47"/>
  <c r="F170" i="47"/>
  <c r="F171" i="47" s="1"/>
  <c r="D161" i="47"/>
  <c r="K158" i="47"/>
  <c r="I122" i="47"/>
  <c r="I121" i="47"/>
  <c r="I120" i="47"/>
  <c r="D113" i="47"/>
  <c r="F105" i="47"/>
  <c r="B105" i="47"/>
  <c r="B113" i="47" s="1"/>
  <c r="F104" i="47"/>
  <c r="B104" i="47"/>
  <c r="B112" i="47" s="1"/>
  <c r="G103" i="47"/>
  <c r="F103" i="47"/>
  <c r="B103" i="47"/>
  <c r="B111" i="47" s="1"/>
  <c r="F102" i="47"/>
  <c r="F128" i="47" s="1"/>
  <c r="B102" i="47"/>
  <c r="B110" i="47" s="1"/>
  <c r="G101" i="47"/>
  <c r="F101" i="47"/>
  <c r="B101" i="47"/>
  <c r="B109" i="47" s="1"/>
  <c r="D87" i="47"/>
  <c r="K84" i="47"/>
  <c r="I62" i="47"/>
  <c r="I61" i="47"/>
  <c r="I25" i="47"/>
  <c r="F18" i="47"/>
  <c r="F19" i="47" s="1"/>
  <c r="F20" i="47" s="1"/>
  <c r="D167" i="47" l="1"/>
  <c r="I167" i="47" s="1"/>
  <c r="D192" i="47"/>
  <c r="D190" i="47"/>
  <c r="D187" i="47"/>
  <c r="D194" i="47" l="1"/>
  <c r="A103" i="42" l="1"/>
  <c r="A104" i="42"/>
  <c r="A105" i="42"/>
  <c r="A106" i="42"/>
  <c r="A107" i="42"/>
  <c r="A108" i="42"/>
  <c r="A109" i="42"/>
  <c r="A110" i="42"/>
  <c r="A111" i="42"/>
  <c r="A112" i="42"/>
  <c r="A113" i="42"/>
  <c r="A114" i="42"/>
  <c r="A102" i="42"/>
  <c r="A80" i="42"/>
  <c r="A81" i="42"/>
  <c r="A82" i="42"/>
  <c r="A83" i="42"/>
  <c r="A84" i="42"/>
  <c r="A85" i="42"/>
  <c r="A86" i="42"/>
  <c r="A87" i="42"/>
  <c r="A88" i="42"/>
  <c r="A89" i="42"/>
  <c r="A90" i="42"/>
  <c r="A91" i="42"/>
  <c r="A79" i="42"/>
  <c r="A57" i="42"/>
  <c r="A58" i="42"/>
  <c r="A59" i="42"/>
  <c r="A60" i="42"/>
  <c r="A61" i="42"/>
  <c r="A62" i="42"/>
  <c r="A63" i="42"/>
  <c r="A64" i="42"/>
  <c r="A65" i="42"/>
  <c r="A66" i="42"/>
  <c r="A67" i="42"/>
  <c r="A68" i="42"/>
  <c r="A56" i="42"/>
  <c r="A33" i="42"/>
  <c r="A34" i="42"/>
  <c r="A35" i="42"/>
  <c r="A36" i="42"/>
  <c r="A37" i="42"/>
  <c r="A38" i="42"/>
  <c r="A39" i="42"/>
  <c r="A40" i="42"/>
  <c r="A41" i="42"/>
  <c r="A42" i="42"/>
  <c r="A43" i="42"/>
  <c r="A44" i="42"/>
  <c r="A32" i="42"/>
  <c r="I299" i="47" l="1"/>
  <c r="I300" i="47"/>
  <c r="I297" i="47" l="1"/>
  <c r="G18" i="46" l="1"/>
  <c r="G21" i="46" s="1"/>
  <c r="G27" i="46" s="1"/>
  <c r="K114" i="42" l="1"/>
  <c r="J114" i="42"/>
  <c r="G114" i="42"/>
  <c r="F114" i="42"/>
  <c r="C114" i="42"/>
  <c r="B114" i="42"/>
  <c r="K113" i="42"/>
  <c r="J113" i="42"/>
  <c r="G113" i="42"/>
  <c r="F113" i="42"/>
  <c r="C113" i="42"/>
  <c r="B113" i="42"/>
  <c r="K112" i="42"/>
  <c r="J112" i="42"/>
  <c r="L112" i="42" s="1"/>
  <c r="G112" i="42"/>
  <c r="F112" i="42"/>
  <c r="C112" i="42"/>
  <c r="B112" i="42"/>
  <c r="K111" i="42"/>
  <c r="J111" i="42"/>
  <c r="L111" i="42" s="1"/>
  <c r="G111" i="42"/>
  <c r="F111" i="42"/>
  <c r="C111" i="42"/>
  <c r="B111" i="42"/>
  <c r="K110" i="42"/>
  <c r="J110" i="42"/>
  <c r="L110" i="42" s="1"/>
  <c r="G110" i="42"/>
  <c r="F110" i="42"/>
  <c r="C110" i="42"/>
  <c r="B110" i="42"/>
  <c r="K109" i="42"/>
  <c r="J109" i="42"/>
  <c r="L109" i="42" s="1"/>
  <c r="G109" i="42"/>
  <c r="F109" i="42"/>
  <c r="C109" i="42"/>
  <c r="B109" i="42"/>
  <c r="K108" i="42"/>
  <c r="J108" i="42"/>
  <c r="L108" i="42" s="1"/>
  <c r="G108" i="42"/>
  <c r="F108" i="42"/>
  <c r="C108" i="42"/>
  <c r="B108" i="42"/>
  <c r="K107" i="42"/>
  <c r="J107" i="42"/>
  <c r="L107" i="42" s="1"/>
  <c r="G107" i="42"/>
  <c r="F107" i="42"/>
  <c r="C107" i="42"/>
  <c r="B107" i="42"/>
  <c r="K106" i="42"/>
  <c r="J106" i="42"/>
  <c r="L106" i="42" s="1"/>
  <c r="G106" i="42"/>
  <c r="F106" i="42"/>
  <c r="C106" i="42"/>
  <c r="B106" i="42"/>
  <c r="K105" i="42"/>
  <c r="J105" i="42"/>
  <c r="L105" i="42" s="1"/>
  <c r="G105" i="42"/>
  <c r="F105" i="42"/>
  <c r="C105" i="42"/>
  <c r="B105" i="42"/>
  <c r="K104" i="42"/>
  <c r="J104" i="42"/>
  <c r="L104" i="42" s="1"/>
  <c r="G104" i="42"/>
  <c r="F104" i="42"/>
  <c r="C104" i="42"/>
  <c r="B104" i="42"/>
  <c r="K103" i="42"/>
  <c r="J103" i="42"/>
  <c r="L103" i="42" s="1"/>
  <c r="G103" i="42"/>
  <c r="F103" i="42"/>
  <c r="C103" i="42"/>
  <c r="B103" i="42"/>
  <c r="K102" i="42"/>
  <c r="J102" i="42"/>
  <c r="G102" i="42"/>
  <c r="F102" i="42"/>
  <c r="C102" i="42"/>
  <c r="B102" i="42"/>
  <c r="K93" i="42"/>
  <c r="J93" i="42"/>
  <c r="G93" i="42"/>
  <c r="F93" i="42"/>
  <c r="C93" i="42"/>
  <c r="B93" i="42"/>
  <c r="N91" i="42"/>
  <c r="L91" i="42"/>
  <c r="H91" i="42"/>
  <c r="D91" i="42"/>
  <c r="N90" i="42"/>
  <c r="L90" i="42"/>
  <c r="H90" i="42"/>
  <c r="D90" i="42"/>
  <c r="N89" i="42"/>
  <c r="L89" i="42"/>
  <c r="H89" i="42"/>
  <c r="D89" i="42"/>
  <c r="N88" i="42"/>
  <c r="L88" i="42"/>
  <c r="H88" i="42"/>
  <c r="D88" i="42"/>
  <c r="N87" i="42"/>
  <c r="L87" i="42"/>
  <c r="H87" i="42"/>
  <c r="D87" i="42"/>
  <c r="N86" i="42"/>
  <c r="L86" i="42"/>
  <c r="H86" i="42"/>
  <c r="D86" i="42"/>
  <c r="N85" i="42"/>
  <c r="L85" i="42"/>
  <c r="H85" i="42"/>
  <c r="D85" i="42"/>
  <c r="N84" i="42"/>
  <c r="L84" i="42"/>
  <c r="H84" i="42"/>
  <c r="D84" i="42"/>
  <c r="N83" i="42"/>
  <c r="L83" i="42"/>
  <c r="H83" i="42"/>
  <c r="D83" i="42"/>
  <c r="N82" i="42"/>
  <c r="L82" i="42"/>
  <c r="H82" i="42"/>
  <c r="D82" i="42"/>
  <c r="N81" i="42"/>
  <c r="L81" i="42"/>
  <c r="H81" i="42"/>
  <c r="D81" i="42"/>
  <c r="N80" i="42"/>
  <c r="L80" i="42"/>
  <c r="H80" i="42"/>
  <c r="D80" i="42"/>
  <c r="N79" i="42"/>
  <c r="L79" i="42"/>
  <c r="L93" i="42" s="1"/>
  <c r="H79" i="42"/>
  <c r="D79" i="42"/>
  <c r="K70" i="42"/>
  <c r="J70" i="42"/>
  <c r="G70" i="42"/>
  <c r="F70" i="42"/>
  <c r="C70" i="42"/>
  <c r="B70" i="42"/>
  <c r="N68" i="42"/>
  <c r="L68" i="42"/>
  <c r="H68" i="42"/>
  <c r="D68" i="42"/>
  <c r="N67" i="42"/>
  <c r="L67" i="42"/>
  <c r="H67" i="42"/>
  <c r="D67" i="42"/>
  <c r="N66" i="42"/>
  <c r="L66" i="42"/>
  <c r="H66" i="42"/>
  <c r="D66" i="42"/>
  <c r="N65" i="42"/>
  <c r="L65" i="42"/>
  <c r="H65" i="42"/>
  <c r="D65" i="42"/>
  <c r="N64" i="42"/>
  <c r="L64" i="42"/>
  <c r="H64" i="42"/>
  <c r="D64" i="42"/>
  <c r="N63" i="42"/>
  <c r="L63" i="42"/>
  <c r="H63" i="42"/>
  <c r="D63" i="42"/>
  <c r="N62" i="42"/>
  <c r="L62" i="42"/>
  <c r="H62" i="42"/>
  <c r="D62" i="42"/>
  <c r="N61" i="42"/>
  <c r="L61" i="42"/>
  <c r="H61" i="42"/>
  <c r="D61" i="42"/>
  <c r="N60" i="42"/>
  <c r="L60" i="42"/>
  <c r="H60" i="42"/>
  <c r="D60" i="42"/>
  <c r="N59" i="42"/>
  <c r="L59" i="42"/>
  <c r="H59" i="42"/>
  <c r="D59" i="42"/>
  <c r="N58" i="42"/>
  <c r="L58" i="42"/>
  <c r="H58" i="42"/>
  <c r="D58" i="42"/>
  <c r="N57" i="42"/>
  <c r="L57" i="42"/>
  <c r="H57" i="42"/>
  <c r="D57" i="42"/>
  <c r="N56" i="42"/>
  <c r="L56" i="42"/>
  <c r="H56" i="42"/>
  <c r="D56" i="42"/>
  <c r="K46" i="42"/>
  <c r="J46" i="42"/>
  <c r="G46" i="42"/>
  <c r="F46" i="42"/>
  <c r="C46" i="42"/>
  <c r="B46" i="42"/>
  <c r="N44" i="42"/>
  <c r="L44" i="42"/>
  <c r="H44" i="42"/>
  <c r="D44" i="42"/>
  <c r="N43" i="42"/>
  <c r="L43" i="42"/>
  <c r="H43" i="42"/>
  <c r="D43" i="42"/>
  <c r="N42" i="42"/>
  <c r="L42" i="42"/>
  <c r="H42" i="42"/>
  <c r="D42" i="42"/>
  <c r="N41" i="42"/>
  <c r="L41" i="42"/>
  <c r="H41" i="42"/>
  <c r="D41" i="42"/>
  <c r="N40" i="42"/>
  <c r="L40" i="42"/>
  <c r="H40" i="42"/>
  <c r="D40" i="42"/>
  <c r="N39" i="42"/>
  <c r="L39" i="42"/>
  <c r="H39" i="42"/>
  <c r="D39" i="42"/>
  <c r="N38" i="42"/>
  <c r="L38" i="42"/>
  <c r="H38" i="42"/>
  <c r="D38" i="42"/>
  <c r="N37" i="42"/>
  <c r="L37" i="42"/>
  <c r="H37" i="42"/>
  <c r="D37" i="42"/>
  <c r="N36" i="42"/>
  <c r="L36" i="42"/>
  <c r="H36" i="42"/>
  <c r="D36" i="42"/>
  <c r="N35" i="42"/>
  <c r="L35" i="42"/>
  <c r="H35" i="42"/>
  <c r="D35" i="42"/>
  <c r="N34" i="42"/>
  <c r="L34" i="42"/>
  <c r="H34" i="42"/>
  <c r="D34" i="42"/>
  <c r="N33" i="42"/>
  <c r="L33" i="42"/>
  <c r="H33" i="42"/>
  <c r="D33" i="42"/>
  <c r="N32" i="42"/>
  <c r="L32" i="42"/>
  <c r="H32" i="42"/>
  <c r="D32" i="42"/>
  <c r="K22" i="42"/>
  <c r="J22" i="42"/>
  <c r="G22" i="42"/>
  <c r="F22" i="42"/>
  <c r="C22" i="42"/>
  <c r="B22" i="42"/>
  <c r="N20" i="42"/>
  <c r="L20" i="42"/>
  <c r="H20" i="42"/>
  <c r="D20" i="42"/>
  <c r="N19" i="42"/>
  <c r="L19" i="42"/>
  <c r="H19" i="42"/>
  <c r="D19" i="42"/>
  <c r="N18" i="42"/>
  <c r="L18" i="42"/>
  <c r="H18" i="42"/>
  <c r="D18" i="42"/>
  <c r="N17" i="42"/>
  <c r="L17" i="42"/>
  <c r="H17" i="42"/>
  <c r="D17" i="42"/>
  <c r="N16" i="42"/>
  <c r="L16" i="42"/>
  <c r="H16" i="42"/>
  <c r="D16" i="42"/>
  <c r="N15" i="42"/>
  <c r="L15" i="42"/>
  <c r="H15" i="42"/>
  <c r="D15" i="42"/>
  <c r="N14" i="42"/>
  <c r="L14" i="42"/>
  <c r="H14" i="42"/>
  <c r="D14" i="42"/>
  <c r="N13" i="42"/>
  <c r="L13" i="42"/>
  <c r="H13" i="42"/>
  <c r="D13" i="42"/>
  <c r="N12" i="42"/>
  <c r="L12" i="42"/>
  <c r="H12" i="42"/>
  <c r="D12" i="42"/>
  <c r="N11" i="42"/>
  <c r="L11" i="42"/>
  <c r="H11" i="42"/>
  <c r="D11" i="42"/>
  <c r="N10" i="42"/>
  <c r="L10" i="42"/>
  <c r="H10" i="42"/>
  <c r="D10" i="42"/>
  <c r="N9" i="42"/>
  <c r="L9" i="42"/>
  <c r="H9" i="42"/>
  <c r="D9" i="42"/>
  <c r="N8" i="42"/>
  <c r="L8" i="42"/>
  <c r="H8" i="42"/>
  <c r="D8" i="42"/>
  <c r="L22" i="42" l="1"/>
  <c r="K116" i="42"/>
  <c r="D46" i="42"/>
  <c r="H70" i="42"/>
  <c r="D22" i="42"/>
  <c r="N93" i="42"/>
  <c r="D70" i="42"/>
  <c r="L114" i="42"/>
  <c r="D93" i="42"/>
  <c r="L113" i="42"/>
  <c r="L70" i="42"/>
  <c r="J116" i="42"/>
  <c r="K120" i="42" s="1"/>
  <c r="H113" i="42"/>
  <c r="N112" i="42"/>
  <c r="H109" i="42"/>
  <c r="N108" i="42"/>
  <c r="N46" i="42"/>
  <c r="N114" i="42"/>
  <c r="N113" i="42"/>
  <c r="N111" i="42"/>
  <c r="H111" i="42"/>
  <c r="N110" i="42"/>
  <c r="N109" i="42"/>
  <c r="N107" i="42"/>
  <c r="H107" i="42"/>
  <c r="N106" i="42"/>
  <c r="N105" i="42"/>
  <c r="H105" i="42"/>
  <c r="N104" i="42"/>
  <c r="G116" i="42"/>
  <c r="N103" i="42"/>
  <c r="H103" i="42"/>
  <c r="K128" i="42"/>
  <c r="D179" i="47" s="1"/>
  <c r="D183" i="47" s="1"/>
  <c r="H93" i="42"/>
  <c r="H46" i="42"/>
  <c r="H112" i="42"/>
  <c r="H110" i="42"/>
  <c r="H108" i="42"/>
  <c r="F116" i="42"/>
  <c r="H106" i="42"/>
  <c r="H104" i="42"/>
  <c r="H22" i="42"/>
  <c r="C116" i="42"/>
  <c r="K126" i="42" s="1"/>
  <c r="N70" i="42"/>
  <c r="N22" i="42"/>
  <c r="D111" i="42"/>
  <c r="B116" i="42"/>
  <c r="D104" i="42"/>
  <c r="D106" i="42"/>
  <c r="D108" i="42"/>
  <c r="D110" i="42"/>
  <c r="D112" i="42"/>
  <c r="D114" i="42"/>
  <c r="D103" i="42"/>
  <c r="D105" i="42"/>
  <c r="D107" i="42"/>
  <c r="D109" i="42"/>
  <c r="D113" i="42"/>
  <c r="L102" i="42"/>
  <c r="H102" i="42"/>
  <c r="N102" i="42"/>
  <c r="H114" i="42"/>
  <c r="D102" i="42"/>
  <c r="L116" i="42" l="1"/>
  <c r="N116" i="42"/>
  <c r="K123" i="42" s="1"/>
  <c r="D124" i="47" s="1"/>
  <c r="H116" i="42"/>
  <c r="D116" i="42"/>
  <c r="A3" i="17" l="1"/>
  <c r="A3" i="16" l="1"/>
  <c r="F23" i="39" l="1"/>
  <c r="F23" i="38"/>
  <c r="A3" i="29" l="1"/>
  <c r="A3" i="26"/>
  <c r="A3" i="15"/>
  <c r="A3" i="28"/>
  <c r="A3" i="27"/>
  <c r="A3" i="25"/>
  <c r="A3" i="24"/>
  <c r="A3" i="23"/>
  <c r="A3" i="14"/>
  <c r="A3" i="22"/>
  <c r="A3" i="13"/>
  <c r="A3" i="12"/>
  <c r="A3" i="18"/>
  <c r="A3" i="39"/>
  <c r="A3" i="11"/>
  <c r="A3" i="38"/>
  <c r="B13" i="20"/>
  <c r="B14" i="20"/>
  <c r="B15" i="20"/>
  <c r="B16" i="20"/>
  <c r="B17" i="20"/>
  <c r="B18" i="20"/>
  <c r="B19" i="20"/>
  <c r="B20" i="20"/>
  <c r="B21" i="20"/>
  <c r="B22" i="20"/>
  <c r="B12" i="20"/>
  <c r="B11" i="20"/>
  <c r="B9" i="16"/>
  <c r="B9" i="17" s="1"/>
  <c r="B11" i="22"/>
  <c r="B12" i="22"/>
  <c r="B13" i="22"/>
  <c r="B14" i="22"/>
  <c r="B15" i="22"/>
  <c r="B16" i="22"/>
  <c r="B17" i="22"/>
  <c r="B18" i="22"/>
  <c r="B19" i="22"/>
  <c r="B20" i="22"/>
  <c r="B10" i="22"/>
  <c r="B9" i="22"/>
  <c r="B21" i="13"/>
  <c r="B20" i="13"/>
  <c r="B19" i="13"/>
  <c r="B18" i="13"/>
  <c r="B17" i="13"/>
  <c r="B16" i="13"/>
  <c r="B15" i="13"/>
  <c r="B14" i="13"/>
  <c r="B13" i="13"/>
  <c r="B12" i="13"/>
  <c r="B11" i="13"/>
  <c r="B10" i="13"/>
  <c r="B9" i="13"/>
  <c r="B21" i="12"/>
  <c r="B20" i="12"/>
  <c r="B19" i="12"/>
  <c r="B18" i="12"/>
  <c r="B17" i="12"/>
  <c r="B16" i="12"/>
  <c r="B15" i="12"/>
  <c r="B14" i="12"/>
  <c r="B13" i="12"/>
  <c r="B12" i="12"/>
  <c r="B11" i="12"/>
  <c r="B10" i="12"/>
  <c r="B9" i="12"/>
  <c r="B21" i="18"/>
  <c r="B20" i="18"/>
  <c r="B19" i="18"/>
  <c r="B18" i="18"/>
  <c r="B17" i="18"/>
  <c r="B16" i="18"/>
  <c r="B15" i="18"/>
  <c r="B14" i="18"/>
  <c r="B13" i="18"/>
  <c r="B12" i="18"/>
  <c r="B11" i="18"/>
  <c r="B10" i="18"/>
  <c r="B9" i="18"/>
  <c r="B21" i="39"/>
  <c r="B20" i="39"/>
  <c r="B19" i="39"/>
  <c r="B18" i="39"/>
  <c r="B17" i="39"/>
  <c r="B16" i="39"/>
  <c r="B15" i="39"/>
  <c r="B14" i="39"/>
  <c r="B13" i="39"/>
  <c r="B12" i="39"/>
  <c r="B11" i="39"/>
  <c r="B10" i="39"/>
  <c r="B9" i="39"/>
  <c r="B21" i="11"/>
  <c r="B20" i="11"/>
  <c r="B19" i="11"/>
  <c r="B18" i="11"/>
  <c r="B17" i="11"/>
  <c r="B16" i="11"/>
  <c r="B15" i="11"/>
  <c r="B14" i="11"/>
  <c r="B13" i="11"/>
  <c r="B12" i="11"/>
  <c r="B11" i="11"/>
  <c r="B10" i="11"/>
  <c r="B9" i="11"/>
  <c r="B11" i="38"/>
  <c r="B12" i="38"/>
  <c r="B13" i="38"/>
  <c r="B14" i="38"/>
  <c r="B15" i="38"/>
  <c r="B16" i="38"/>
  <c r="B17" i="38"/>
  <c r="B18" i="38"/>
  <c r="B19" i="38"/>
  <c r="B20" i="38"/>
  <c r="B21" i="38"/>
  <c r="B10" i="38"/>
  <c r="B9" i="38"/>
  <c r="C22" i="21" l="1"/>
  <c r="D166" i="47" s="1"/>
  <c r="I248" i="47" l="1"/>
  <c r="I250" i="47" s="1"/>
  <c r="I252" i="47" s="1"/>
  <c r="F19" i="12"/>
  <c r="E23" i="18" l="1"/>
  <c r="E23" i="39" l="1"/>
  <c r="D23" i="39"/>
  <c r="E23" i="38" l="1"/>
  <c r="D23" i="38"/>
  <c r="C25" i="32" l="1"/>
  <c r="G32" i="46" s="1"/>
  <c r="H26" i="37" l="1"/>
  <c r="H17" i="37"/>
  <c r="F46" i="37"/>
  <c r="C45" i="37"/>
  <c r="I46" i="37"/>
  <c r="C39" i="37"/>
  <c r="F34" i="37"/>
  <c r="C33" i="37"/>
  <c r="I34" i="37"/>
  <c r="H27" i="37"/>
  <c r="C27" i="37"/>
  <c r="H25" i="37"/>
  <c r="H24" i="37"/>
  <c r="H23" i="37"/>
  <c r="H22" i="37"/>
  <c r="H21" i="37"/>
  <c r="H20" i="37"/>
  <c r="H19" i="37"/>
  <c r="H18" i="37"/>
  <c r="H16" i="37"/>
  <c r="H15" i="37"/>
  <c r="F28" i="37" l="1"/>
  <c r="K34" i="37"/>
  <c r="G46" i="37"/>
  <c r="K46" i="37"/>
  <c r="G34" i="37"/>
  <c r="H46" i="37" l="1"/>
  <c r="H34" i="37"/>
  <c r="C23" i="18" l="1"/>
  <c r="G10" i="18" l="1"/>
  <c r="G21" i="18"/>
  <c r="G11" i="18"/>
  <c r="G12" i="18"/>
  <c r="G13" i="18"/>
  <c r="G14" i="18"/>
  <c r="G15" i="18"/>
  <c r="G16" i="18"/>
  <c r="G17" i="18"/>
  <c r="G18" i="18"/>
  <c r="G19" i="18"/>
  <c r="G20" i="18"/>
  <c r="G9" i="18"/>
  <c r="F23" i="18"/>
  <c r="D333" i="47" l="1"/>
  <c r="D197" i="47" s="1"/>
  <c r="D201" i="47" l="1"/>
  <c r="D23" i="18"/>
  <c r="I12" i="9" l="1"/>
  <c r="I13" i="9"/>
  <c r="I14" i="9"/>
  <c r="I15" i="9"/>
  <c r="I16" i="9"/>
  <c r="I17" i="9"/>
  <c r="I18" i="9"/>
  <c r="I19" i="9"/>
  <c r="I20" i="9"/>
  <c r="I21" i="9"/>
  <c r="D24" i="13" l="1"/>
  <c r="D133" i="47" s="1"/>
  <c r="C13" i="27" l="1"/>
  <c r="D168" i="47" s="1"/>
  <c r="G23" i="9" l="1"/>
  <c r="D96" i="47" s="1"/>
  <c r="I11" i="9"/>
  <c r="H23" i="9"/>
  <c r="D266" i="47" s="1"/>
  <c r="I10" i="9"/>
  <c r="C25" i="25"/>
  <c r="C11" i="24"/>
  <c r="D202" i="47" s="1"/>
  <c r="D206" i="47" s="1"/>
  <c r="C22" i="22" l="1"/>
  <c r="D169" i="47" s="1"/>
  <c r="D175" i="47" s="1"/>
  <c r="D131" i="47" s="1"/>
  <c r="D24" i="20" l="1"/>
  <c r="E24" i="20"/>
  <c r="I45" i="47" s="1"/>
  <c r="F24" i="20"/>
  <c r="G24" i="20"/>
  <c r="H24" i="20"/>
  <c r="I24" i="20"/>
  <c r="J12" i="20"/>
  <c r="J13" i="20"/>
  <c r="J14" i="20"/>
  <c r="J15" i="20"/>
  <c r="J16" i="20"/>
  <c r="J17" i="20"/>
  <c r="J18" i="20"/>
  <c r="J19" i="20"/>
  <c r="J20" i="20"/>
  <c r="J21" i="20"/>
  <c r="J22" i="20"/>
  <c r="J11" i="20"/>
  <c r="C24" i="20"/>
  <c r="I43" i="47" s="1"/>
  <c r="C11" i="17"/>
  <c r="D282" i="47" s="1"/>
  <c r="G282" i="47" s="1"/>
  <c r="I50" i="47" l="1"/>
  <c r="G23" i="18"/>
  <c r="D116" i="47" s="1"/>
  <c r="J24" i="20"/>
  <c r="C11" i="16"/>
  <c r="I276" i="47" s="1"/>
  <c r="I279" i="47" s="1"/>
  <c r="D284" i="47" s="1"/>
  <c r="D285" i="47" s="1"/>
  <c r="E284" i="47" l="1"/>
  <c r="I284" i="47" s="1"/>
  <c r="E283" i="47"/>
  <c r="I283" i="47" s="1"/>
  <c r="E282" i="47"/>
  <c r="I282" i="47" s="1"/>
  <c r="C20" i="15"/>
  <c r="D261" i="47" s="1"/>
  <c r="G261" i="47" l="1"/>
  <c r="D262" i="47"/>
  <c r="I285" i="47"/>
  <c r="C22" i="15"/>
  <c r="D13" i="15" s="1"/>
  <c r="E23" i="9" s="1"/>
  <c r="D94" i="47" s="1"/>
  <c r="C20" i="14"/>
  <c r="C11" i="13"/>
  <c r="C12" i="13"/>
  <c r="C13" i="13"/>
  <c r="C14" i="13"/>
  <c r="C15" i="13"/>
  <c r="C16" i="13"/>
  <c r="C17" i="13"/>
  <c r="C18" i="13"/>
  <c r="C19" i="13"/>
  <c r="C20" i="13"/>
  <c r="C21" i="13"/>
  <c r="C10" i="13"/>
  <c r="D23" i="13"/>
  <c r="D24" i="12"/>
  <c r="D132" i="47" s="1"/>
  <c r="D134" i="47" s="1"/>
  <c r="E24" i="12"/>
  <c r="C24" i="12"/>
  <c r="D23" i="12"/>
  <c r="E23" i="12"/>
  <c r="C23" i="12"/>
  <c r="F10" i="12"/>
  <c r="F11" i="12"/>
  <c r="F12" i="12"/>
  <c r="F13" i="12"/>
  <c r="F14" i="12"/>
  <c r="F15" i="12"/>
  <c r="F16" i="12"/>
  <c r="F17" i="12"/>
  <c r="F18" i="12"/>
  <c r="F20" i="12"/>
  <c r="F21" i="12"/>
  <c r="G23" i="11"/>
  <c r="D104" i="47" s="1"/>
  <c r="D112" i="47" s="1"/>
  <c r="H21" i="11"/>
  <c r="H20" i="11"/>
  <c r="H19" i="11"/>
  <c r="H18" i="11"/>
  <c r="H17" i="11"/>
  <c r="H16" i="11"/>
  <c r="H15" i="11"/>
  <c r="H14" i="11"/>
  <c r="H13" i="11"/>
  <c r="H12" i="11"/>
  <c r="H11" i="11"/>
  <c r="H10" i="11"/>
  <c r="H9" i="11"/>
  <c r="I240" i="47" l="1"/>
  <c r="D198" i="47"/>
  <c r="E23" i="11"/>
  <c r="D102" i="47" s="1"/>
  <c r="D110" i="47" s="1"/>
  <c r="D18" i="15"/>
  <c r="D15" i="15"/>
  <c r="F23" i="9" s="1"/>
  <c r="D95" i="47" s="1"/>
  <c r="D20" i="15"/>
  <c r="D19" i="15"/>
  <c r="D11" i="15"/>
  <c r="D23" i="9" s="1"/>
  <c r="F24" i="12"/>
  <c r="F23" i="12"/>
  <c r="I23" i="9"/>
  <c r="H23" i="11"/>
  <c r="D23" i="11" l="1"/>
  <c r="D101" i="47" s="1"/>
  <c r="D93" i="47"/>
  <c r="D265" i="47"/>
  <c r="D268" i="47" s="1"/>
  <c r="G266" i="47" s="1"/>
  <c r="I243" i="47"/>
  <c r="I245" i="47" s="1"/>
  <c r="F23" i="11"/>
  <c r="D103" i="47" s="1"/>
  <c r="D111" i="47" s="1"/>
  <c r="D22" i="15"/>
  <c r="N12" i="3"/>
  <c r="M12" i="3"/>
  <c r="L12" i="3"/>
  <c r="K12" i="3"/>
  <c r="J12" i="3"/>
  <c r="I12" i="3"/>
  <c r="H12" i="3"/>
  <c r="G12" i="3"/>
  <c r="F12" i="3"/>
  <c r="E12" i="3"/>
  <c r="D12" i="3"/>
  <c r="C12" i="3"/>
  <c r="P10" i="3"/>
  <c r="P8" i="3"/>
  <c r="J39" i="2"/>
  <c r="I298" i="47" s="1"/>
  <c r="I301" i="47" s="1"/>
  <c r="D18" i="47" s="1"/>
  <c r="G207" i="47" l="1"/>
  <c r="G17" i="47"/>
  <c r="E259" i="47"/>
  <c r="G259" i="47" s="1"/>
  <c r="G262" i="47" s="1"/>
  <c r="I262" i="47" s="1"/>
  <c r="E15" i="50" s="1"/>
  <c r="G208" i="47"/>
  <c r="G94" i="47"/>
  <c r="I253" i="47"/>
  <c r="I254" i="47" s="1"/>
  <c r="D98" i="47"/>
  <c r="D109" i="47"/>
  <c r="D114" i="47" s="1"/>
  <c r="D106" i="47"/>
  <c r="K41" i="2"/>
  <c r="P12" i="3"/>
  <c r="I294" i="47" s="1"/>
  <c r="D17" i="47" s="1"/>
  <c r="E22" i="50" l="1"/>
  <c r="E23" i="50" s="1"/>
  <c r="E16" i="50"/>
  <c r="G166" i="47"/>
  <c r="G132" i="47"/>
  <c r="I132" i="47" s="1"/>
  <c r="G116" i="47"/>
  <c r="I116" i="47" s="1"/>
  <c r="G119" i="47"/>
  <c r="G124" i="47"/>
  <c r="I124" i="47" s="1"/>
  <c r="G102" i="47"/>
  <c r="I94" i="47"/>
  <c r="G125" i="47"/>
  <c r="I125" i="47" s="1"/>
  <c r="L12" i="37"/>
  <c r="L27" i="37" s="1"/>
  <c r="I266" i="47"/>
  <c r="K266" i="47" s="1"/>
  <c r="G97" i="47" s="1"/>
  <c r="G96" i="47"/>
  <c r="G18" i="47"/>
  <c r="I17" i="47"/>
  <c r="K47" i="2"/>
  <c r="I39" i="2"/>
  <c r="L17" i="37" l="1"/>
  <c r="L46" i="37"/>
  <c r="E25" i="50"/>
  <c r="L15" i="37"/>
  <c r="L20" i="37"/>
  <c r="L34" i="37"/>
  <c r="L16" i="37"/>
  <c r="L21" i="37"/>
  <c r="L18" i="37"/>
  <c r="I96" i="47"/>
  <c r="G104" i="47"/>
  <c r="G128" i="47"/>
  <c r="I102" i="47"/>
  <c r="G19" i="47"/>
  <c r="I18" i="47"/>
  <c r="L25" i="37"/>
  <c r="L24" i="37"/>
  <c r="I97" i="47"/>
  <c r="G105" i="47"/>
  <c r="L22" i="37"/>
  <c r="L19" i="37"/>
  <c r="L26" i="37"/>
  <c r="L23" i="37"/>
  <c r="G168" i="47"/>
  <c r="I168" i="47" s="1"/>
  <c r="G172" i="47"/>
  <c r="I172" i="47" s="1"/>
  <c r="I166" i="47"/>
  <c r="G20" i="47" l="1"/>
  <c r="I20" i="47" s="1"/>
  <c r="I19" i="47"/>
  <c r="I110" i="47"/>
  <c r="G180" i="47"/>
  <c r="I180" i="47" s="1"/>
  <c r="G178" i="47"/>
  <c r="I178" i="47" s="1"/>
  <c r="G179" i="47"/>
  <c r="I179" i="47" s="1"/>
  <c r="I128" i="47"/>
  <c r="G173" i="47"/>
  <c r="I105" i="47"/>
  <c r="I113" i="47" s="1"/>
  <c r="I104" i="47"/>
  <c r="I112" i="47" s="1"/>
  <c r="G169" i="47"/>
  <c r="I98" i="47"/>
  <c r="G98" i="47" s="1"/>
  <c r="I21" i="47" l="1"/>
  <c r="I106" i="47"/>
  <c r="G170" i="47"/>
  <c r="I169" i="47"/>
  <c r="G181" i="47"/>
  <c r="I114" i="47"/>
  <c r="G114" i="47" s="1"/>
  <c r="F15" i="50" s="1"/>
  <c r="I173" i="47"/>
  <c r="G182" i="47"/>
  <c r="I182" i="47" s="1"/>
  <c r="G133" i="47"/>
  <c r="I133" i="47" s="1"/>
  <c r="G190" i="47"/>
  <c r="G11" i="46"/>
  <c r="G26" i="46" s="1"/>
  <c r="G28" i="46" s="1"/>
  <c r="G33" i="46" s="1"/>
  <c r="I27" i="47" s="1"/>
  <c r="F22" i="50" l="1"/>
  <c r="F23" i="50" s="1"/>
  <c r="F16" i="50"/>
  <c r="G16" i="50" s="1"/>
  <c r="G193" i="47"/>
  <c r="I193" i="47" s="1"/>
  <c r="I190" i="47"/>
  <c r="G192" i="47"/>
  <c r="I192" i="47" s="1"/>
  <c r="J12" i="37"/>
  <c r="G206" i="47"/>
  <c r="I206" i="47" s="1"/>
  <c r="G123" i="47"/>
  <c r="I123" i="47" s="1"/>
  <c r="G187" i="47"/>
  <c r="I181" i="47"/>
  <c r="I183" i="47" s="1"/>
  <c r="G171" i="47"/>
  <c r="I171" i="47" s="1"/>
  <c r="I170" i="47"/>
  <c r="I175" i="47" s="1"/>
  <c r="I131" i="47" s="1"/>
  <c r="I134" i="47" s="1"/>
  <c r="D203" i="47" l="1"/>
  <c r="D207" i="47" s="1"/>
  <c r="I207" i="47" s="1"/>
  <c r="F25" i="50"/>
  <c r="G25" i="50" s="1"/>
  <c r="D208" i="47" s="1"/>
  <c r="I208" i="47" s="1"/>
  <c r="G23" i="50"/>
  <c r="J19" i="37"/>
  <c r="M19" i="37" s="1"/>
  <c r="J18" i="37"/>
  <c r="M18" i="37" s="1"/>
  <c r="J46" i="37"/>
  <c r="M46" i="37" s="1"/>
  <c r="J22" i="37"/>
  <c r="M22" i="37" s="1"/>
  <c r="J17" i="37"/>
  <c r="M17" i="37" s="1"/>
  <c r="J26" i="37"/>
  <c r="M26" i="37" s="1"/>
  <c r="J24" i="37"/>
  <c r="M24" i="37" s="1"/>
  <c r="J21" i="37"/>
  <c r="M21" i="37" s="1"/>
  <c r="J20" i="37"/>
  <c r="M20" i="37" s="1"/>
  <c r="J34" i="37"/>
  <c r="M34" i="37" s="1"/>
  <c r="J25" i="37"/>
  <c r="M25" i="37" s="1"/>
  <c r="J27" i="37"/>
  <c r="M27" i="37" s="1"/>
  <c r="J16" i="37"/>
  <c r="M16" i="37" s="1"/>
  <c r="J23" i="37"/>
  <c r="M23" i="37" s="1"/>
  <c r="J15" i="37"/>
  <c r="M15" i="37" s="1"/>
  <c r="G188" i="47"/>
  <c r="I188" i="47" s="1"/>
  <c r="I187" i="47"/>
  <c r="G35" i="46"/>
  <c r="I194" i="47" l="1"/>
  <c r="M28" i="37"/>
  <c r="M48" i="37" s="1"/>
  <c r="D119" i="47" s="1"/>
  <c r="D126" i="47" l="1"/>
  <c r="D136" i="47" s="1"/>
  <c r="D211" i="47" s="1"/>
  <c r="D205" i="47" s="1"/>
  <c r="D209" i="47" s="1"/>
  <c r="D214" i="47" s="1"/>
  <c r="D221" i="47" s="1"/>
  <c r="I119" i="47"/>
  <c r="I126" i="47" s="1"/>
  <c r="I136" i="47" s="1"/>
  <c r="I211" i="47" s="1"/>
  <c r="I205" i="47" s="1"/>
  <c r="I209" i="47" s="1"/>
  <c r="I214" i="47" s="1"/>
  <c r="I221" i="47" s="1"/>
  <c r="I14" i="47" s="1"/>
  <c r="I33" i="47" s="1"/>
  <c r="I39" i="47" s="1"/>
  <c r="D52" i="47" s="1"/>
  <c r="D53" i="47" l="1"/>
  <c r="D58" i="47"/>
  <c r="I58" i="47"/>
  <c r="I57" i="47"/>
  <c r="I56" i="47"/>
  <c r="D56" i="47"/>
  <c r="D57" i="47"/>
</calcChain>
</file>

<file path=xl/sharedStrings.xml><?xml version="1.0" encoding="utf-8"?>
<sst xmlns="http://schemas.openxmlformats.org/spreadsheetml/2006/main" count="1281" uniqueCount="746">
  <si>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</si>
  <si>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</si>
  <si>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</si>
  <si>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</si>
  <si>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</si>
  <si>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</si>
  <si>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</si>
  <si>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</si>
  <si>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</si>
  <si>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</si>
  <si>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</si>
  <si>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</si>
  <si>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</si>
  <si>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</si>
  <si>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</si>
  <si>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</si>
  <si>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</si>
  <si>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</si>
  <si>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</si>
  <si>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</si>
  <si>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</si>
  <si>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</si>
  <si>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</si>
  <si>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</si>
  <si>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</si>
  <si>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</si>
  <si>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</si>
  <si>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</si>
  <si>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</si>
  <si>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</si>
  <si>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</si>
  <si>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</si>
  <si>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</si>
  <si>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</si>
  <si>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</si>
  <si>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</si>
  <si>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</si>
  <si>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</si>
  <si>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</si>
  <si>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</si>
  <si>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</si>
  <si>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</si>
  <si>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</si>
  <si>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</si>
  <si>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</si>
  <si>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</si>
  <si>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</si>
  <si>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</si>
  <si>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</si>
  <si>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</si>
  <si>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</si>
  <si>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</si>
  <si>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</si>
  <si>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</si>
  <si>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</si>
  <si>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</si>
  <si>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</si>
  <si>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</si>
  <si>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</si>
  <si>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</si>
  <si>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</si>
  <si>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</si>
  <si>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</si>
  <si>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</si>
  <si>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</si>
  <si>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</si>
  <si>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</si>
  <si>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</si>
  <si>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</si>
  <si>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</si>
  <si>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</si>
  <si>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</si>
  <si>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</si>
  <si>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</si>
  <si>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</si>
  <si>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</si>
  <si>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</si>
  <si>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</si>
  <si>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</si>
  <si>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</si>
  <si>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</si>
  <si>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</si>
  <si>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</si>
  <si>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</si>
  <si>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</si>
  <si>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</si>
  <si>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</si>
  <si>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</si>
  <si>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</si>
  <si>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</si>
  <si>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</si>
  <si>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</si>
  <si>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</si>
  <si>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</si>
  <si>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</si>
  <si>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</si>
  <si>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</si>
  <si>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</si>
  <si>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</si>
  <si>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</si>
  <si>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</si>
  <si>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</si>
  <si>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</si>
  <si>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</si>
  <si>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</si>
  <si>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</si>
  <si>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</si>
  <si>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</si>
  <si>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</si>
  <si>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</si>
  <si>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</si>
  <si>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</si>
  <si>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</si>
  <si>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</si>
  <si>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</si>
  <si>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</si>
  <si>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</si>
  <si>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</si>
  <si>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</si>
  <si>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</si>
  <si>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</si>
  <si>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</si>
  <si>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</si>
  <si>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</si>
  <si>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</si>
  <si>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</si>
  <si>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</si>
  <si>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</si>
  <si>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</si>
  <si>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</si>
  <si>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</si>
  <si>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</si>
  <si>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</si>
  <si>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</si>
  <si>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</si>
  <si>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</si>
  <si>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</si>
  <si>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</si>
  <si>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</si>
  <si>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</si>
  <si>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</si>
  <si>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</si>
  <si>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</si>
  <si>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</si>
  <si>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</si>
  <si>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</si>
  <si>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</si>
  <si>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</si>
  <si>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</si>
  <si>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</si>
  <si>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</si>
  <si>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</si>
  <si>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</si>
  <si>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</si>
  <si>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</si>
  <si>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</si>
  <si>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</si>
  <si>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</si>
  <si>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</si>
  <si>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</si>
  <si>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</si>
  <si>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</si>
  <si>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</si>
  <si>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</si>
  <si>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</si>
  <si>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</si>
  <si>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</si>
  <si>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</si>
  <si>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</si>
  <si>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</si>
  <si>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</si>
  <si>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</si>
  <si>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</si>
  <si>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</si>
  <si>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</si>
  <si>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</si>
  <si>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</si>
  <si>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</si>
  <si>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</si>
  <si>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</si>
  <si>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</si>
  <si>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</si>
  <si>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</si>
  <si>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</si>
  <si>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</si>
  <si>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</si>
  <si>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</si>
  <si>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</si>
  <si>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</si>
  <si>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</si>
  <si>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</si>
  <si>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</si>
  <si>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</si>
  <si>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</si>
  <si>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</si>
  <si>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</si>
  <si>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</si>
  <si>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</si>
  <si>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</si>
  <si>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</si>
  <si>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</si>
  <si>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</si>
  <si>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</si>
  <si>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</si>
  <si>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</si>
  <si>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</si>
  <si>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</si>
  <si>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</si>
  <si>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</si>
  <si>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</si>
  <si>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</si>
  <si>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</si>
  <si>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</si>
  <si>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</si>
  <si>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</si>
  <si>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</si>
  <si>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</si>
  <si>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</si>
  <si>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</si>
  <si>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</si>
  <si>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</si>
  <si>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</si>
  <si>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</si>
  <si>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</si>
  <si>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</si>
  <si>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</si>
  <si>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</si>
  <si>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</si>
  <si>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</si>
  <si>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</si>
  <si>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</si>
  <si>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</si>
  <si>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</si>
  <si>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</si>
  <si>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</si>
  <si>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</si>
  <si>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</si>
  <si>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</si>
  <si>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</si>
  <si>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</si>
  <si>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</si>
  <si>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</si>
  <si>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</si>
  <si>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</si>
  <si>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</si>
  <si>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</si>
  <si>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</si>
  <si>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</si>
  <si>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</si>
  <si>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</si>
  <si>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</si>
  <si>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</si>
  <si>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</si>
  <si>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</si>
  <si>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</si>
  <si>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</si>
  <si>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</si>
  <si>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</si>
  <si>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</si>
  <si>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</si>
  <si>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</si>
  <si>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</si>
  <si>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</si>
  <si>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</si>
  <si>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</si>
  <si>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</si>
  <si>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</si>
  <si>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</si>
  <si>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</si>
  <si>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</si>
  <si>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</si>
  <si>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</si>
  <si>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</si>
  <si>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</si>
  <si>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</si>
  <si>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</si>
  <si>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</si>
  <si>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</si>
  <si>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</si>
  <si>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</si>
  <si>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</si>
  <si>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</si>
  <si>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</si>
  <si>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</si>
  <si>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</si>
  <si>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</si>
  <si>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</si>
  <si>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</si>
  <si>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</si>
  <si>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</si>
  <si>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</si>
  <si>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</si>
  <si>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</si>
  <si>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</si>
  <si>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</si>
  <si>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</si>
  <si>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</si>
  <si>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Eldridge Municpal Utilities </t>
  </si>
  <si>
    <t xml:space="preserve">Indianola Municipal </t>
  </si>
  <si>
    <t xml:space="preserve">City of Pella, Iowa </t>
  </si>
  <si>
    <t xml:space="preserve">Corn Belt Power Coop (Hudson) </t>
  </si>
  <si>
    <t xml:space="preserve">Waverly, Iowa </t>
  </si>
  <si>
    <t>Account 454 (Transmission Rents)</t>
  </si>
  <si>
    <t>12CP</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</si>
  <si>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</si>
  <si>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</si>
  <si>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</si>
  <si>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</si>
  <si>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</si>
  <si>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</si>
  <si>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</si>
  <si>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</si>
  <si>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</si>
  <si>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</si>
  <si>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</si>
  <si>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</si>
  <si>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</si>
  <si>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</si>
  <si>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</si>
  <si>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</si>
  <si>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</si>
  <si>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</si>
  <si>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</si>
  <si>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</si>
  <si>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</si>
  <si>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</si>
  <si>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</si>
  <si>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</si>
  <si>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</si>
  <si>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</si>
  <si>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</si>
  <si>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</si>
  <si>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</si>
  <si>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</si>
  <si>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</si>
  <si>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</si>
  <si>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</si>
  <si>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</si>
  <si>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</si>
  <si>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</si>
  <si>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</si>
  <si>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</si>
  <si>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</si>
  <si>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</si>
  <si>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</si>
  <si>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</si>
  <si>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</si>
  <si>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</si>
  <si>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</si>
  <si>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</si>
  <si>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</si>
  <si>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</si>
  <si>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</si>
  <si>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</si>
  <si>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</si>
  <si>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</si>
  <si>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</si>
  <si>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</si>
  <si>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</si>
  <si>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</si>
  <si>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</si>
  <si>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</si>
  <si>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</si>
  <si>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</si>
  <si>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</si>
  <si>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</si>
  <si>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</si>
  <si>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</si>
  <si>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</si>
  <si>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</si>
  <si>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</si>
  <si>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</si>
  <si>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</si>
  <si>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</si>
  <si>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</si>
  <si>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</si>
  <si>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</si>
  <si>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</si>
  <si>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</si>
  <si>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</si>
  <si>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</si>
  <si>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</si>
  <si>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</si>
  <si>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</si>
  <si>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</si>
  <si>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</si>
  <si>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</si>
  <si>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</si>
  <si>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</si>
  <si>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</si>
  <si>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</si>
  <si>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Prior Year Projected Annual Cost ($ per kW per year)</t>
  </si>
  <si>
    <t>Pg 1. Line 16</t>
  </si>
  <si>
    <t xml:space="preserve">    Projected Year Divisor True-up (Difference * Prior Year Projected Annual Cost)</t>
  </si>
  <si>
    <t>page 2 of 6</t>
  </si>
  <si>
    <t>page 3 of 6</t>
  </si>
  <si>
    <t>page 4 of 6</t>
  </si>
  <si>
    <t>page 5 of 6</t>
  </si>
  <si>
    <t>page 6 of 6</t>
  </si>
  <si>
    <t>CWIP 13-Month Average</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</si>
  <si>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</si>
  <si>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</si>
  <si>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</si>
  <si>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</si>
  <si>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</si>
  <si>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</si>
  <si>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</si>
  <si>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</si>
  <si>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</si>
  <si>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</si>
  <si>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</si>
  <si>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</si>
  <si>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</si>
  <si>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</si>
  <si>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</si>
  <si>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</si>
  <si>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</si>
  <si>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</si>
  <si>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</si>
  <si>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</si>
  <si>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</si>
  <si>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</si>
  <si>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</si>
  <si>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</si>
  <si>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</si>
  <si>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</si>
  <si>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</si>
  <si>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</si>
  <si>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</si>
  <si>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</si>
  <si>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</si>
  <si>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</si>
  <si>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</si>
  <si>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</si>
  <si>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</si>
  <si>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</si>
  <si>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</si>
  <si>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</si>
  <si>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</si>
  <si>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</si>
  <si>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</si>
  <si>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</si>
  <si>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</si>
  <si>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</si>
  <si>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</si>
  <si>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</si>
  <si>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</si>
  <si>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</si>
  <si>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</si>
  <si>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</si>
  <si>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</si>
  <si>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</si>
  <si>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</si>
  <si>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</si>
  <si>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</si>
  <si>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</si>
  <si>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</si>
  <si>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</si>
  <si>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</si>
  <si>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</si>
  <si>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</si>
  <si>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</si>
  <si>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</si>
  <si>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(line 29 - line 30 - line 30a)</t>
  </si>
  <si>
    <t>Account 565</t>
  </si>
  <si>
    <t>EPRI Expenses</t>
  </si>
  <si>
    <t>FERC Annual Fees</t>
  </si>
  <si>
    <t>FERC Annual Fees and EPRI Expenses</t>
  </si>
  <si>
    <t>FERC Fees and EPRI Expenses</t>
  </si>
  <si>
    <t>Account 216.1</t>
  </si>
  <si>
    <t>Unappropriated Undistributed Subsidiary Earnings</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</si>
  <si>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</si>
  <si>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</si>
  <si>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</si>
  <si>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</si>
  <si>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</si>
  <si>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</si>
  <si>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</si>
  <si>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</si>
  <si>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</si>
  <si>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</si>
  <si>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</si>
  <si>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</si>
  <si>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</si>
  <si>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</si>
  <si>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</si>
  <si>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</si>
  <si>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</si>
  <si>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</si>
  <si>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</si>
  <si>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</si>
  <si>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</si>
  <si>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</si>
  <si>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</si>
  <si>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</si>
  <si>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</si>
  <si>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</si>
  <si>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</si>
  <si>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</si>
  <si>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</si>
  <si>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</si>
  <si>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(Line 3 / Line 4)</t>
  </si>
  <si>
    <r>
      <t xml:space="preserve">* Data used for calculations is from Tax Tab of workbook. The data cells used are highlighted in </t>
    </r>
    <r>
      <rPr>
        <sz val="12"/>
        <rFont val="Arial MT"/>
      </rPr>
      <t>yellow.</t>
    </r>
  </si>
  <si>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</si>
  <si>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</si>
  <si>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</si>
  <si>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</si>
  <si>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</si>
  <si>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</si>
  <si>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</si>
  <si>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</si>
  <si>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Schedule 10-FERC charges should not be included in O&amp;M.</t>
  </si>
  <si>
    <t>Total Schedule 9 Transmission Revenue</t>
  </si>
  <si>
    <t>Total Schedule 26 Transmission Revenue</t>
  </si>
  <si>
    <t>Total Schedule 26-A Transmission Revenue</t>
  </si>
  <si>
    <t>Ames, Iowa</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</si>
  <si>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</si>
  <si>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</si>
  <si>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</si>
  <si>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</si>
  <si>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</si>
  <si>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</si>
  <si>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</si>
  <si>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</si>
  <si>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</si>
  <si>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</si>
  <si>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</si>
  <si>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</si>
  <si>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</si>
  <si>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</si>
  <si>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</si>
  <si>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</si>
  <si>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</si>
  <si>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</si>
  <si>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</si>
  <si>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</si>
  <si>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</si>
  <si>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</si>
  <si>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</si>
  <si>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</si>
  <si>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</si>
  <si>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</si>
  <si>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</si>
  <si>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</si>
  <si>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</si>
  <si>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</si>
  <si>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</si>
  <si>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</si>
  <si>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</si>
  <si>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</si>
  <si>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</si>
  <si>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</si>
  <si>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</si>
  <si>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</si>
  <si>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</si>
  <si>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</si>
  <si>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</si>
  <si>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</si>
  <si>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</si>
  <si>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</si>
  <si>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</si>
  <si>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</si>
  <si>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</si>
  <si>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</si>
  <si>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</si>
  <si>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</si>
  <si>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</si>
  <si>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</si>
  <si>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</si>
  <si>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</si>
  <si>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</si>
  <si>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</si>
  <si>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</si>
  <si>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</si>
  <si>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</si>
  <si>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</si>
  <si>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Reserved</t>
  </si>
  <si>
    <t>FERC Interest Rate</t>
  </si>
  <si>
    <t>Short Term Interest Rate</t>
  </si>
  <si>
    <t xml:space="preserve">Heartland (Auburn) </t>
  </si>
  <si>
    <t>Plant Account Balances - ARO</t>
  </si>
  <si>
    <t>Analysis of Accumulated Depreciation - ARO</t>
  </si>
  <si>
    <t>MVP 7</t>
  </si>
  <si>
    <t>2a</t>
  </si>
  <si>
    <t>Production - ARO</t>
  </si>
  <si>
    <t>Transmission - ARO</t>
  </si>
  <si>
    <t>Project P2248</t>
  </si>
  <si>
    <t>(Note Y)  (sum lines 7a - 7f)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</si>
  <si>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Summary Worksheet Line 37; the calculation of ADIT in the annual projection will be performed in accordance with IRS regulation Section 1.167(l)-1(h)(6) pursuant to ADIT Summary Worksheet line 24. The Annual True-up or projected net revenue requirement ADIT Summary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</si>
  <si>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</si>
  <si>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Attachment O revenue requirements have already been reduced by the Attachment MM revenue requirements.</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</si>
  <si>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</si>
  <si>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</si>
  <si>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</si>
  <si>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 Account 255 balances are calculated using a simple average of beginning of year and end of year balances.</t>
  </si>
  <si>
    <t xml:space="preserve">    Historic Year Actual Divisor</t>
  </si>
  <si>
    <t>Alliant (George)</t>
  </si>
  <si>
    <t>Alliant (St. Joseph)</t>
  </si>
  <si>
    <t>Realgy</t>
  </si>
  <si>
    <t>Statutory Rate</t>
  </si>
  <si>
    <t>(Note F)</t>
  </si>
  <si>
    <t>267.8.h        (Note FF)</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</si>
  <si>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</si>
  <si>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3205</t>
  </si>
  <si>
    <t>(I)</t>
  </si>
  <si>
    <t>(J)</t>
  </si>
  <si>
    <t>(A - B)</t>
  </si>
  <si>
    <t>(D - E)</t>
  </si>
  <si>
    <t>(G - H)</t>
  </si>
  <si>
    <t>(B - E + H)</t>
  </si>
  <si>
    <t>Gross Plant In Service Value (including AFUDC) included on line 2, page 2 of Attachment O</t>
  </si>
  <si>
    <r>
      <rPr>
        <sz val="11"/>
        <rFont val="Calibri"/>
        <family val="2"/>
        <scheme val="minor"/>
      </rPr>
      <t>AFUDC  (on In-Service plant) included in column A</t>
    </r>
    <r>
      <rPr>
        <sz val="12"/>
        <rFont val="Arial MT"/>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</si>
  <si>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</si>
  <si>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</si>
  <si>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</si>
  <si>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</si>
  <si>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</si>
  <si>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</si>
  <si>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</si>
  <si>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</si>
  <si>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</si>
  <si>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</si>
  <si>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</si>
  <si>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</si>
  <si>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</si>
  <si>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</si>
  <si>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 3213</t>
  </si>
  <si>
    <t>Gross Plant Value (including AFUDC) included on line 2, page 2 of Attachment O</t>
  </si>
  <si>
    <t xml:space="preserve">AFUDC included in column A </t>
  </si>
  <si>
    <t>Gross Plant Value Less AFUDC</t>
  </si>
  <si>
    <t>Amortized AFUDC included in column H</t>
  </si>
  <si>
    <t>AFUDC included in column E</t>
  </si>
  <si>
    <t>Project # 2248</t>
  </si>
  <si>
    <t>Project # 3022</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</si>
  <si>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</si>
  <si>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</si>
  <si>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</si>
  <si>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</si>
  <si>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</si>
  <si>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3a</t>
  </si>
  <si>
    <t>Distribution - ARO</t>
  </si>
  <si>
    <t>24a</t>
  </si>
  <si>
    <t>(Excess)/Deficient Deferred Income Taxes (Note HH)</t>
  </si>
  <si>
    <t>24b</t>
  </si>
  <si>
    <t>Tax Effect of Permanent Differences and AFUDC Equity (Note II)</t>
  </si>
  <si>
    <t>26a</t>
  </si>
  <si>
    <t>(Excess)/Deficient Deferred Income Tax Adjustment (Line 23 * Line 24a)</t>
  </si>
  <si>
    <t>26b</t>
  </si>
  <si>
    <t>Permanent Differences and AFUDC Equity Tax Adjustment (Line 23 * Line 24b)</t>
  </si>
  <si>
    <t>HH</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</si>
  <si>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 (page 3, line 26a).</t>
  </si>
  <si>
    <t>II</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</si>
  <si>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is included in page 3, line 24b and will increase or decrease tax expense by the amount of the expense or benefit included on line 24b multiplied by (1/(1-T)) (page 3, line 26b).</t>
  </si>
  <si>
    <t>Tax Impacts</t>
  </si>
  <si>
    <t>In-Service AFUDC Equity Reversal (Book Depr)</t>
  </si>
  <si>
    <t>(line 25 plus line 26 plus Line 26a and 26b)</t>
  </si>
  <si>
    <t xml:space="preserve">Central Iowa Power Cooperative (Ankeny REC) </t>
  </si>
  <si>
    <t xml:space="preserve">Central Iowa Power Cooperative (Walcott) </t>
  </si>
  <si>
    <t>Resale Power Group of Iowa (LaPorte City)</t>
  </si>
  <si>
    <t>Resale Power Group of Iowa (Buffalo)</t>
  </si>
  <si>
    <t>(Line 1 - Line 30 - Line 31 - Line 32)</t>
  </si>
  <si>
    <t>Total (Sum of Lines 2 through 28)</t>
  </si>
  <si>
    <t>(Line 29)</t>
  </si>
  <si>
    <t>MISO (MEC Trans Rev Forecast) (Schedule 9)</t>
  </si>
  <si>
    <t>Account 456.1 (Transmission of Electricity for Others)</t>
  </si>
  <si>
    <t>Net Transmission Revenues (Account 456.1)</t>
  </si>
  <si>
    <t>6f</t>
  </si>
  <si>
    <t>Adjustment to Net Revenue Requirement (Note JJ)</t>
  </si>
  <si>
    <t>6g</t>
  </si>
  <si>
    <t>Interest on Prior Year True-Up (Note KK)</t>
  </si>
  <si>
    <t>6h</t>
  </si>
  <si>
    <t>Total Adjustments (Line 6f + Line 6g)</t>
  </si>
  <si>
    <t>JJ</t>
  </si>
  <si>
    <t>Adjustments required pursuant to Section V (Changes to Annual Updates) to this Attachment O. Refunds shall be entered as a negative number to reduce the net revenue requirement. Surcharges shall be entered as a positive number to increase the net revenue requirement. As applicable, similar adjustments, in addition to those for the Projected Year’s true-up adjustments, shall be supported in workpapers provided by MidAmerican and included the “True-Up Adjustment” column of Attachment GG and Attachment MM for each impacted project.</t>
  </si>
  <si>
    <t>KK</t>
  </si>
  <si>
    <t>Interest required pursuant to Section V (changes to Annual Updates) to this Attachment O. Interest on any refunds shall be entered as a negative number to reduce the net revenue requirement. Interest on surcharges shall be entered as a positive number to increase the net revenue requirement. As applicable, similar adjustments, in addition to those for the Projected Year’s true-up adjustments, shall be supported in workpapers provided by MidAmerican and included the “True-Up Adjustment” column of Attachment GG and Attachment MM for each impacted project.</t>
  </si>
  <si>
    <t>Tax Rate</t>
  </si>
  <si>
    <t>MEC - Combined Tax Rate Calculation</t>
  </si>
  <si>
    <t>State</t>
  </si>
  <si>
    <t>IA</t>
  </si>
  <si>
    <t>IL</t>
  </si>
  <si>
    <t>MI</t>
  </si>
  <si>
    <t>KS</t>
  </si>
  <si>
    <t>MO</t>
  </si>
  <si>
    <t>NE</t>
  </si>
  <si>
    <t>Apportionment</t>
  </si>
  <si>
    <t>50% federal deductible</t>
  </si>
  <si>
    <t>State tax deductible except IA</t>
  </si>
  <si>
    <t>State tax deductible except IL</t>
  </si>
  <si>
    <t>State tax deductible</t>
  </si>
  <si>
    <t>Description</t>
  </si>
  <si>
    <t>Fed ADIT @ 21%</t>
  </si>
  <si>
    <t>Fed Offset</t>
  </si>
  <si>
    <t>IA Offset</t>
  </si>
  <si>
    <t>IL Offset</t>
  </si>
  <si>
    <t>NE Offset</t>
  </si>
  <si>
    <t>Check Digit</t>
  </si>
  <si>
    <t>Gross Dollars</t>
  </si>
  <si>
    <t>Tax per G/L</t>
  </si>
  <si>
    <t>Pretax Income</t>
  </si>
  <si>
    <t>apportioned rates</t>
  </si>
  <si>
    <t>fed offset</t>
  </si>
  <si>
    <t>state offset fed</t>
  </si>
  <si>
    <t>state offset</t>
  </si>
  <si>
    <t>net rates</t>
  </si>
  <si>
    <t>Federal Rate</t>
  </si>
  <si>
    <t>State Rate</t>
  </si>
  <si>
    <t>Gross up</t>
  </si>
  <si>
    <t>(line 1 minus line 6 plus line 6c through 6e + line 6h)</t>
  </si>
  <si>
    <r>
      <t>Pursuant to Attachment MM of the M</t>
    </r>
    <r>
      <rPr>
        <sz val="12"/>
        <rFont val="Times New Roman"/>
        <family val="1"/>
      </rPr>
      <t>ISO Tariff, removes dollar amount of revenue requirements calculated pursuant to Attachment MM.</t>
    </r>
  </si>
  <si>
    <r>
      <t>Removes from revenue credits that are distributed pursuant to Schedules associated with Attachment MM of the M</t>
    </r>
    <r>
      <rPr>
        <sz val="12"/>
        <rFont val="Times New Roman"/>
        <family val="1"/>
      </rPr>
      <t xml:space="preserve">ISO Tariff, since the Transmission Owner's </t>
    </r>
  </si>
  <si>
    <r>
      <t>Pursuant to Attachment GG of the M</t>
    </r>
    <r>
      <rPr>
        <sz val="12"/>
        <rFont val="Times New Roman"/>
        <family val="1"/>
      </rPr>
      <t>ISO Tariff, removes dollar amount of revenue requirements calculated pursuant to Attachment GG.</t>
    </r>
  </si>
  <si>
    <r>
      <t>Removes from revenue credits revenues that are distributed pursuant to Schedules associated with Attachment GG of the M</t>
    </r>
    <r>
      <rPr>
        <sz val="12"/>
        <rFont val="Times New Roman"/>
        <family val="1"/>
      </rPr>
      <t xml:space="preserve">ISO Tariff, since the Transmission Owner's Attachment O revenue requirements have already been reduced by the Attachment GG revenue requirements.  </t>
    </r>
  </si>
  <si>
    <t>For the 13 Months Ended December 31, 2022</t>
  </si>
  <si>
    <t>Budget Year Ending December 31, 2022</t>
  </si>
  <si>
    <t>Transmission of Electricity for Others (2022 MidAmerican Transmission Revenue Forecast)</t>
  </si>
  <si>
    <t>2022 MidAmerican Transmission Revenue Forecast</t>
  </si>
  <si>
    <t>12 Months Ending December 31, 2022</t>
  </si>
  <si>
    <t>2020 Attachment O True-up Adjustment</t>
  </si>
  <si>
    <t>For the Year Ended December 31, 2020</t>
  </si>
  <si>
    <t>Budget 2022</t>
  </si>
  <si>
    <t xml:space="preserve">Total Principal 2020 True-Up  </t>
  </si>
  <si>
    <t xml:space="preserve">Interest for 24 Months (Jan'20 - Dec '21)  </t>
  </si>
  <si>
    <t>Projected 2022</t>
  </si>
  <si>
    <t>Summary of Excess/Deficient ADIT and Equity AFUDC</t>
  </si>
  <si>
    <t>Attachment O</t>
  </si>
  <si>
    <t>Excess/Deficient ADIT</t>
  </si>
  <si>
    <t>Labor Related</t>
  </si>
  <si>
    <t>Plant Related</t>
  </si>
  <si>
    <t>Protected</t>
  </si>
  <si>
    <t>Protected - Iowa Deferral</t>
  </si>
  <si>
    <t>Unprotected</t>
  </si>
  <si>
    <t xml:space="preserve">     Subtotal</t>
  </si>
  <si>
    <t>(Excess)/Deficient ADIT</t>
  </si>
  <si>
    <t>page 3, line 24a</t>
  </si>
  <si>
    <t xml:space="preserve">            Total Book Depr on AFUDC Equity</t>
  </si>
  <si>
    <t xml:space="preserve">            Tax Rate</t>
  </si>
  <si>
    <t>page 3, line 24b</t>
  </si>
  <si>
    <t>Projected - For the 12 months ended 12/31/22</t>
  </si>
  <si>
    <t>Permanent Differences and AFUDC Equity Tax Adj</t>
  </si>
  <si>
    <t>AFUDC Equity included in Book Depreciation</t>
  </si>
  <si>
    <t>Other Permanent Differences</t>
  </si>
  <si>
    <t xml:space="preserve">            Allocated Other Permanent Differences</t>
  </si>
  <si>
    <t>Total Other Permanent Differences</t>
  </si>
  <si>
    <t>Total Permanent Differences and AFUDC Equity Tax Adj</t>
  </si>
  <si>
    <t>Attachment 1-4(c)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</si>
</sst>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0.0000%"/>
    <numFmt numFmtId="179" formatCode="[$-409]mmmm\-yy;@"/>
    <numFmt numFmtId="180" formatCode="0.000"/>
    <numFmt numFmtId="181" formatCode="#,##0;\-#,##0;&quot;-&quot;"/>
    <numFmt numFmtId="182" formatCode="[$-409]mmmm\ d\,\ yyyy;@"/>
    <numFmt numFmtId="183" formatCode="#,##0.00&quot;£&quot;_);\(#,##0.00&quot;£&quot;\)"/>
    <numFmt numFmtId="184" formatCode="mm/dd/yy"/>
    <numFmt numFmtId="185" formatCode="_(&quot;$&quot;* #,##0.0000_);_(&quot;$&quot;* \(#,##0.0000\);_(&quot;$&quot;* &quot;-&quot;??_);_(@_)"/>
    <numFmt numFmtId="186" formatCode="_(* #,##0.0000_);_(* \(#,##0.0000\);_(* &quot;-&quot;??_);_(@_)"/>
    <numFmt numFmtId="187" formatCode="0.0%_);\(0.0%\)"/>
    <numFmt numFmtId="188" formatCode="\•\ \ @"/>
    <numFmt numFmtId="189" formatCode="#,##0,_);\(#,##0,\)"/>
    <numFmt numFmtId="190" formatCode="#,##0.0_);\(#,##0.0\)"/>
    <numFmt numFmtId="191" formatCode="0.0,_);\(0.0,\)"/>
    <numFmt numFmtId="192" formatCode="0.00,_);\(0.00,\)"/>
    <numFmt numFmtId="193" formatCode="#,##0.000_);\(#,##0.000\)"/>
    <numFmt numFmtId="194" formatCode="_._.* #,##0.0_)_%;_._.* \(#,##0.0\)_%;_._.* \ ?_)_%"/>
    <numFmt numFmtId="195" formatCode="_._.* #,##0.00_)_%;_._.* \(#,##0.00\)_%;_._.* \ ?_)_%"/>
    <numFmt numFmtId="196" formatCode="_._.* #,##0.000_)_%;_._.* \(#,##0.000\)_%;_._.* \ ?_)_%"/>
    <numFmt numFmtId="197" formatCode="_._.* #,##0.0000_)_%;_._.* \(#,##0.0000\)_%;_._.* \ ?_)_%"/>
    <numFmt numFmtId="198" formatCode="_._.&quot;$&quot;* #,##0.0_)_%;_._.&quot;$&quot;* \(#,##0.0\)_%;_._.&quot;$&quot;* \ ?_)_%"/>
    <numFmt numFmtId="199" formatCode="_._.&quot;$&quot;* #,##0.00_)_%;_._.&quot;$&quot;* \(#,##0.00\)_%;_._.&quot;$&quot;* \ ?_)_%"/>
    <numFmt numFmtId="200" formatCode="_._.&quot;$&quot;* #,##0.000_)_%;_._.&quot;$&quot;* \(#,##0.000\)_%;_._.&quot;$&quot;* \ ?_)_%"/>
    <numFmt numFmtId="201" formatCode="_._.&quot;$&quot;* #,##0.0000_)_%;_._.&quot;$&quot;* \(#,##0.0000\)_%;_._.&quot;$&quot;* \ ?_)_%"/>
    <numFmt numFmtId="202" formatCode="&quot;$&quot;#,##0,_);\(&quot;$&quot;#,##0,\)"/>
    <numFmt numFmtId="203" formatCode="&quot;$&quot;#,##0.0_);\(&quot;$&quot;#,##0.0\)"/>
    <numFmt numFmtId="204" formatCode="&quot;$&quot;0.0,_);\(&quot;$&quot;0.0,\)"/>
    <numFmt numFmtId="205" formatCode="&quot;$&quot;0.00,_);\(&quot;$&quot;0.00,\)"/>
    <numFmt numFmtId="206" formatCode="&quot;$&quot;#,##0.000_);\(&quot;$&quot;#,##0.000\)"/>
    <numFmt numFmtId="207" formatCode="#,##0.0\x_);\(#,##0.0\x\)"/>
    <numFmt numFmtId="208" formatCode="#,##0.00\x_);\(#,##0.00\x\)"/>
    <numFmt numFmtId="209" formatCode="[$€-2]\ #,##0_);\([$€-2]\ #,##0\)"/>
    <numFmt numFmtId="210" formatCode="[$€-2]\ #,##0.0_);\([$€-2]\ #,##0.0\)"/>
    <numFmt numFmtId="211" formatCode="_([$€-2]* #,##0.00_);_([$€-2]* \(#,##0.00\);_([$€-2]* &quot;-&quot;??_)"/>
    <numFmt numFmtId="212" formatCode="#,##0\x;\(#,##0\x\)"/>
    <numFmt numFmtId="213" formatCode="0.0\x;\(0.0\x\)"/>
    <numFmt numFmtId="214" formatCode="#,##0.00\x;\(#,##0.00\x\)"/>
    <numFmt numFmtId="215" formatCode="#,##0.000\x;\(#,##0.000\x\)"/>
    <numFmt numFmtId="216" formatCode="0.0_);\(0.0\)"/>
    <numFmt numFmtId="217" formatCode="0%;\(0%\)"/>
    <numFmt numFmtId="218" formatCode="0.0%;\(0.0%\)"/>
    <numFmt numFmtId="219" formatCode="0.00%_);\(0.00%\)"/>
    <numFmt numFmtId="220" formatCode="0.000%_);\(0.000%\)"/>
    <numFmt numFmtId="221" formatCode="_(0_)%;\(0\)%;\ \ ?_)%"/>
    <numFmt numFmtId="222" formatCode="_._._(* 0_)%;_._.* \(0\)%;_._._(* \ ?_)%"/>
    <numFmt numFmtId="223" formatCode="0%_);\(0%\)"/>
    <numFmt numFmtId="224" formatCode="_(0.0_)%;\(0.0\)%;\ \ ?_)%"/>
    <numFmt numFmtId="225" formatCode="_._._(* 0.0_)%;_._.* \(0.0\)%;_._._(* \ ?_)%"/>
    <numFmt numFmtId="226" formatCode="_(0.00_)%;\(0.00\)%;\ \ ?_)%"/>
    <numFmt numFmtId="227" formatCode="_._._(* 0.00_)%;_._.* \(0.00\)%;_._._(* \ ?_)%"/>
    <numFmt numFmtId="228" formatCode="_(0.000_)%;\(0.000\)%;\ \ ?_)%"/>
    <numFmt numFmtId="229" formatCode="_._._(* 0.000_)%;_._.* \(0.000\)%;_._._(* \ ?_)%"/>
    <numFmt numFmtId="230" formatCode="_(0.0000_)%;\(0.0000\)%;\ \ ?_)%"/>
    <numFmt numFmtId="231" formatCode="_._._(* 0.0000_)%;_._.* \(0.0000\)%;_._._(* \ ?_)%"/>
    <numFmt numFmtId="232" formatCode="0.0%"/>
    <numFmt numFmtId="233" formatCode="_(* #,##0_);_(* \(#,##0\);_(* \ ?_)"/>
    <numFmt numFmtId="234" formatCode="_(* #,##0.0_);_(* \(#,##0.0\);_(* \ ?_)"/>
    <numFmt numFmtId="235" formatCode="_(* #,##0.00_);_(* \(#,##0.00\);_(* \ ?_)"/>
    <numFmt numFmtId="236" formatCode="_(* #,##0.000_);_(* \(#,##0.000\);_(* \ ?_)"/>
    <numFmt numFmtId="237" formatCode="_(&quot;$&quot;* #,##0_);_(&quot;$&quot;* \(#,##0\);_(&quot;$&quot;* \ ?_)"/>
    <numFmt numFmtId="238" formatCode="_(&quot;$&quot;* #,##0.0_);_(&quot;$&quot;* \(#,##0.0\);_(&quot;$&quot;* \ ?_)"/>
    <numFmt numFmtId="239" formatCode="_(&quot;$&quot;* #,##0.00_);_(&quot;$&quot;* \(#,##0.00\);_(&quot;$&quot;* \ ?_)"/>
    <numFmt numFmtId="240" formatCode="_(&quot;$&quot;* #,##0.000_);_(&quot;$&quot;* \(#,##0.000\);_(&quot;$&quot;* \ ?_)"/>
    <numFmt numFmtId="241" formatCode="0000&quot;A&quot;"/>
    <numFmt numFmtId="242" formatCode="0&quot;E&quot;"/>
    <numFmt numFmtId="243" formatCode="0000&quot;E&quot;"/>
    <numFmt numFmtId="244" formatCode="0.00000%"/>
    <numFmt numFmtId="245" formatCode="#,##0.00000000"/>
    <numFmt numFmtId="246" formatCode="0.00000_);\(0.00000\)"/>
    <numFmt numFmtId="247" formatCode="0.000000%"/>
  </numFmts>
  <fonts count="12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sz val="12"/>
      <color indexed="8"/>
      <name val="Arial"/>
      <family val="2"/>
    </font>
    <font>
      <sz val="10"/>
      <color indexed="12"/>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11"/>
      <name val="Calibri"/>
      <family val="2"/>
      <scheme val="minor"/>
    </font>
    <font>
      <b/>
      <sz val="14"/>
      <name val="Calibri"/>
      <family val="2"/>
      <scheme val="minor"/>
    </font>
    <font>
      <sz val="11"/>
      <color rgb="FF0070C0"/>
      <name val="Calibri"/>
      <family val="2"/>
      <scheme val="minor"/>
    </font>
    <font>
      <b/>
      <sz val="11"/>
      <color theme="1"/>
      <name val="Calibri"/>
      <family val="2"/>
      <scheme val="minor"/>
    </font>
    <font>
      <b/>
      <sz val="12"/>
      <color rgb="FF0070C0"/>
      <name val="Times New Roman"/>
      <family val="1"/>
    </font>
    <font>
      <sz val="8"/>
      <color rgb="FF0070C0"/>
      <name val="Arial"/>
      <family val="2"/>
    </font>
    <font>
      <sz val="6"/>
      <name val="Arial"/>
      <family val="2"/>
    </font>
    <font>
      <u/>
      <sz val="7"/>
      <name val="Arial"/>
      <family val="2"/>
    </font>
    <font>
      <sz val="7"/>
      <name val="Arial"/>
      <family val="2"/>
    </font>
    <font>
      <b/>
      <sz val="11"/>
      <name val="Calibri"/>
      <family val="2"/>
      <scheme val="minor"/>
    </font>
    <font>
      <sz val="10"/>
      <name val="Arial"/>
      <family val="2"/>
    </font>
    <font>
      <u val="singleAccounting"/>
      <sz val="11"/>
      <color theme="1"/>
      <name val="Calibri"/>
      <family val="2"/>
      <scheme val="minor"/>
    </font>
    <font>
      <sz val="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5">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
      <left/>
      <right/>
      <top style="thin">
        <color indexed="64"/>
      </top>
      <bottom style="double">
        <color indexed="64"/>
      </bottom>
      <diagonal/>
    </border>
    <border>
      <left/>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114">
    <xf numFmtId="173" fontId="0" fillId="0" borderId="0" applyProtection="0"/>
    <xf numFmtId="44" fontId="17"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10" fillId="0" borderId="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1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20" borderId="0" applyNumberFormat="0" applyBorder="0" applyAlignment="0" applyProtection="0"/>
    <xf numFmtId="0" fontId="29" fillId="4" borderId="0" applyNumberFormat="0" applyBorder="0" applyAlignment="0" applyProtection="0"/>
    <xf numFmtId="173" fontId="30" fillId="0" borderId="0" applyFill="0"/>
    <xf numFmtId="173" fontId="30" fillId="0" borderId="0">
      <alignment horizontal="center"/>
    </xf>
    <xf numFmtId="0" fontId="30" fillId="0" borderId="0" applyFill="0">
      <alignment horizontal="center"/>
    </xf>
    <xf numFmtId="173" fontId="31" fillId="0" borderId="21" applyFill="0"/>
    <xf numFmtId="0" fontId="17" fillId="0" borderId="0" applyFont="0" applyAlignment="0"/>
    <xf numFmtId="0" fontId="32" fillId="0" borderId="0" applyFill="0">
      <alignment vertical="top"/>
    </xf>
    <xf numFmtId="0" fontId="31" fillId="0" borderId="0" applyFill="0">
      <alignment horizontal="left" vertical="top"/>
    </xf>
    <xf numFmtId="173" fontId="22" fillId="0" borderId="9" applyFill="0"/>
    <xf numFmtId="0" fontId="17" fillId="0" borderId="0" applyNumberFormat="0" applyFont="0" applyAlignment="0"/>
    <xf numFmtId="0" fontId="32" fillId="0" borderId="0" applyFill="0">
      <alignment wrapText="1"/>
    </xf>
    <xf numFmtId="0" fontId="31" fillId="0" borderId="0" applyFill="0">
      <alignment horizontal="left" vertical="top" wrapText="1"/>
    </xf>
    <xf numFmtId="173" fontId="33" fillId="0" borderId="0" applyFill="0"/>
    <xf numFmtId="0" fontId="34" fillId="0" borderId="0" applyNumberFormat="0" applyFont="0" applyAlignment="0">
      <alignment horizontal="center"/>
    </xf>
    <xf numFmtId="0" fontId="35" fillId="0" borderId="0" applyFill="0">
      <alignment vertical="top" wrapText="1"/>
    </xf>
    <xf numFmtId="0" fontId="22" fillId="0" borderId="0" applyFill="0">
      <alignment horizontal="left" vertical="top" wrapText="1"/>
    </xf>
    <xf numFmtId="173" fontId="17" fillId="0" borderId="0" applyFill="0"/>
    <xf numFmtId="0" fontId="34" fillId="0" borderId="0" applyNumberFormat="0" applyFont="0" applyAlignment="0">
      <alignment horizontal="center"/>
    </xf>
    <xf numFmtId="0" fontId="36" fillId="0" borderId="0" applyFill="0">
      <alignment vertical="center" wrapText="1"/>
    </xf>
    <xf numFmtId="0" fontId="23" fillId="0" borderId="0">
      <alignment horizontal="left" vertical="center" wrapText="1"/>
    </xf>
    <xf numFmtId="173"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7" fillId="0" borderId="0" applyFill="0">
      <alignment horizontal="center" vertical="center" wrapText="1"/>
    </xf>
    <xf numFmtId="173"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3"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181" fontId="44" fillId="0" borderId="0" applyFill="0" applyBorder="0" applyAlignment="0"/>
    <xf numFmtId="0" fontId="45" fillId="21" borderId="22" applyNumberFormat="0" applyAlignment="0" applyProtection="0"/>
    <xf numFmtId="0" fontId="46" fillId="22" borderId="23" applyNumberFormat="0" applyAlignment="0" applyProtection="0"/>
    <xf numFmtId="41" fontId="25" fillId="0" borderId="0" applyFont="0" applyFill="0" applyBorder="0" applyAlignment="0" applyProtection="0"/>
    <xf numFmtId="41"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47" fillId="0" borderId="0" applyFont="0" applyFill="0" applyBorder="0" applyAlignment="0" applyProtection="0"/>
    <xf numFmtId="43" fontId="17" fillId="0" borderId="0" applyFont="0" applyFill="0" applyBorder="0" applyAlignment="0" applyProtection="0"/>
    <xf numFmtId="43" fontId="4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44" fillId="0" borderId="0" applyFont="0" applyFill="0" applyBorder="0" applyAlignment="0" applyProtection="0"/>
    <xf numFmtId="3" fontId="17" fillId="0" borderId="0" applyFont="0" applyFill="0" applyBorder="0" applyAlignment="0" applyProtection="0"/>
    <xf numFmtId="0" fontId="48" fillId="0" borderId="0" applyNumberFormat="0" applyAlignment="0">
      <alignment horizontal="left"/>
    </xf>
    <xf numFmtId="0" fontId="49" fillId="0" borderId="0"/>
    <xf numFmtId="44" fontId="17" fillId="0" borderId="0" applyFont="0" applyFill="0" applyBorder="0" applyAlignment="0" applyProtection="0"/>
    <xf numFmtId="44" fontId="10" fillId="0" borderId="0" applyFont="0" applyFill="0" applyBorder="0" applyAlignment="0" applyProtection="0"/>
    <xf numFmtId="44" fontId="21"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182" fontId="17" fillId="0" borderId="0" applyFont="0" applyFill="0" applyBorder="0" applyAlignment="0" applyProtection="0"/>
    <xf numFmtId="0" fontId="50" fillId="0" borderId="0" applyNumberFormat="0" applyAlignment="0">
      <alignment horizontal="left"/>
    </xf>
    <xf numFmtId="0" fontId="51" fillId="0" borderId="0" applyNumberFormat="0" applyFill="0" applyBorder="0" applyAlignment="0" applyProtection="0"/>
    <xf numFmtId="2" fontId="17" fillId="0" borderId="0" applyFont="0" applyFill="0" applyBorder="0" applyAlignment="0" applyProtection="0"/>
    <xf numFmtId="0" fontId="52" fillId="5" borderId="0" applyNumberFormat="0" applyBorder="0" applyAlignment="0" applyProtection="0"/>
    <xf numFmtId="38" fontId="30" fillId="23" borderId="0" applyNumberFormat="0" applyBorder="0" applyAlignment="0" applyProtection="0"/>
    <xf numFmtId="0" fontId="22" fillId="0" borderId="24" applyNumberFormat="0" applyAlignment="0" applyProtection="0">
      <alignment horizontal="left" vertical="center"/>
    </xf>
    <xf numFmtId="0" fontId="22" fillId="0" borderId="11">
      <alignment horizontal="left" vertical="center"/>
    </xf>
    <xf numFmtId="0" fontId="53" fillId="0" borderId="0" applyFont="0" applyFill="0" applyBorder="0" applyAlignment="0" applyProtection="0"/>
    <xf numFmtId="0" fontId="54" fillId="0" borderId="25" applyNumberFormat="0" applyFill="0" applyAlignment="0" applyProtection="0"/>
    <xf numFmtId="0" fontId="22" fillId="0" borderId="0" applyFont="0" applyFill="0" applyBorder="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0" borderId="1"/>
    <xf numFmtId="0" fontId="58" fillId="0" borderId="0"/>
    <xf numFmtId="10" fontId="30" fillId="24" borderId="28" applyNumberFormat="0" applyBorder="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60" fillId="0" borderId="29" applyNumberFormat="0" applyFill="0" applyAlignment="0" applyProtection="0"/>
    <xf numFmtId="0" fontId="61" fillId="25" borderId="0" applyNumberFormat="0" applyBorder="0" applyAlignment="0" applyProtection="0"/>
    <xf numFmtId="183" fontId="17" fillId="0" borderId="0"/>
    <xf numFmtId="173" fontId="21" fillId="0" borderId="0" applyProtection="0"/>
    <xf numFmtId="0" fontId="62" fillId="0" borderId="0"/>
    <xf numFmtId="0" fontId="21" fillId="0" borderId="0"/>
    <xf numFmtId="0" fontId="21" fillId="0" borderId="0"/>
    <xf numFmtId="0" fontId="25" fillId="0" borderId="0"/>
    <xf numFmtId="0" fontId="10" fillId="0" borderId="0"/>
    <xf numFmtId="173" fontId="21" fillId="0" borderId="0" applyProtection="0"/>
    <xf numFmtId="0" fontId="17" fillId="0" borderId="0"/>
    <xf numFmtId="0" fontId="62" fillId="0" borderId="0"/>
    <xf numFmtId="0" fontId="23" fillId="0" borderId="0"/>
    <xf numFmtId="0" fontId="44" fillId="0" borderId="0"/>
    <xf numFmtId="39" fontId="21" fillId="0" borderId="0"/>
    <xf numFmtId="0" fontId="21" fillId="0" borderId="0"/>
    <xf numFmtId="0" fontId="62" fillId="0" borderId="0"/>
    <xf numFmtId="173" fontId="21" fillId="0" borderId="0" applyProtection="0"/>
    <xf numFmtId="173" fontId="21" fillId="0" borderId="0" applyProtection="0"/>
    <xf numFmtId="0" fontId="21" fillId="26" borderId="30" applyNumberFormat="0" applyFont="0" applyAlignment="0" applyProtection="0"/>
    <xf numFmtId="0" fontId="63" fillId="21" borderId="31" applyNumberFormat="0" applyAlignment="0" applyProtection="0"/>
    <xf numFmtId="10" fontId="17"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3" fontId="17" fillId="0" borderId="0">
      <alignment horizontal="left" vertical="top"/>
    </xf>
    <xf numFmtId="0" fontId="65" fillId="0" borderId="1">
      <alignment horizontal="center"/>
    </xf>
    <xf numFmtId="3" fontId="47" fillId="0" borderId="0" applyFont="0" applyFill="0" applyBorder="0" applyAlignment="0" applyProtection="0"/>
    <xf numFmtId="0" fontId="47" fillId="27" borderId="0" applyNumberFormat="0" applyFont="0" applyBorder="0" applyAlignment="0" applyProtection="0"/>
    <xf numFmtId="3" fontId="17" fillId="0" borderId="0">
      <alignment horizontal="right" vertical="top"/>
    </xf>
    <xf numFmtId="41" fontId="23" fillId="23" borderId="14" applyFill="0"/>
    <xf numFmtId="0" fontId="66" fillId="0" borderId="0">
      <alignment horizontal="left" indent="7"/>
    </xf>
    <xf numFmtId="41" fontId="23" fillId="0" borderId="14" applyFill="0">
      <alignment horizontal="left" indent="2"/>
    </xf>
    <xf numFmtId="173" fontId="67" fillId="0" borderId="6" applyFill="0">
      <alignment horizontal="right"/>
    </xf>
    <xf numFmtId="0" fontId="68" fillId="0" borderId="28" applyNumberFormat="0" applyFont="0" applyBorder="0">
      <alignment horizontal="right"/>
    </xf>
    <xf numFmtId="0" fontId="69" fillId="0" borderId="0" applyFill="0"/>
    <xf numFmtId="0" fontId="22" fillId="0" borderId="0" applyFill="0"/>
    <xf numFmtId="4" fontId="67" fillId="0" borderId="6" applyFill="0"/>
    <xf numFmtId="0" fontId="17" fillId="0" borderId="0" applyNumberFormat="0" applyFont="0" applyBorder="0" applyAlignment="0"/>
    <xf numFmtId="0" fontId="35" fillId="0" borderId="0" applyFill="0">
      <alignment horizontal="left" indent="1"/>
    </xf>
    <xf numFmtId="0" fontId="70" fillId="0" borderId="0" applyFill="0">
      <alignment horizontal="left" indent="1"/>
    </xf>
    <xf numFmtId="4" fontId="37" fillId="0" borderId="0" applyFill="0"/>
    <xf numFmtId="0" fontId="17" fillId="0" borderId="0" applyNumberFormat="0" applyFont="0" applyFill="0" applyBorder="0" applyAlignment="0"/>
    <xf numFmtId="0" fontId="35" fillId="0" borderId="0" applyFill="0">
      <alignment horizontal="left" indent="2"/>
    </xf>
    <xf numFmtId="0" fontId="22" fillId="0" borderId="0" applyFill="0">
      <alignment horizontal="left" indent="2"/>
    </xf>
    <xf numFmtId="4" fontId="37" fillId="0" borderId="0" applyFill="0"/>
    <xf numFmtId="0" fontId="17" fillId="0" borderId="0" applyNumberFormat="0" applyFont="0" applyBorder="0" applyAlignment="0"/>
    <xf numFmtId="0" fontId="71" fillId="0" borderId="0">
      <alignment horizontal="left" indent="3"/>
    </xf>
    <xf numFmtId="0" fontId="72" fillId="0" borderId="0" applyFill="0">
      <alignment horizontal="left" indent="3"/>
    </xf>
    <xf numFmtId="4" fontId="37" fillId="0" borderId="0" applyFill="0"/>
    <xf numFmtId="0" fontId="17" fillId="0" borderId="0" applyNumberFormat="0" applyFont="0" applyBorder="0" applyAlignment="0"/>
    <xf numFmtId="0" fontId="38" fillId="0" borderId="0">
      <alignment horizontal="left" indent="4"/>
    </xf>
    <xf numFmtId="0" fontId="17" fillId="0" borderId="0" applyFill="0">
      <alignment horizontal="left" indent="4"/>
    </xf>
    <xf numFmtId="4" fontId="39" fillId="0" borderId="0" applyFill="0"/>
    <xf numFmtId="0" fontId="17"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7" fillId="0" borderId="0" applyNumberFormat="0" applyFont="0" applyFill="0" applyBorder="0" applyAlignment="0"/>
    <xf numFmtId="0" fontId="43" fillId="0" borderId="0" applyFill="0">
      <alignment horizontal="left" indent="6"/>
    </xf>
    <xf numFmtId="0" fontId="39" fillId="0" borderId="0" applyFill="0">
      <alignment horizontal="left" indent="6"/>
    </xf>
    <xf numFmtId="184" fontId="73" fillId="0" borderId="0" applyNumberFormat="0" applyFill="0" applyBorder="0" applyAlignment="0" applyProtection="0">
      <alignment horizontal="left"/>
    </xf>
    <xf numFmtId="40" fontId="74" fillId="0" borderId="0" applyBorder="0">
      <alignment horizontal="right"/>
    </xf>
    <xf numFmtId="0" fontId="75" fillId="0" borderId="0" applyNumberFormat="0" applyFill="0" applyBorder="0" applyAlignment="0" applyProtection="0"/>
    <xf numFmtId="0" fontId="17" fillId="0" borderId="0" applyFont="0" applyFill="0" applyBorder="0" applyAlignment="0" applyProtection="0"/>
    <xf numFmtId="0" fontId="76" fillId="0" borderId="32" applyNumberFormat="0" applyFill="0" applyAlignment="0" applyProtection="0"/>
    <xf numFmtId="0" fontId="77" fillId="0" borderId="0" applyNumberForma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7" fillId="0" borderId="0"/>
    <xf numFmtId="187" fontId="17" fillId="28" borderId="0" applyNumberFormat="0" applyFill="0" applyBorder="0" applyAlignment="0" applyProtection="0">
      <alignment horizontal="right" vertical="center"/>
    </xf>
    <xf numFmtId="187" fontId="26" fillId="0" borderId="0" applyNumberFormat="0" applyFill="0" applyBorder="0" applyAlignment="0" applyProtection="0"/>
    <xf numFmtId="0" fontId="17" fillId="0" borderId="6" applyNumberFormat="0" applyFont="0" applyFill="0" applyAlignment="0" applyProtection="0"/>
    <xf numFmtId="188" fontId="11" fillId="0" borderId="0" applyFont="0" applyFill="0" applyBorder="0" applyAlignment="0" applyProtection="0"/>
    <xf numFmtId="37" fontId="85" fillId="0" borderId="0" applyFont="0" applyFill="0" applyBorder="0" applyAlignment="0" applyProtection="0">
      <alignment vertical="center"/>
      <protection locked="0"/>
    </xf>
    <xf numFmtId="189" fontId="86" fillId="0" borderId="0" applyFont="0" applyFill="0" applyBorder="0" applyAlignment="0" applyProtection="0"/>
    <xf numFmtId="0" fontId="87" fillId="0" borderId="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73" fontId="22" fillId="0" borderId="33" applyFill="0"/>
    <xf numFmtId="190" fontId="88" fillId="0" borderId="0" applyFont="0" applyFill="0" applyBorder="0" applyAlignment="0" applyProtection="0">
      <protection locked="0"/>
    </xf>
    <xf numFmtId="191" fontId="88" fillId="0" borderId="0" applyFont="0" applyFill="0" applyBorder="0" applyAlignment="0" applyProtection="0">
      <protection locked="0"/>
    </xf>
    <xf numFmtId="39" fontId="17" fillId="0" borderId="0" applyFont="0" applyFill="0" applyBorder="0" applyAlignment="0" applyProtection="0"/>
    <xf numFmtId="192" fontId="89" fillId="0" borderId="0" applyFont="0" applyFill="0" applyBorder="0" applyAlignment="0" applyProtection="0"/>
    <xf numFmtId="193" fontId="86" fillId="0" borderId="0" applyFont="0" applyFill="0" applyBorder="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45" fillId="21" borderId="22" applyNumberFormat="0" applyAlignment="0" applyProtection="0"/>
    <xf numFmtId="0" fontId="17" fillId="0" borderId="6" applyNumberFormat="0" applyFont="0" applyFill="0" applyBorder="0" applyProtection="0">
      <alignment horizontal="centerContinuous" vertical="center"/>
    </xf>
    <xf numFmtId="0" fontId="67" fillId="0" borderId="0" applyFill="0" applyBorder="0" applyProtection="0">
      <alignment horizontal="center"/>
      <protection locked="0"/>
    </xf>
    <xf numFmtId="41" fontId="25" fillId="0" borderId="0" applyFont="0" applyFill="0" applyBorder="0" applyAlignment="0" applyProtection="0"/>
    <xf numFmtId="41" fontId="1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94" fontId="90" fillId="0" borderId="0" applyFont="0" applyFill="0" applyBorder="0" applyAlignment="0" applyProtection="0"/>
    <xf numFmtId="195" fontId="91" fillId="0" borderId="0" applyFont="0" applyFill="0" applyBorder="0" applyAlignment="0" applyProtection="0"/>
    <xf numFmtId="196" fontId="91" fillId="0" borderId="0" applyFont="0" applyFill="0" applyBorder="0" applyAlignment="0" applyProtection="0"/>
    <xf numFmtId="197" fontId="33" fillId="0" borderId="0" applyFont="0" applyFill="0" applyBorder="0" applyAlignment="0" applyProtection="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4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0" fontId="31" fillId="0" borderId="0" applyFill="0" applyBorder="0" applyAlignment="0" applyProtection="0">
      <protection locked="0"/>
    </xf>
    <xf numFmtId="0" fontId="17" fillId="0" borderId="34"/>
    <xf numFmtId="198" fontId="91" fillId="0" borderId="0" applyFont="0" applyFill="0" applyBorder="0" applyAlignment="0" applyProtection="0"/>
    <xf numFmtId="199" fontId="91" fillId="0" borderId="0" applyFont="0" applyFill="0" applyBorder="0" applyAlignment="0" applyProtection="0"/>
    <xf numFmtId="200" fontId="91" fillId="0" borderId="0" applyFont="0" applyFill="0" applyBorder="0" applyAlignment="0" applyProtection="0"/>
    <xf numFmtId="201" fontId="33" fillId="0" borderId="0" applyFont="0" applyFill="0" applyBorder="0" applyAlignment="0" applyProtection="0">
      <protection locked="0"/>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202" fontId="86" fillId="0" borderId="0" applyFont="0" applyFill="0" applyBorder="0" applyAlignment="0" applyProtection="0"/>
    <xf numFmtId="203" fontId="17" fillId="0" borderId="0" applyFont="0" applyFill="0" applyBorder="0" applyAlignment="0" applyProtection="0"/>
    <xf numFmtId="204" fontId="88" fillId="0" borderId="0" applyFont="0" applyFill="0" applyBorder="0" applyAlignment="0" applyProtection="0">
      <protection locked="0"/>
    </xf>
    <xf numFmtId="7" fontId="30" fillId="0" borderId="0" applyFont="0" applyFill="0" applyBorder="0" applyAlignment="0" applyProtection="0"/>
    <xf numFmtId="205" fontId="89" fillId="0" borderId="0" applyFont="0" applyFill="0" applyBorder="0" applyAlignment="0" applyProtection="0"/>
    <xf numFmtId="206" fontId="92" fillId="0" borderId="0" applyFont="0" applyFill="0" applyBorder="0" applyAlignment="0" applyProtection="0"/>
    <xf numFmtId="0" fontId="93" fillId="29" borderId="35" applyNumberFormat="0" applyFont="0" applyFill="0" applyAlignment="0" applyProtection="0">
      <alignment horizontal="left" indent="1"/>
    </xf>
    <xf numFmtId="5" fontId="94" fillId="0" borderId="0" applyBorder="0"/>
    <xf numFmtId="203" fontId="94" fillId="0" borderId="0" applyBorder="0"/>
    <xf numFmtId="7" fontId="94" fillId="0" borderId="0" applyBorder="0"/>
    <xf numFmtId="37" fontId="94" fillId="0" borderId="0" applyBorder="0"/>
    <xf numFmtId="190" fontId="94" fillId="0" borderId="0" applyBorder="0"/>
    <xf numFmtId="207" fontId="94" fillId="0" borderId="0" applyBorder="0"/>
    <xf numFmtId="39" fontId="94" fillId="0" borderId="0" applyBorder="0"/>
    <xf numFmtId="208" fontId="94" fillId="0" borderId="0" applyBorder="0"/>
    <xf numFmtId="7" fontId="17" fillId="0" borderId="0" applyFont="0" applyFill="0" applyBorder="0" applyAlignment="0" applyProtection="0"/>
    <xf numFmtId="209" fontId="86" fillId="0" borderId="0" applyFont="0" applyFill="0" applyBorder="0" applyAlignment="0" applyProtection="0"/>
    <xf numFmtId="210" fontId="86" fillId="0" borderId="0" applyFont="0" applyFill="0" applyAlignment="0" applyProtection="0"/>
    <xf numFmtId="209" fontId="86" fillId="0" borderId="0" applyFont="0" applyFill="0" applyBorder="0" applyAlignment="0" applyProtection="0"/>
    <xf numFmtId="211" fontId="30" fillId="0" borderId="0" applyFont="0" applyFill="0" applyBorder="0" applyAlignment="0" applyProtection="0"/>
    <xf numFmtId="190" fontId="95" fillId="0" borderId="0" applyNumberFormat="0" applyFill="0" applyBorder="0" applyAlignment="0" applyProtection="0"/>
    <xf numFmtId="0" fontId="30" fillId="0" borderId="0" applyFont="0" applyFill="0" applyBorder="0" applyAlignment="0" applyProtection="0"/>
    <xf numFmtId="0" fontId="95" fillId="0" borderId="0" applyNumberFormat="0" applyFill="0" applyBorder="0" applyAlignment="0" applyProtection="0"/>
    <xf numFmtId="38" fontId="30" fillId="23" borderId="0" applyNumberFormat="0" applyBorder="0" applyAlignment="0" applyProtection="0"/>
    <xf numFmtId="0" fontId="96" fillId="30" borderId="0" applyNumberFormat="0" applyFill="0" applyBorder="0" applyAlignment="0" applyProtection="0"/>
    <xf numFmtId="0" fontId="96" fillId="30" borderId="0" applyNumberFormat="0" applyFill="0" applyBorder="0" applyAlignment="0" applyProtection="0"/>
    <xf numFmtId="0" fontId="96" fillId="30" borderId="0" applyNumberFormat="0" applyFill="0" applyBorder="0" applyAlignment="0" applyProtection="0"/>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0" fontId="22" fillId="0" borderId="11">
      <alignment horizontal="left" vertical="center"/>
    </xf>
    <xf numFmtId="14" fontId="68" fillId="31" borderId="1">
      <alignment horizontal="center" vertical="center" wrapText="1"/>
    </xf>
    <xf numFmtId="0" fontId="67" fillId="0" borderId="0" applyFill="0" applyAlignment="0" applyProtection="0">
      <protection locked="0"/>
    </xf>
    <xf numFmtId="0" fontId="67" fillId="0" borderId="6" applyFill="0" applyAlignment="0" applyProtection="0">
      <protection locked="0"/>
    </xf>
    <xf numFmtId="0" fontId="97" fillId="0" borderId="6" applyNumberFormat="0" applyFill="0" applyAlignment="0" applyProtection="0"/>
    <xf numFmtId="0" fontId="98" fillId="32" borderId="0" applyNumberFormat="0" applyFont="0" applyBorder="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0" fontId="99" fillId="33" borderId="28" applyNumberFormat="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10" fontId="30" fillId="24" borderId="28" applyNumberFormat="0" applyBorder="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0" fontId="59" fillId="8" borderId="22" applyNumberFormat="0" applyAlignment="0" applyProtection="0"/>
    <xf numFmtId="5" fontId="100" fillId="0" borderId="0" applyBorder="0"/>
    <xf numFmtId="203" fontId="100" fillId="0" borderId="0" applyBorder="0"/>
    <xf numFmtId="7" fontId="100" fillId="0" borderId="0" applyBorder="0"/>
    <xf numFmtId="37" fontId="100" fillId="0" borderId="0" applyBorder="0"/>
    <xf numFmtId="190" fontId="100" fillId="0" borderId="0" applyBorder="0"/>
    <xf numFmtId="207" fontId="100" fillId="0" borderId="0" applyBorder="0"/>
    <xf numFmtId="39" fontId="100" fillId="0" borderId="0" applyBorder="0"/>
    <xf numFmtId="208" fontId="100" fillId="0" borderId="0" applyBorder="0"/>
    <xf numFmtId="0" fontId="98" fillId="0" borderId="3" applyNumberFormat="0" applyFont="0" applyFill="0" applyAlignment="0" applyProtection="0"/>
    <xf numFmtId="212" fontId="17" fillId="0" borderId="0" applyFont="0" applyFill="0" applyBorder="0" applyAlignment="0" applyProtection="0"/>
    <xf numFmtId="213" fontId="17"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6" fontId="17" fillId="0" borderId="0" applyFont="0" applyFill="0" applyBorder="0" applyAlignment="0" applyProtection="0"/>
    <xf numFmtId="0" fontId="17" fillId="0" borderId="0"/>
    <xf numFmtId="0" fontId="62"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21" fillId="0" borderId="0" applyProtection="0"/>
    <xf numFmtId="173" fontId="21" fillId="0" borderId="0" applyProtection="0"/>
    <xf numFmtId="173" fontId="21" fillId="0" borderId="0" applyProtection="0"/>
    <xf numFmtId="0" fontId="17" fillId="0" borderId="0"/>
    <xf numFmtId="173" fontId="21" fillId="0" borderId="0" applyProtection="0"/>
    <xf numFmtId="0" fontId="7" fillId="0" borderId="0"/>
    <xf numFmtId="0" fontId="7" fillId="0" borderId="0"/>
    <xf numFmtId="0" fontId="7" fillId="0" borderId="0"/>
    <xf numFmtId="0" fontId="7" fillId="0" borderId="0"/>
    <xf numFmtId="173" fontId="21" fillId="0" borderId="0" applyProtection="0"/>
    <xf numFmtId="0" fontId="7" fillId="0" borderId="0"/>
    <xf numFmtId="0" fontId="7" fillId="0" borderId="0"/>
    <xf numFmtId="173" fontId="21" fillId="0" borderId="0" applyProtection="0"/>
    <xf numFmtId="173" fontId="21" fillId="0" borderId="0" applyProtection="0"/>
    <xf numFmtId="173" fontId="21" fillId="0" borderId="0" applyProtection="0"/>
    <xf numFmtId="173" fontId="21" fillId="0" borderId="0" applyProtection="0"/>
    <xf numFmtId="173" fontId="21" fillId="0" borderId="0" applyProtection="0"/>
    <xf numFmtId="0" fontId="7" fillId="0" borderId="0"/>
    <xf numFmtId="0" fontId="7" fillId="0" borderId="0"/>
    <xf numFmtId="173" fontId="21" fillId="0" borderId="0" applyProtection="0"/>
    <xf numFmtId="0" fontId="17" fillId="0" borderId="0"/>
    <xf numFmtId="0" fontId="86" fillId="0" borderId="0"/>
    <xf numFmtId="0" fontId="86" fillId="0" borderId="0"/>
    <xf numFmtId="0" fontId="62" fillId="0" borderId="0"/>
    <xf numFmtId="0" fontId="17" fillId="0" borderId="0"/>
    <xf numFmtId="0" fontId="17" fillId="0" borderId="0"/>
    <xf numFmtId="0" fontId="44" fillId="0" borderId="0"/>
    <xf numFmtId="0" fontId="17" fillId="0" borderId="0"/>
    <xf numFmtId="0" fontId="23" fillId="0" borderId="0"/>
    <xf numFmtId="0" fontId="17" fillId="0" borderId="0"/>
    <xf numFmtId="0" fontId="17" fillId="0" borderId="0"/>
    <xf numFmtId="0" fontId="86" fillId="0" borderId="0"/>
    <xf numFmtId="39" fontId="21" fillId="0" borderId="0"/>
    <xf numFmtId="173" fontId="21" fillId="0" borderId="0" applyProtection="0"/>
    <xf numFmtId="0" fontId="21" fillId="0" borderId="0"/>
    <xf numFmtId="0" fontId="7" fillId="0" borderId="0"/>
    <xf numFmtId="0" fontId="7" fillId="0" borderId="0"/>
    <xf numFmtId="0" fontId="7" fillId="0" borderId="0"/>
    <xf numFmtId="173" fontId="21" fillId="0" borderId="0" applyProtection="0"/>
    <xf numFmtId="0" fontId="62" fillId="0" borderId="0"/>
    <xf numFmtId="0" fontId="7" fillId="0" borderId="0"/>
    <xf numFmtId="0" fontId="7" fillId="0" borderId="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21" fillId="26" borderId="30" applyNumberFormat="0" applyFon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0" fontId="63" fillId="21" borderId="31" applyNumberFormat="0" applyAlignment="0" applyProtection="0"/>
    <xf numFmtId="217" fontId="17" fillId="0" borderId="0" applyFont="0" applyFill="0" applyBorder="0" applyAlignment="0" applyProtection="0"/>
    <xf numFmtId="218" fontId="37" fillId="2" borderId="0" applyFont="0" applyFill="0" applyBorder="0" applyAlignment="0" applyProtection="0"/>
    <xf numFmtId="219" fontId="37" fillId="2" borderId="0" applyFont="0" applyFill="0" applyBorder="0" applyAlignment="0" applyProtection="0"/>
    <xf numFmtId="220" fontId="17" fillId="0" borderId="0" applyFont="0" applyFill="0" applyBorder="0" applyAlignment="0" applyProtection="0"/>
    <xf numFmtId="221" fontId="91" fillId="0" borderId="0" applyFont="0" applyFill="0" applyBorder="0" applyAlignment="0" applyProtection="0"/>
    <xf numFmtId="222" fontId="90" fillId="0" borderId="0" applyFont="0" applyFill="0" applyBorder="0" applyAlignment="0" applyProtection="0"/>
    <xf numFmtId="223" fontId="17" fillId="0" borderId="0" applyFont="0" applyFill="0" applyBorder="0" applyAlignment="0" applyProtection="0"/>
    <xf numFmtId="224" fontId="91" fillId="0" borderId="0" applyFont="0" applyFill="0" applyBorder="0" applyAlignment="0" applyProtection="0"/>
    <xf numFmtId="225" fontId="90" fillId="0" borderId="0" applyFont="0" applyFill="0" applyBorder="0" applyAlignment="0" applyProtection="0"/>
    <xf numFmtId="226" fontId="91" fillId="0" borderId="0" applyFont="0" applyFill="0" applyBorder="0" applyAlignment="0" applyProtection="0"/>
    <xf numFmtId="227" fontId="90" fillId="0" borderId="0" applyFont="0" applyFill="0" applyBorder="0" applyAlignment="0" applyProtection="0"/>
    <xf numFmtId="228" fontId="91" fillId="0" borderId="0" applyFont="0" applyFill="0" applyBorder="0" applyAlignment="0" applyProtection="0"/>
    <xf numFmtId="229" fontId="90" fillId="0" borderId="0" applyFont="0" applyFill="0" applyBorder="0" applyAlignment="0" applyProtection="0"/>
    <xf numFmtId="230" fontId="33" fillId="0" borderId="0" applyFont="0" applyFill="0" applyBorder="0" applyAlignment="0" applyProtection="0">
      <protection locked="0"/>
    </xf>
    <xf numFmtId="231" fontId="9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94" fillId="0" borderId="0" applyBorder="0"/>
    <xf numFmtId="232" fontId="94" fillId="0" borderId="0" applyBorder="0"/>
    <xf numFmtId="10" fontId="94" fillId="0" borderId="0" applyBorder="0"/>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68" fillId="0" borderId="36" applyNumberFormat="0" applyFont="0" applyBorder="0">
      <alignment horizontal="right"/>
    </xf>
    <xf numFmtId="0" fontId="98" fillId="0" borderId="4" applyNumberFormat="0" applyFont="0" applyFill="0" applyAlignment="0" applyProtection="0"/>
    <xf numFmtId="0" fontId="101" fillId="0" borderId="0" applyNumberFormat="0" applyFill="0" applyBorder="0" applyAlignment="0" applyProtection="0"/>
    <xf numFmtId="0" fontId="102" fillId="0" borderId="0"/>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17" fillId="34" borderId="31" applyNumberFormat="0" applyProtection="0">
      <alignment horizontal="left" vertical="center" indent="1"/>
    </xf>
    <xf numFmtId="0" fontId="31" fillId="35" borderId="0"/>
    <xf numFmtId="0" fontId="17" fillId="23" borderId="34" applyNumberFormat="0" applyFont="0" applyAlignment="0"/>
    <xf numFmtId="0" fontId="98" fillId="29" borderId="0" applyNumberFormat="0" applyFont="0" applyBorder="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218" fontId="103" fillId="0" borderId="11" applyNumberFormat="0" applyFont="0" applyFill="0" applyAlignment="0" applyProtection="0"/>
    <xf numFmtId="0" fontId="104" fillId="0" borderId="0" applyFill="0" applyBorder="0" applyProtection="0">
      <alignment horizontal="left" vertical="top"/>
    </xf>
    <xf numFmtId="0" fontId="17" fillId="0" borderId="33" applyNumberFormat="0" applyFont="0" applyFill="0" applyAlignment="0" applyProtection="0"/>
    <xf numFmtId="0" fontId="17" fillId="0" borderId="33" applyNumberFormat="0" applyFon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105" fillId="0" borderId="0" applyNumberFormat="0" applyFill="0" applyBorder="0" applyAlignment="0" applyProtection="0"/>
    <xf numFmtId="233" fontId="90" fillId="0" borderId="0" applyFont="0" applyFill="0" applyBorder="0" applyAlignment="0" applyProtection="0"/>
    <xf numFmtId="234" fontId="90" fillId="0" borderId="0" applyFont="0" applyFill="0" applyBorder="0" applyAlignment="0" applyProtection="0"/>
    <xf numFmtId="235" fontId="90" fillId="0" borderId="0" applyFont="0" applyFill="0" applyBorder="0" applyAlignment="0" applyProtection="0"/>
    <xf numFmtId="236" fontId="90" fillId="0" borderId="0" applyFont="0" applyFill="0" applyBorder="0" applyAlignment="0" applyProtection="0"/>
    <xf numFmtId="237" fontId="90" fillId="0" borderId="0" applyFont="0" applyFill="0" applyBorder="0" applyAlignment="0" applyProtection="0"/>
    <xf numFmtId="238" fontId="90" fillId="0" borderId="0" applyFont="0" applyFill="0" applyBorder="0" applyAlignment="0" applyProtection="0"/>
    <xf numFmtId="239" fontId="90" fillId="0" borderId="0" applyFont="0" applyFill="0" applyBorder="0" applyAlignment="0" applyProtection="0"/>
    <xf numFmtId="240" fontId="90" fillId="0" borderId="0" applyFont="0" applyFill="0" applyBorder="0" applyAlignment="0" applyProtection="0"/>
    <xf numFmtId="241" fontId="106" fillId="29" borderId="37" applyFont="0" applyFill="0" applyBorder="0" applyAlignment="0" applyProtection="0"/>
    <xf numFmtId="241" fontId="86" fillId="0" borderId="0" applyFont="0" applyFill="0" applyBorder="0" applyAlignment="0" applyProtection="0"/>
    <xf numFmtId="242" fontId="89" fillId="0" borderId="0" applyFont="0" applyFill="0" applyBorder="0" applyAlignment="0" applyProtection="0"/>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243" fontId="92" fillId="0" borderId="11" applyFont="0" applyFill="0" applyBorder="0" applyAlignment="0" applyProtection="0">
      <alignment horizontal="right"/>
      <protection locked="0"/>
    </xf>
    <xf numFmtId="0" fontId="6" fillId="0" borderId="0"/>
    <xf numFmtId="44" fontId="6"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7" fillId="0" borderId="0"/>
    <xf numFmtId="0" fontId="17" fillId="0" borderId="0"/>
    <xf numFmtId="0" fontId="11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cellStyleXfs>
  <cellXfs count="474">
    <xf numFmtId="173" fontId="0" fillId="0" borderId="0" xfId="0" applyAlignment="1"/>
    <xf numFmtId="0" fontId="11" fillId="0" borderId="0" xfId="0" applyNumberFormat="1" applyFont="1" applyFill="1" applyProtection="1">
      <protection locked="0"/>
    </xf>
    <xf numFmtId="0" fontId="12" fillId="0" borderId="0" xfId="0" applyNumberFormat="1" applyFont="1" applyFill="1" applyAlignment="1" applyProtection="1">
      <alignment horizontal="center"/>
      <protection locked="0"/>
    </xf>
    <xf numFmtId="0" fontId="11" fillId="0" borderId="1" xfId="0" applyNumberFormat="1" applyFont="1" applyFill="1" applyBorder="1" applyProtection="1">
      <protection locked="0"/>
    </xf>
    <xf numFmtId="3" fontId="11" fillId="0" borderId="0" xfId="0" applyNumberFormat="1" applyFont="1" applyFill="1" applyAlignment="1" applyProtection="1">
      <protection locked="0"/>
    </xf>
    <xf numFmtId="38" fontId="11" fillId="0" borderId="0" xfId="0" applyNumberFormat="1" applyFont="1" applyFill="1" applyBorder="1" applyProtection="1"/>
    <xf numFmtId="170" fontId="11" fillId="0" borderId="0" xfId="0" applyNumberFormat="1" applyFont="1" applyFill="1" applyBorder="1" applyAlignment="1" applyProtection="1"/>
    <xf numFmtId="3" fontId="11" fillId="0" borderId="0" xfId="0" applyNumberFormat="1" applyFont="1" applyFill="1" applyAlignment="1" applyProtection="1"/>
    <xf numFmtId="0" fontId="11" fillId="0" borderId="0" xfId="0" applyNumberFormat="1" applyFont="1" applyFill="1" applyAlignment="1" applyProtection="1">
      <alignment horizontal="center"/>
      <protection locked="0"/>
    </xf>
    <xf numFmtId="172" fontId="11" fillId="0" borderId="0" xfId="0" applyNumberFormat="1" applyFont="1" applyFill="1" applyProtection="1">
      <protection locked="0"/>
    </xf>
    <xf numFmtId="0" fontId="11" fillId="0" borderId="0" xfId="0" applyNumberFormat="1" applyFont="1" applyFill="1" applyAlignment="1" applyProtection="1">
      <alignment horizontal="left" vertical="top" wrapText="1" indent="8"/>
      <protection locked="0"/>
    </xf>
    <xf numFmtId="0" fontId="11" fillId="0" borderId="1" xfId="0" applyNumberFormat="1" applyFont="1" applyFill="1" applyBorder="1" applyAlignment="1" applyProtection="1">
      <protection locked="0"/>
    </xf>
    <xf numFmtId="173" fontId="0" fillId="0" borderId="3" xfId="0" applyBorder="1" applyAlignment="1"/>
    <xf numFmtId="173" fontId="0" fillId="0" borderId="4" xfId="0" applyBorder="1" applyAlignment="1"/>
    <xf numFmtId="173" fontId="0" fillId="0" borderId="0" xfId="0" applyBorder="1" applyAlignment="1"/>
    <xf numFmtId="0" fontId="0" fillId="0" borderId="0" xfId="0" applyNumberFormat="1" applyAlignment="1"/>
    <xf numFmtId="0" fontId="22" fillId="0" borderId="0" xfId="0" applyNumberFormat="1" applyFont="1" applyAlignment="1"/>
    <xf numFmtId="0" fontId="22" fillId="0" borderId="0" xfId="0" applyNumberFormat="1" applyFont="1" applyAlignment="1">
      <alignment horizontal="center"/>
    </xf>
    <xf numFmtId="0" fontId="23" fillId="0" borderId="0" xfId="0" applyNumberFormat="1" applyFont="1" applyAlignment="1"/>
    <xf numFmtId="0" fontId="23" fillId="0" borderId="0" xfId="0" applyNumberFormat="1" applyFont="1"/>
    <xf numFmtId="0" fontId="23" fillId="0" borderId="0" xfId="0" applyNumberFormat="1" applyFont="1" applyAlignment="1">
      <alignment horizontal="center"/>
    </xf>
    <xf numFmtId="175" fontId="23" fillId="0" borderId="0" xfId="1" applyNumberFormat="1" applyFont="1"/>
    <xf numFmtId="0" fontId="22" fillId="0" borderId="0" xfId="0" applyNumberFormat="1" applyFont="1"/>
    <xf numFmtId="174" fontId="23" fillId="0" borderId="0" xfId="0" applyNumberFormat="1" applyFont="1" applyAlignment="1">
      <alignment horizontal="center"/>
    </xf>
    <xf numFmtId="175" fontId="23" fillId="0" borderId="0" xfId="0" applyNumberFormat="1" applyFont="1" applyAlignment="1">
      <alignment horizontal="center"/>
    </xf>
    <xf numFmtId="174" fontId="23" fillId="0" borderId="0" xfId="2" applyNumberFormat="1" applyFont="1" applyAlignment="1"/>
    <xf numFmtId="174" fontId="23" fillId="0" borderId="0" xfId="2" applyNumberFormat="1" applyFont="1"/>
    <xf numFmtId="174" fontId="23" fillId="0" borderId="0" xfId="2" applyNumberFormat="1" applyFont="1" applyBorder="1"/>
    <xf numFmtId="174" fontId="23" fillId="0" borderId="6" xfId="2" applyNumberFormat="1" applyFont="1" applyBorder="1"/>
    <xf numFmtId="175" fontId="23" fillId="0" borderId="6" xfId="1" applyNumberFormat="1" applyFont="1" applyBorder="1"/>
    <xf numFmtId="175" fontId="22" fillId="0" borderId="0" xfId="1" applyNumberFormat="1" applyFont="1" applyBorder="1"/>
    <xf numFmtId="176" fontId="23" fillId="0" borderId="0" xfId="2" applyNumberFormat="1" applyFont="1"/>
    <xf numFmtId="175" fontId="23" fillId="0" borderId="0" xfId="1" applyNumberFormat="1" applyFont="1" applyBorder="1"/>
    <xf numFmtId="175" fontId="23" fillId="0" borderId="0" xfId="0" applyNumberFormat="1" applyFont="1"/>
    <xf numFmtId="175" fontId="22"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24" fillId="0" borderId="0" xfId="0" applyFont="1" applyAlignment="1"/>
    <xf numFmtId="173" fontId="0" fillId="0" borderId="6" xfId="0" applyBorder="1" applyAlignment="1"/>
    <xf numFmtId="173" fontId="0" fillId="0" borderId="0" xfId="0" applyAlignment="1">
      <alignment horizontal="center"/>
    </xf>
    <xf numFmtId="173" fontId="0" fillId="0" borderId="12" xfId="0" applyBorder="1" applyAlignment="1">
      <alignment horizontal="center"/>
    </xf>
    <xf numFmtId="173" fontId="0" fillId="0" borderId="13" xfId="0" applyBorder="1" applyAlignment="1">
      <alignment horizontal="center"/>
    </xf>
    <xf numFmtId="173" fontId="24" fillId="0" borderId="8" xfId="0" applyFont="1" applyBorder="1" applyAlignment="1">
      <alignment horizontal="center"/>
    </xf>
    <xf numFmtId="173" fontId="24" fillId="0" borderId="9" xfId="0" applyFont="1" applyBorder="1" applyAlignment="1">
      <alignment horizontal="center"/>
    </xf>
    <xf numFmtId="173" fontId="24" fillId="0" borderId="10" xfId="0" applyFont="1" applyBorder="1" applyAlignment="1"/>
    <xf numFmtId="173" fontId="24" fillId="0" borderId="5" xfId="0" applyFont="1" applyBorder="1" applyAlignment="1">
      <alignment horizontal="center"/>
    </xf>
    <xf numFmtId="173" fontId="24" fillId="0" borderId="6" xfId="0" applyFont="1" applyBorder="1" applyAlignment="1">
      <alignment horizontal="center"/>
    </xf>
    <xf numFmtId="173" fontId="24" fillId="0" borderId="7" xfId="0" applyFont="1" applyBorder="1" applyAlignment="1">
      <alignment horizontal="center"/>
    </xf>
    <xf numFmtId="0" fontId="0" fillId="0" borderId="12" xfId="2" applyNumberFormat="1" applyFont="1" applyBorder="1" applyAlignment="1">
      <alignment horizontal="center"/>
    </xf>
    <xf numFmtId="0" fontId="0" fillId="0" borderId="14" xfId="2" applyNumberFormat="1" applyFont="1" applyBorder="1" applyAlignment="1">
      <alignment horizontal="center"/>
    </xf>
    <xf numFmtId="173" fontId="0" fillId="0" borderId="13"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24" fillId="0" borderId="0" xfId="0" applyFont="1" applyBorder="1" applyAlignment="1">
      <alignment horizontal="center"/>
    </xf>
    <xf numFmtId="173" fontId="0" fillId="0" borderId="12" xfId="0" applyBorder="1" applyAlignment="1"/>
    <xf numFmtId="0" fontId="0" fillId="0" borderId="12" xfId="0" applyNumberFormat="1" applyBorder="1" applyAlignment="1">
      <alignment horizontal="center"/>
    </xf>
    <xf numFmtId="0" fontId="0" fillId="0" borderId="14" xfId="0" applyNumberFormat="1" applyBorder="1" applyAlignment="1">
      <alignment horizontal="center"/>
    </xf>
    <xf numFmtId="173" fontId="0" fillId="0" borderId="14" xfId="0" applyBorder="1" applyAlignment="1"/>
    <xf numFmtId="179" fontId="0" fillId="0" borderId="8" xfId="0" applyNumberFormat="1" applyBorder="1" applyAlignment="1">
      <alignment horizontal="left"/>
    </xf>
    <xf numFmtId="179" fontId="0" fillId="0" borderId="3" xfId="0" applyNumberFormat="1" applyBorder="1" applyAlignment="1">
      <alignment horizontal="left"/>
    </xf>
    <xf numFmtId="173" fontId="24" fillId="0" borderId="8" xfId="0" applyFont="1" applyBorder="1" applyAlignment="1"/>
    <xf numFmtId="173" fontId="24"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5" xfId="2" applyNumberFormat="1" applyFont="1" applyBorder="1" applyAlignment="1"/>
    <xf numFmtId="173" fontId="24" fillId="0" borderId="3" xfId="0" applyFont="1" applyBorder="1" applyAlignment="1"/>
    <xf numFmtId="174" fontId="24" fillId="0" borderId="0" xfId="2" applyNumberFormat="1" applyFont="1" applyBorder="1" applyAlignment="1"/>
    <xf numFmtId="173" fontId="0" fillId="0" borderId="14" xfId="0" applyBorder="1" applyAlignment="1">
      <alignment horizontal="center"/>
    </xf>
    <xf numFmtId="173" fontId="24" fillId="0" borderId="0" xfId="0" applyFont="1" applyBorder="1" applyAlignment="1"/>
    <xf numFmtId="173" fontId="0" fillId="0" borderId="8" xfId="0" applyBorder="1" applyAlignment="1"/>
    <xf numFmtId="173" fontId="24" fillId="0" borderId="4" xfId="0" applyFont="1" applyBorder="1" applyAlignment="1"/>
    <xf numFmtId="173" fontId="0" fillId="0" borderId="15" xfId="0" applyBorder="1" applyAlignment="1"/>
    <xf numFmtId="174" fontId="24" fillId="0" borderId="4" xfId="2" applyNumberFormat="1" applyFont="1" applyBorder="1" applyAlignment="1"/>
    <xf numFmtId="173" fontId="24" fillId="0" borderId="12" xfId="0" applyFont="1" applyBorder="1" applyAlignment="1"/>
    <xf numFmtId="173" fontId="24" fillId="0" borderId="13" xfId="0" applyFont="1" applyBorder="1" applyAlignment="1"/>
    <xf numFmtId="173" fontId="0" fillId="0" borderId="10" xfId="0" applyBorder="1" applyAlignment="1"/>
    <xf numFmtId="170" fontId="0" fillId="0" borderId="15" xfId="0" applyNumberFormat="1" applyBorder="1" applyAlignment="1"/>
    <xf numFmtId="173" fontId="24" fillId="0" borderId="14" xfId="0" applyFont="1" applyBorder="1" applyAlignment="1"/>
    <xf numFmtId="170" fontId="0" fillId="0" borderId="14" xfId="0" applyNumberFormat="1" applyBorder="1" applyAlignment="1"/>
    <xf numFmtId="170" fontId="0" fillId="0" borderId="13" xfId="0" applyNumberFormat="1" applyBorder="1" applyAlignment="1"/>
    <xf numFmtId="10" fontId="0" fillId="0" borderId="14" xfId="3" applyNumberFormat="1" applyFont="1" applyBorder="1" applyAlignment="1"/>
    <xf numFmtId="10" fontId="0" fillId="0" borderId="13" xfId="3" applyNumberFormat="1" applyFont="1" applyBorder="1" applyAlignment="1"/>
    <xf numFmtId="170" fontId="0" fillId="0" borderId="18" xfId="0" applyNumberFormat="1" applyBorder="1" applyAlignment="1"/>
    <xf numFmtId="10" fontId="0" fillId="0" borderId="18" xfId="3" applyNumberFormat="1" applyFont="1" applyBorder="1" applyAlignment="1"/>
    <xf numFmtId="173" fontId="24" fillId="0" borderId="10" xfId="0" applyFont="1" applyBorder="1" applyAlignment="1">
      <alignment horizontal="center"/>
    </xf>
    <xf numFmtId="170" fontId="24" fillId="0" borderId="0" xfId="0" applyNumberFormat="1" applyFont="1" applyBorder="1" applyAlignment="1"/>
    <xf numFmtId="170" fontId="24"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24" fillId="0" borderId="9" xfId="0" applyFont="1" applyBorder="1" applyAlignment="1"/>
    <xf numFmtId="173" fontId="0" fillId="0" borderId="1" xfId="0" applyBorder="1" applyAlignment="1"/>
    <xf numFmtId="173" fontId="0" fillId="0" borderId="5" xfId="0" applyBorder="1" applyAlignment="1">
      <alignment horizontal="center"/>
    </xf>
    <xf numFmtId="173" fontId="24" fillId="0" borderId="9" xfId="0" applyFont="1" applyBorder="1" applyAlignment="1">
      <alignment horizontal="center"/>
    </xf>
    <xf numFmtId="0" fontId="0" fillId="0" borderId="8" xfId="0" applyNumberFormat="1" applyBorder="1" applyAlignment="1">
      <alignment horizontal="center"/>
    </xf>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24"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24" fillId="0" borderId="6" xfId="0" applyFont="1" applyFill="1" applyBorder="1" applyAlignment="1">
      <alignment horizontal="center"/>
    </xf>
    <xf numFmtId="173" fontId="24"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24" fillId="0" borderId="2" xfId="0" applyNumberFormat="1" applyFont="1" applyBorder="1" applyAlignment="1"/>
    <xf numFmtId="3" fontId="24" fillId="0" borderId="19" xfId="0" applyNumberFormat="1" applyFont="1" applyBorder="1" applyAlignment="1"/>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173" fontId="24" fillId="0" borderId="9" xfId="0" applyFont="1" applyBorder="1" applyAlignment="1">
      <alignment horizontal="center"/>
    </xf>
    <xf numFmtId="170" fontId="0" fillId="0" borderId="20"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3"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4" xfId="0" applyNumberFormat="1" applyBorder="1" applyAlignment="1">
      <alignment horizontal="right"/>
    </xf>
    <xf numFmtId="1" fontId="24" fillId="0" borderId="7" xfId="0" applyNumberFormat="1" applyFont="1" applyBorder="1" applyAlignment="1">
      <alignment horizontal="center"/>
    </xf>
    <xf numFmtId="173" fontId="24" fillId="0" borderId="9" xfId="0" applyFont="1" applyBorder="1" applyAlignment="1">
      <alignment horizontal="center"/>
    </xf>
    <xf numFmtId="185" fontId="17" fillId="0" borderId="6" xfId="1" applyNumberFormat="1" applyFont="1" applyBorder="1"/>
    <xf numFmtId="175" fontId="17" fillId="0" borderId="6" xfId="1" applyNumberFormat="1" applyFont="1" applyBorder="1"/>
    <xf numFmtId="175" fontId="17" fillId="0" borderId="0" xfId="1" applyNumberFormat="1" applyFont="1"/>
    <xf numFmtId="173" fontId="17" fillId="0" borderId="0" xfId="0" applyFont="1" applyAlignment="1"/>
    <xf numFmtId="177" fontId="17" fillId="0" borderId="0" xfId="0" applyNumberFormat="1" applyFont="1" applyAlignment="1">
      <alignment horizontal="center"/>
    </xf>
    <xf numFmtId="173" fontId="17" fillId="0" borderId="0" xfId="0" applyFont="1" applyAlignment="1">
      <alignment horizontal="center"/>
    </xf>
    <xf numFmtId="173" fontId="0" fillId="0" borderId="0" xfId="0" applyAlignment="1">
      <alignment horizontal="right"/>
    </xf>
    <xf numFmtId="0" fontId="11" fillId="0" borderId="0" xfId="0" applyNumberFormat="1" applyFont="1" applyFill="1" applyAlignment="1" applyProtection="1">
      <alignment vertical="top"/>
      <protection locked="0"/>
    </xf>
    <xf numFmtId="173" fontId="24" fillId="0" borderId="9" xfId="0" applyFont="1" applyBorder="1" applyAlignment="1">
      <alignment horizontal="center"/>
    </xf>
    <xf numFmtId="173" fontId="0" fillId="0" borderId="0" xfId="0" applyFill="1" applyBorder="1" applyAlignment="1"/>
    <xf numFmtId="0" fontId="11" fillId="0" borderId="0" xfId="0" applyNumberFormat="1" applyFont="1" applyFill="1" applyAlignment="1" applyProtection="1">
      <alignment horizontal="left"/>
      <protection locked="0"/>
    </xf>
    <xf numFmtId="175" fontId="22" fillId="0" borderId="0" xfId="0" applyNumberFormat="1" applyFont="1" applyBorder="1"/>
    <xf numFmtId="175" fontId="22" fillId="0" borderId="0" xfId="1" applyNumberFormat="1" applyFont="1"/>
    <xf numFmtId="175" fontId="22" fillId="0" borderId="6" xfId="1" applyNumberFormat="1" applyFont="1" applyBorder="1"/>
    <xf numFmtId="0" fontId="11" fillId="0" borderId="0" xfId="159" applyNumberFormat="1" applyFont="1" applyFill="1" applyAlignment="1" applyProtection="1">
      <alignment horizontal="right"/>
      <protection locked="0"/>
    </xf>
    <xf numFmtId="9" fontId="83" fillId="0" borderId="0" xfId="240" applyNumberFormat="1" applyFont="1" applyFill="1" applyBorder="1" applyAlignment="1">
      <alignment horizontal="center"/>
    </xf>
    <xf numFmtId="10" fontId="82" fillId="0" borderId="0" xfId="240" applyNumberFormat="1" applyFont="1" applyFill="1" applyBorder="1" applyAlignment="1">
      <alignment horizontal="center"/>
    </xf>
    <xf numFmtId="0" fontId="84" fillId="0" borderId="0" xfId="239" applyFont="1" applyFill="1" applyBorder="1"/>
    <xf numFmtId="174" fontId="82" fillId="0" borderId="0" xfId="241" applyNumberFormat="1" applyFont="1" applyFill="1" applyBorder="1"/>
    <xf numFmtId="0" fontId="82" fillId="0" borderId="0" xfId="239" applyFont="1" applyFill="1" applyBorder="1"/>
    <xf numFmtId="43" fontId="82" fillId="0" borderId="0" xfId="241" applyFont="1" applyFill="1" applyBorder="1"/>
    <xf numFmtId="43" fontId="82" fillId="0" borderId="0" xfId="241" applyFont="1" applyFill="1"/>
    <xf numFmtId="176" fontId="82" fillId="0" borderId="0" xfId="239" applyNumberFormat="1" applyFont="1" applyFill="1"/>
    <xf numFmtId="0" fontId="82" fillId="0" borderId="0" xfId="239" applyFont="1" applyFill="1"/>
    <xf numFmtId="10" fontId="82" fillId="0" borderId="0" xfId="240" applyNumberFormat="1" applyFont="1" applyFill="1" applyBorder="1"/>
    <xf numFmtId="173" fontId="24" fillId="0" borderId="9" xfId="0" applyFont="1" applyBorder="1" applyAlignment="1">
      <alignment horizontal="center"/>
    </xf>
    <xf numFmtId="10" fontId="83" fillId="0" borderId="0" xfId="3" applyNumberFormat="1" applyFont="1" applyFill="1" applyBorder="1" applyAlignment="1">
      <alignment horizontal="center"/>
    </xf>
    <xf numFmtId="173" fontId="24" fillId="0" borderId="10" xfId="0" applyFont="1" applyBorder="1" applyAlignment="1">
      <alignment horizontal="center"/>
    </xf>
    <xf numFmtId="42" fontId="11" fillId="0" borderId="0" xfId="0" applyNumberFormat="1" applyFont="1" applyFill="1" applyProtection="1"/>
    <xf numFmtId="3" fontId="11" fillId="0" borderId="0" xfId="0" applyNumberFormat="1" applyFont="1" applyFill="1" applyBorder="1" applyProtection="1">
      <protection locked="0"/>
    </xf>
    <xf numFmtId="172" fontId="11" fillId="0" borderId="0" xfId="0" applyNumberFormat="1" applyFont="1" applyFill="1" applyAlignment="1" applyProtection="1"/>
    <xf numFmtId="173" fontId="11" fillId="0" borderId="0" xfId="0" applyFont="1" applyFill="1" applyAlignment="1" applyProtection="1">
      <protection locked="0"/>
    </xf>
    <xf numFmtId="164" fontId="11" fillId="0" borderId="0" xfId="0" applyNumberFormat="1" applyFont="1" applyFill="1" applyAlignment="1" applyProtection="1">
      <alignment horizontal="center"/>
      <protection locked="0"/>
    </xf>
    <xf numFmtId="171" fontId="11" fillId="0" borderId="0" xfId="0" applyNumberFormat="1" applyFont="1" applyFill="1" applyAlignment="1" applyProtection="1">
      <alignment horizontal="left"/>
    </xf>
    <xf numFmtId="165" fontId="11" fillId="0" borderId="0" xfId="0" applyNumberFormat="1" applyFont="1" applyFill="1" applyAlignment="1" applyProtection="1"/>
    <xf numFmtId="166" fontId="11" fillId="0" borderId="0" xfId="0" applyNumberFormat="1" applyFont="1" applyFill="1" applyAlignment="1" applyProtection="1">
      <alignment horizontal="right"/>
      <protection locked="0"/>
    </xf>
    <xf numFmtId="10" fontId="11" fillId="0" borderId="0" xfId="0" applyNumberFormat="1" applyFont="1" applyFill="1" applyAlignment="1" applyProtection="1">
      <alignment horizontal="right"/>
    </xf>
    <xf numFmtId="169" fontId="11" fillId="0" borderId="0" xfId="0" applyNumberFormat="1" applyFont="1" applyFill="1" applyAlignment="1" applyProtection="1">
      <alignment horizontal="right"/>
    </xf>
    <xf numFmtId="3" fontId="11" fillId="0" borderId="0" xfId="0" applyNumberFormat="1" applyFont="1" applyFill="1" applyAlignment="1" applyProtection="1">
      <alignment horizontal="left"/>
      <protection locked="0"/>
    </xf>
    <xf numFmtId="3" fontId="11" fillId="0" borderId="2" xfId="0" applyNumberFormat="1" applyFont="1" applyFill="1" applyBorder="1" applyAlignment="1" applyProtection="1"/>
    <xf numFmtId="173" fontId="11" fillId="0" borderId="0" xfId="0" applyFont="1" applyFill="1" applyBorder="1" applyAlignment="1" applyProtection="1">
      <protection locked="0"/>
    </xf>
    <xf numFmtId="3" fontId="11" fillId="0" borderId="0" xfId="0" applyNumberFormat="1" applyFont="1" applyFill="1" applyBorder="1" applyAlignment="1" applyProtection="1">
      <protection locked="0"/>
    </xf>
    <xf numFmtId="3" fontId="11" fillId="0" borderId="0" xfId="0" applyNumberFormat="1" applyFont="1" applyFill="1" applyAlignment="1" applyProtection="1">
      <alignment horizontal="center"/>
      <protection locked="0"/>
    </xf>
    <xf numFmtId="49" fontId="11" fillId="0" borderId="0" xfId="0" applyNumberFormat="1" applyFont="1" applyFill="1" applyProtection="1">
      <protection locked="0"/>
    </xf>
    <xf numFmtId="49" fontId="11" fillId="0" borderId="0" xfId="0" applyNumberFormat="1" applyFont="1" applyFill="1" applyBorder="1" applyAlignment="1" applyProtection="1">
      <protection locked="0"/>
    </xf>
    <xf numFmtId="49" fontId="11" fillId="0" borderId="0" xfId="0" applyNumberFormat="1" applyFont="1" applyFill="1" applyAlignment="1" applyProtection="1">
      <protection locked="0"/>
    </xf>
    <xf numFmtId="49" fontId="11" fillId="0" borderId="0" xfId="0" applyNumberFormat="1" applyFont="1" applyFill="1" applyAlignment="1" applyProtection="1">
      <alignment horizontal="center"/>
      <protection locked="0"/>
    </xf>
    <xf numFmtId="165" fontId="11" fillId="0" borderId="0" xfId="0" applyNumberFormat="1" applyFont="1" applyFill="1" applyAlignment="1" applyProtection="1">
      <alignment horizontal="right"/>
    </xf>
    <xf numFmtId="173" fontId="16"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5" fontId="0" fillId="0" borderId="0" xfId="1" applyNumberFormat="1" applyFont="1" applyFill="1" applyBorder="1" applyAlignment="1" applyProtection="1">
      <protection locked="0"/>
    </xf>
    <xf numFmtId="3" fontId="18"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18" fillId="0" borderId="0" xfId="0" applyFont="1" applyFill="1" applyBorder="1" applyAlignment="1" applyProtection="1">
      <protection locked="0"/>
    </xf>
    <xf numFmtId="173" fontId="19" fillId="0" borderId="0" xfId="0" applyFont="1" applyFill="1" applyBorder="1" applyAlignment="1" applyProtection="1">
      <protection locked="0"/>
    </xf>
    <xf numFmtId="173" fontId="20" fillId="0" borderId="0" xfId="0" applyFont="1" applyFill="1" applyBorder="1" applyProtection="1">
      <protection locked="0"/>
    </xf>
    <xf numFmtId="173" fontId="18" fillId="0" borderId="0" xfId="0" applyFont="1" applyFill="1" applyBorder="1" applyProtection="1">
      <protection locked="0"/>
    </xf>
    <xf numFmtId="165" fontId="11" fillId="0" borderId="0" xfId="0" applyNumberFormat="1" applyFont="1" applyFill="1" applyProtection="1"/>
    <xf numFmtId="166" fontId="11" fillId="0" borderId="0" xfId="0" applyNumberFormat="1" applyFont="1" applyFill="1" applyProtection="1"/>
    <xf numFmtId="173" fontId="18" fillId="0" borderId="0" xfId="0" applyFont="1" applyFill="1" applyBorder="1" applyAlignment="1" applyProtection="1">
      <alignment horizontal="left" wrapText="1"/>
      <protection locked="0"/>
    </xf>
    <xf numFmtId="170" fontId="0" fillId="0" borderId="0" xfId="0" applyNumberFormat="1" applyFont="1" applyFill="1" applyBorder="1" applyAlignment="1" applyProtection="1">
      <protection locked="0"/>
    </xf>
    <xf numFmtId="166" fontId="11" fillId="0" borderId="0" xfId="0" applyNumberFormat="1" applyFont="1" applyFill="1" applyAlignment="1" applyProtection="1"/>
    <xf numFmtId="170" fontId="11" fillId="0" borderId="0" xfId="0" applyNumberFormat="1" applyFont="1" applyFill="1" applyBorder="1" applyProtection="1">
      <protection locked="0"/>
    </xf>
    <xf numFmtId="1" fontId="11" fillId="0" borderId="0" xfId="0" applyNumberFormat="1" applyFont="1" applyFill="1" applyProtection="1">
      <protection locked="0"/>
    </xf>
    <xf numFmtId="1" fontId="11" fillId="0" borderId="0" xfId="0" applyNumberFormat="1" applyFont="1" applyFill="1" applyAlignment="1" applyProtection="1">
      <protection locked="0"/>
    </xf>
    <xf numFmtId="170" fontId="11" fillId="0" borderId="0" xfId="0" applyNumberFormat="1" applyFont="1" applyFill="1" applyBorder="1" applyAlignment="1" applyProtection="1">
      <protection locked="0"/>
    </xf>
    <xf numFmtId="173" fontId="11" fillId="0" borderId="0" xfId="0" applyFont="1" applyFill="1" applyAlignment="1" applyProtection="1">
      <alignment horizontal="center" vertical="top" wrapText="1"/>
      <protection locked="0"/>
    </xf>
    <xf numFmtId="173" fontId="11" fillId="0" borderId="0" xfId="0" applyFont="1" applyFill="1" applyAlignment="1" applyProtection="1">
      <alignment horizontal="center"/>
      <protection locked="0"/>
    </xf>
    <xf numFmtId="173" fontId="80" fillId="0" borderId="0" xfId="0" applyFont="1" applyFill="1" applyAlignment="1" applyProtection="1">
      <alignment horizontal="center"/>
      <protection locked="0"/>
    </xf>
    <xf numFmtId="173" fontId="24" fillId="0" borderId="9" xfId="0" applyFont="1" applyBorder="1" applyAlignment="1">
      <alignment horizontal="center"/>
    </xf>
    <xf numFmtId="0" fontId="0" fillId="0" borderId="8" xfId="2" applyNumberFormat="1" applyFont="1" applyBorder="1" applyAlignment="1">
      <alignment horizontal="center"/>
    </xf>
    <xf numFmtId="0" fontId="0" fillId="0" borderId="3" xfId="2" applyNumberFormat="1" applyFont="1" applyBorder="1" applyAlignment="1">
      <alignment horizontal="center"/>
    </xf>
    <xf numFmtId="173" fontId="24" fillId="0" borderId="3" xfId="0" applyFont="1" applyBorder="1" applyAlignment="1">
      <alignment horizontal="center"/>
    </xf>
    <xf numFmtId="173" fontId="24" fillId="0" borderId="4" xfId="0" applyFont="1" applyFill="1" applyBorder="1" applyAlignment="1">
      <alignment horizontal="center"/>
    </xf>
    <xf numFmtId="0" fontId="6" fillId="0" borderId="28" xfId="1090" applyFill="1" applyBorder="1" applyAlignment="1">
      <alignment horizontal="center" vertical="top" wrapText="1"/>
    </xf>
    <xf numFmtId="0" fontId="6" fillId="0" borderId="0" xfId="1090" applyFill="1"/>
    <xf numFmtId="44" fontId="6" fillId="0" borderId="0" xfId="1090" applyNumberFormat="1" applyFill="1"/>
    <xf numFmtId="0" fontId="6" fillId="0" borderId="14" xfId="1090" applyFill="1" applyBorder="1"/>
    <xf numFmtId="44" fontId="6" fillId="0" borderId="14" xfId="1090" applyNumberFormat="1" applyFill="1" applyBorder="1"/>
    <xf numFmtId="244" fontId="17" fillId="0" borderId="0" xfId="0" applyNumberFormat="1" applyFont="1" applyAlignment="1"/>
    <xf numFmtId="245" fontId="0" fillId="0" borderId="0" xfId="0" applyNumberFormat="1" applyAlignment="1"/>
    <xf numFmtId="3" fontId="11" fillId="0" borderId="0" xfId="0" applyNumberFormat="1" applyFont="1" applyFill="1" applyAlignment="1" applyProtection="1">
      <alignment horizontal="right"/>
    </xf>
    <xf numFmtId="173" fontId="17" fillId="0" borderId="0" xfId="1097" applyNumberFormat="1" applyFont="1" applyAlignment="1"/>
    <xf numFmtId="0" fontId="78" fillId="0" borderId="0" xfId="1097" applyFont="1"/>
    <xf numFmtId="173" fontId="17" fillId="0" borderId="0" xfId="1097" applyNumberFormat="1" applyFont="1" applyBorder="1" applyAlignment="1">
      <alignment horizontal="center" wrapText="1"/>
    </xf>
    <xf numFmtId="0" fontId="78" fillId="0" borderId="0" xfId="1097" applyFont="1" applyAlignment="1">
      <alignment horizontal="right"/>
    </xf>
    <xf numFmtId="0" fontId="78" fillId="0" borderId="0" xfId="1097" applyFont="1" applyAlignment="1">
      <alignment horizontal="center"/>
    </xf>
    <xf numFmtId="175" fontId="17" fillId="0" borderId="0" xfId="1098" applyNumberFormat="1" applyFont="1"/>
    <xf numFmtId="174" fontId="17" fillId="0" borderId="0" xfId="1099" applyNumberFormat="1" applyFont="1"/>
    <xf numFmtId="174" fontId="17" fillId="0" borderId="6" xfId="1099" applyNumberFormat="1" applyFont="1" applyBorder="1"/>
    <xf numFmtId="0" fontId="79" fillId="0" borderId="0" xfId="1097" applyFont="1"/>
    <xf numFmtId="244" fontId="17" fillId="0" borderId="0" xfId="1100" applyNumberFormat="1" applyFont="1"/>
    <xf numFmtId="174" fontId="17" fillId="0" borderId="0" xfId="1099" applyNumberFormat="1" applyFont="1" applyBorder="1"/>
    <xf numFmtId="175" fontId="79" fillId="0" borderId="2" xfId="1098" applyNumberFormat="1" applyFont="1" applyBorder="1"/>
    <xf numFmtId="173" fontId="111" fillId="0" borderId="0" xfId="0" applyFont="1" applyFill="1" applyAlignment="1" applyProtection="1">
      <protection locked="0"/>
    </xf>
    <xf numFmtId="5" fontId="0" fillId="0" borderId="0" xfId="1" applyNumberFormat="1" applyFont="1" applyBorder="1" applyAlignment="1"/>
    <xf numFmtId="174" fontId="0" fillId="0" borderId="0" xfId="2" applyNumberFormat="1" applyFont="1"/>
    <xf numFmtId="174" fontId="118" fillId="0" borderId="0" xfId="2" applyNumberFormat="1" applyFont="1"/>
    <xf numFmtId="244" fontId="17" fillId="0" borderId="0" xfId="159" applyNumberFormat="1" applyFont="1"/>
    <xf numFmtId="10" fontId="2" fillId="0" borderId="6" xfId="1111" applyNumberFormat="1" applyFont="1" applyFill="1" applyBorder="1" applyAlignment="1">
      <alignment horizontal="right"/>
    </xf>
    <xf numFmtId="247" fontId="30" fillId="0" borderId="0" xfId="1111" applyNumberFormat="1" applyFont="1" applyFill="1" applyProtection="1"/>
    <xf numFmtId="4" fontId="109" fillId="0" borderId="14" xfId="1090" applyNumberFormat="1" applyFont="1" applyFill="1" applyBorder="1"/>
    <xf numFmtId="0" fontId="6" fillId="0" borderId="3" xfId="1090" applyFill="1" applyBorder="1"/>
    <xf numFmtId="170" fontId="0" fillId="0" borderId="44" xfId="0" applyNumberFormat="1" applyBorder="1" applyAlignment="1"/>
    <xf numFmtId="10" fontId="1" fillId="0" borderId="6" xfId="1113" applyNumberFormat="1" applyFont="1" applyFill="1" applyBorder="1" applyAlignment="1">
      <alignment horizontal="right"/>
    </xf>
    <xf numFmtId="3" fontId="11" fillId="0" borderId="0" xfId="0" applyNumberFormat="1" applyFont="1" applyFill="1" applyAlignment="1" applyProtection="1">
      <alignment horizontal="right"/>
      <protection locked="0"/>
    </xf>
    <xf numFmtId="0" fontId="11" fillId="0" borderId="0" xfId="0" applyNumberFormat="1" applyFont="1" applyFill="1" applyAlignment="1" applyProtection="1">
      <protection locked="0"/>
    </xf>
    <xf numFmtId="0" fontId="11" fillId="0" borderId="0" xfId="0" applyNumberFormat="1" applyFont="1" applyFill="1" applyAlignment="1" applyProtection="1">
      <alignment horizontal="right"/>
      <protection locked="0"/>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pplyProtection="1">
      <alignment horizontal="right"/>
    </xf>
    <xf numFmtId="173" fontId="81" fillId="0" borderId="0" xfId="0" applyFont="1" applyFill="1" applyBorder="1" applyAlignment="1" applyProtection="1">
      <alignment vertical="center" wrapText="1"/>
      <protection locked="0"/>
    </xf>
    <xf numFmtId="173" fontId="0" fillId="0" borderId="0" xfId="0" applyFill="1" applyAlignment="1">
      <alignment horizontal="right"/>
    </xf>
    <xf numFmtId="173" fontId="111" fillId="0" borderId="0" xfId="0" applyFont="1" applyFill="1" applyBorder="1" applyAlignment="1" applyProtection="1">
      <alignment vertical="center"/>
      <protection locked="0"/>
    </xf>
    <xf numFmtId="0" fontId="11" fillId="0" borderId="1" xfId="0" applyNumberFormat="1" applyFont="1" applyFill="1" applyBorder="1" applyAlignment="1" applyProtection="1">
      <alignment horizontal="center"/>
      <protection locked="0"/>
    </xf>
    <xf numFmtId="3" fontId="11" fillId="0" borderId="0" xfId="0" applyNumberFormat="1" applyFont="1" applyFill="1" applyProtection="1">
      <protection locked="0"/>
    </xf>
    <xf numFmtId="0" fontId="11" fillId="0" borderId="1" xfId="0" applyNumberFormat="1" applyFont="1" applyFill="1" applyBorder="1" applyAlignment="1" applyProtection="1">
      <alignment horizontal="centerContinuous"/>
      <protection locked="0"/>
    </xf>
    <xf numFmtId="3" fontId="11" fillId="0" borderId="1" xfId="0" applyNumberFormat="1" applyFont="1" applyFill="1" applyBorder="1" applyAlignment="1" applyProtection="1"/>
    <xf numFmtId="3" fontId="11" fillId="0" borderId="0" xfId="0" applyNumberFormat="1" applyFont="1" applyFill="1" applyAlignment="1" applyProtection="1">
      <alignment horizontal="fill"/>
      <protection locked="0"/>
    </xf>
    <xf numFmtId="166" fontId="11" fillId="0" borderId="0" xfId="0" applyNumberFormat="1" applyFont="1" applyFill="1" applyAlignment="1" applyProtection="1">
      <protection locked="0"/>
    </xf>
    <xf numFmtId="3" fontId="11" fillId="0" borderId="1" xfId="0" applyNumberFormat="1" applyFont="1" applyFill="1" applyBorder="1" applyAlignment="1" applyProtection="1">
      <protection locked="0"/>
    </xf>
    <xf numFmtId="42" fontId="11" fillId="0" borderId="0" xfId="0" applyNumberFormat="1" applyFont="1" applyFill="1" applyBorder="1" applyAlignment="1" applyProtection="1">
      <alignment horizontal="right"/>
    </xf>
    <xf numFmtId="42" fontId="11" fillId="0" borderId="0" xfId="0" applyNumberFormat="1" applyFont="1" applyFill="1" applyBorder="1" applyAlignment="1" applyProtection="1">
      <alignment horizontal="right"/>
      <protection locked="0"/>
    </xf>
    <xf numFmtId="42" fontId="11" fillId="0" borderId="1" xfId="0" applyNumberFormat="1" applyFont="1" applyFill="1" applyBorder="1" applyAlignment="1" applyProtection="1">
      <alignment horizontal="right"/>
      <protection locked="0"/>
    </xf>
    <xf numFmtId="3" fontId="11" fillId="0" borderId="1" xfId="0" applyNumberFormat="1" applyFont="1" applyFill="1" applyBorder="1" applyProtection="1">
      <protection locked="0"/>
    </xf>
    <xf numFmtId="3" fontId="11" fillId="0" borderId="0" xfId="0" applyNumberFormat="1" applyFont="1" applyFill="1" applyProtection="1"/>
    <xf numFmtId="168" fontId="11" fillId="0" borderId="0" xfId="0" applyNumberFormat="1" applyFont="1" applyFill="1" applyProtection="1"/>
    <xf numFmtId="168" fontId="11" fillId="0" borderId="0" xfId="0" applyNumberFormat="1" applyFont="1" applyFill="1" applyProtection="1">
      <protection locked="0"/>
    </xf>
    <xf numFmtId="168" fontId="11" fillId="0" borderId="0" xfId="0" applyNumberFormat="1" applyFont="1" applyFill="1" applyAlignment="1" applyProtection="1">
      <alignment horizontal="center"/>
      <protection locked="0"/>
    </xf>
    <xf numFmtId="172" fontId="11" fillId="0" borderId="0" xfId="0" applyNumberFormat="1" applyFont="1" applyFill="1" applyProtection="1"/>
    <xf numFmtId="49" fontId="11" fillId="0" borderId="0" xfId="0" applyNumberFormat="1" applyFont="1" applyFill="1" applyAlignment="1" applyProtection="1">
      <alignment horizontal="left"/>
      <protection locked="0"/>
    </xf>
    <xf numFmtId="3" fontId="12" fillId="0" borderId="0" xfId="0" applyNumberFormat="1" applyFont="1" applyFill="1" applyAlignment="1" applyProtection="1">
      <alignment horizontal="center"/>
      <protection locked="0"/>
    </xf>
    <xf numFmtId="173" fontId="12" fillId="0" borderId="0" xfId="0" applyFont="1" applyFill="1" applyAlignment="1" applyProtection="1">
      <alignment horizontal="center"/>
      <protection locked="0"/>
    </xf>
    <xf numFmtId="3" fontId="12" fillId="0" borderId="0" xfId="0" applyNumberFormat="1" applyFont="1" applyFill="1" applyAlignment="1" applyProtection="1">
      <protection locked="0"/>
    </xf>
    <xf numFmtId="0" fontId="12" fillId="0" borderId="0" xfId="0" applyNumberFormat="1" applyFont="1" applyFill="1" applyAlignment="1" applyProtection="1">
      <protection locked="0"/>
    </xf>
    <xf numFmtId="165" fontId="11" fillId="0" borderId="0" xfId="0" applyNumberFormat="1" applyFont="1" applyFill="1" applyAlignment="1" applyProtection="1">
      <protection locked="0"/>
    </xf>
    <xf numFmtId="164" fontId="11" fillId="0" borderId="0" xfId="0" applyNumberFormat="1" applyFont="1" applyFill="1" applyAlignment="1" applyProtection="1">
      <alignment horizontal="center"/>
    </xf>
    <xf numFmtId="0" fontId="11" fillId="0" borderId="0" xfId="0" applyNumberFormat="1" applyFont="1" applyFill="1" applyAlignment="1" applyProtection="1"/>
    <xf numFmtId="3" fontId="11" fillId="0" borderId="0" xfId="0" applyNumberFormat="1" applyFont="1" applyFill="1" applyBorder="1" applyAlignment="1" applyProtection="1"/>
    <xf numFmtId="173" fontId="11" fillId="0" borderId="1" xfId="0" applyFont="1" applyFill="1" applyBorder="1" applyAlignment="1" applyProtection="1">
      <protection locked="0"/>
    </xf>
    <xf numFmtId="173" fontId="11" fillId="0" borderId="0" xfId="0" applyFont="1" applyFill="1" applyAlignment="1" applyProtection="1"/>
    <xf numFmtId="3" fontId="14" fillId="0" borderId="0" xfId="0" applyNumberFormat="1" applyFont="1" applyFill="1" applyAlignment="1" applyProtection="1">
      <protection locked="0"/>
    </xf>
    <xf numFmtId="166" fontId="11" fillId="0" borderId="0" xfId="0" applyNumberFormat="1" applyFont="1" applyFill="1" applyAlignment="1" applyProtection="1">
      <alignment horizontal="center"/>
      <protection locked="0"/>
    </xf>
    <xf numFmtId="164" fontId="11" fillId="0" borderId="0" xfId="0" applyNumberFormat="1" applyFont="1" applyFill="1" applyAlignment="1" applyProtection="1">
      <alignment horizontal="left"/>
      <protection locked="0"/>
    </xf>
    <xf numFmtId="173" fontId="80" fillId="0" borderId="0" xfId="0" applyFont="1" applyFill="1" applyAlignment="1"/>
    <xf numFmtId="10" fontId="11" fillId="0" borderId="0" xfId="0" applyNumberFormat="1" applyFont="1" applyFill="1" applyAlignment="1" applyProtection="1">
      <alignment horizontal="left"/>
      <protection locked="0"/>
    </xf>
    <xf numFmtId="167" fontId="11" fillId="0" borderId="0" xfId="0" applyNumberFormat="1" applyFont="1" applyFill="1" applyAlignment="1" applyProtection="1">
      <protection locked="0"/>
    </xf>
    <xf numFmtId="3" fontId="11" fillId="0" borderId="1" xfId="0" applyNumberFormat="1" applyFont="1" applyFill="1" applyBorder="1" applyAlignment="1" applyProtection="1">
      <alignment horizontal="center"/>
      <protection locked="0"/>
    </xf>
    <xf numFmtId="4" fontId="11" fillId="0" borderId="0" xfId="0" applyNumberFormat="1" applyFont="1" applyFill="1" applyAlignment="1" applyProtection="1">
      <protection locked="0"/>
    </xf>
    <xf numFmtId="4" fontId="11" fillId="0" borderId="0" xfId="0" applyNumberFormat="1" applyFont="1" applyFill="1" applyAlignment="1" applyProtection="1"/>
    <xf numFmtId="3" fontId="11" fillId="0" borderId="0" xfId="0" applyNumberFormat="1" applyFont="1" applyFill="1" applyBorder="1" applyAlignment="1" applyProtection="1">
      <alignment horizontal="center"/>
      <protection locked="0"/>
    </xf>
    <xf numFmtId="170" fontId="11" fillId="0" borderId="0" xfId="0" applyNumberFormat="1" applyFont="1" applyFill="1" applyAlignment="1" applyProtection="1">
      <protection locked="0"/>
    </xf>
    <xf numFmtId="42" fontId="11" fillId="0" borderId="0" xfId="0" applyNumberFormat="1" applyFont="1" applyFill="1" applyAlignment="1" applyProtection="1">
      <protection locked="0"/>
    </xf>
    <xf numFmtId="9" fontId="11" fillId="0" borderId="0" xfId="0" applyNumberFormat="1" applyFont="1" applyFill="1" applyAlignment="1" applyProtection="1"/>
    <xf numFmtId="169" fontId="11" fillId="0" borderId="0" xfId="0" applyNumberFormat="1" applyFont="1" applyFill="1" applyAlignment="1" applyProtection="1">
      <protection locked="0"/>
    </xf>
    <xf numFmtId="169" fontId="11" fillId="0" borderId="0" xfId="0" applyNumberFormat="1" applyFont="1" applyFill="1" applyAlignment="1" applyProtection="1"/>
    <xf numFmtId="3" fontId="11" fillId="0" borderId="0" xfId="0" quotePrefix="1" applyNumberFormat="1" applyFont="1" applyFill="1" applyAlignment="1" applyProtection="1">
      <protection locked="0"/>
    </xf>
    <xf numFmtId="169" fontId="11" fillId="0" borderId="1" xfId="0" applyNumberFormat="1" applyFont="1" applyFill="1" applyBorder="1" applyAlignment="1" applyProtection="1"/>
    <xf numFmtId="0" fontId="11" fillId="0" borderId="0" xfId="0" applyNumberFormat="1" applyFont="1" applyFill="1" applyBorder="1" applyAlignment="1" applyProtection="1">
      <alignment horizontal="center"/>
      <protection locked="0"/>
    </xf>
    <xf numFmtId="0" fontId="13" fillId="0" borderId="0" xfId="0" applyNumberFormat="1" applyFont="1" applyFill="1" applyProtection="1">
      <protection locked="0"/>
    </xf>
    <xf numFmtId="173" fontId="13" fillId="0" borderId="0" xfId="0" applyFont="1" applyFill="1" applyAlignment="1" applyProtection="1">
      <protection locked="0"/>
    </xf>
    <xf numFmtId="38" fontId="11" fillId="0" borderId="0" xfId="0" applyNumberFormat="1" applyFont="1" applyFill="1" applyBorder="1" applyProtection="1">
      <protection locked="0"/>
    </xf>
    <xf numFmtId="38" fontId="11" fillId="0" borderId="0" xfId="0" applyNumberFormat="1" applyFont="1" applyFill="1" applyAlignment="1" applyProtection="1">
      <protection locked="0"/>
    </xf>
    <xf numFmtId="38" fontId="11" fillId="0" borderId="1" xfId="0" applyNumberFormat="1" applyFont="1" applyFill="1" applyBorder="1" applyProtection="1">
      <protection locked="0"/>
    </xf>
    <xf numFmtId="170" fontId="11" fillId="0" borderId="1" xfId="0" applyNumberFormat="1" applyFont="1" applyFill="1" applyBorder="1" applyAlignment="1" applyProtection="1">
      <protection locked="0"/>
    </xf>
    <xf numFmtId="173" fontId="11" fillId="0" borderId="0" xfId="0" applyNumberFormat="1" applyFont="1" applyFill="1" applyAlignment="1" applyProtection="1">
      <protection locked="0"/>
    </xf>
    <xf numFmtId="170" fontId="11" fillId="0" borderId="0" xfId="0" applyNumberFormat="1" applyFont="1" applyFill="1" applyProtection="1">
      <protection locked="0"/>
    </xf>
    <xf numFmtId="0" fontId="11" fillId="0" borderId="0" xfId="0" applyNumberFormat="1" applyFont="1" applyFill="1" applyAlignment="1" applyProtection="1">
      <alignment horizontal="left" indent="8"/>
      <protection locked="0"/>
    </xf>
    <xf numFmtId="0" fontId="11" fillId="0" borderId="0" xfId="0" applyNumberFormat="1" applyFont="1" applyFill="1" applyAlignment="1" applyProtection="1">
      <alignment horizontal="center" vertical="top" wrapText="1"/>
      <protection locked="0"/>
    </xf>
    <xf numFmtId="10" fontId="11" fillId="0" borderId="0" xfId="0" applyNumberFormat="1" applyFont="1" applyFill="1" applyAlignment="1" applyProtection="1">
      <alignment vertical="top" wrapText="1"/>
      <protection locked="0"/>
    </xf>
    <xf numFmtId="3" fontId="11" fillId="0" borderId="6" xfId="0" applyNumberFormat="1" applyFont="1" applyFill="1" applyBorder="1" applyProtection="1">
      <protection locked="0"/>
    </xf>
    <xf numFmtId="0" fontId="11" fillId="0" borderId="0" xfId="0" applyNumberFormat="1" applyFont="1" applyFill="1" applyProtection="1"/>
    <xf numFmtId="169" fontId="11" fillId="0" borderId="0" xfId="0" applyNumberFormat="1" applyFont="1" applyFill="1" applyProtection="1">
      <protection locked="0"/>
    </xf>
    <xf numFmtId="1" fontId="11" fillId="0" borderId="0" xfId="0" applyNumberFormat="1" applyFont="1" applyFill="1" applyProtection="1"/>
    <xf numFmtId="173" fontId="11" fillId="0" borderId="0" xfId="0" applyFont="1" applyFill="1" applyAlignment="1" applyProtection="1">
      <alignment horizontal="center" vertical="top"/>
      <protection locked="0"/>
    </xf>
    <xf numFmtId="180" fontId="11" fillId="0" borderId="0" xfId="0" applyNumberFormat="1" applyFont="1" applyFill="1" applyProtection="1">
      <protection locked="0"/>
    </xf>
    <xf numFmtId="0" fontId="6" fillId="0" borderId="28" xfId="1090" applyFill="1" applyBorder="1" applyAlignment="1">
      <alignment horizontal="center"/>
    </xf>
    <xf numFmtId="0" fontId="6" fillId="0" borderId="28" xfId="1090" applyFill="1" applyBorder="1" applyAlignment="1">
      <alignment horizontal="center" vertical="center"/>
    </xf>
    <xf numFmtId="0" fontId="6" fillId="0" borderId="0" xfId="1090" applyFill="1" applyAlignment="1">
      <alignment horizontal="center" vertical="center"/>
    </xf>
    <xf numFmtId="0" fontId="6" fillId="0" borderId="28" xfId="1090" applyFill="1" applyBorder="1"/>
    <xf numFmtId="0" fontId="6" fillId="0" borderId="0" xfId="1090" applyFill="1" applyAlignment="1">
      <alignment horizontal="center"/>
    </xf>
    <xf numFmtId="0" fontId="6" fillId="0" borderId="0" xfId="1090" applyFill="1" applyAlignment="1">
      <alignment vertical="top" wrapText="1"/>
    </xf>
    <xf numFmtId="0" fontId="107" fillId="0" borderId="28" xfId="1090" applyFont="1" applyFill="1" applyBorder="1" applyAlignment="1">
      <alignment horizontal="center" vertical="top" wrapText="1"/>
    </xf>
    <xf numFmtId="0" fontId="6" fillId="0" borderId="0" xfId="1090" applyFill="1" applyAlignment="1">
      <alignment horizontal="center" vertical="top" wrapText="1"/>
    </xf>
    <xf numFmtId="17" fontId="6" fillId="0" borderId="0" xfId="1090" applyNumberFormat="1" applyFill="1" applyAlignment="1">
      <alignment horizontal="left"/>
    </xf>
    <xf numFmtId="44" fontId="109" fillId="0" borderId="12" xfId="1091" applyFont="1" applyFill="1" applyBorder="1"/>
    <xf numFmtId="44" fontId="109" fillId="0" borderId="0" xfId="1091" applyFont="1" applyFill="1"/>
    <xf numFmtId="44" fontId="107" fillId="0" borderId="12" xfId="1091" applyFont="1" applyFill="1" applyBorder="1"/>
    <xf numFmtId="44" fontId="0" fillId="0" borderId="0" xfId="1091" applyFont="1" applyFill="1"/>
    <xf numFmtId="4" fontId="109" fillId="0" borderId="40" xfId="1090" applyNumberFormat="1" applyFont="1" applyFill="1" applyBorder="1"/>
    <xf numFmtId="44" fontId="6" fillId="0" borderId="12" xfId="1090" applyNumberFormat="1" applyFill="1" applyBorder="1"/>
    <xf numFmtId="44" fontId="109" fillId="0" borderId="14" xfId="1091" applyFont="1" applyFill="1" applyBorder="1"/>
    <xf numFmtId="44" fontId="107" fillId="0" borderId="14" xfId="1091" applyFont="1" applyFill="1" applyBorder="1"/>
    <xf numFmtId="44" fontId="109" fillId="0" borderId="13" xfId="1091" applyFont="1" applyFill="1" applyBorder="1"/>
    <xf numFmtId="44" fontId="109" fillId="0" borderId="6" xfId="1091" applyFont="1" applyFill="1" applyBorder="1"/>
    <xf numFmtId="44" fontId="107" fillId="0" borderId="13" xfId="1091" applyFont="1" applyFill="1" applyBorder="1"/>
    <xf numFmtId="4" fontId="109" fillId="0" borderId="13" xfId="1090" applyNumberFormat="1" applyFont="1" applyFill="1" applyBorder="1"/>
    <xf numFmtId="44" fontId="6" fillId="0" borderId="13" xfId="1090" applyNumberFormat="1" applyFill="1" applyBorder="1"/>
    <xf numFmtId="0" fontId="6" fillId="0" borderId="0" xfId="1090" applyFill="1" applyAlignment="1">
      <alignment vertical="top"/>
    </xf>
    <xf numFmtId="17" fontId="6" fillId="0" borderId="4" xfId="1090" applyNumberFormat="1" applyFill="1" applyBorder="1" applyAlignment="1">
      <alignment horizontal="left"/>
    </xf>
    <xf numFmtId="44" fontId="109" fillId="0" borderId="10" xfId="1091" applyFont="1" applyFill="1" applyBorder="1"/>
    <xf numFmtId="44" fontId="109" fillId="0" borderId="4" xfId="1091" applyFont="1" applyFill="1" applyBorder="1"/>
    <xf numFmtId="44" fontId="109" fillId="0" borderId="7" xfId="1091" applyFont="1" applyFill="1" applyBorder="1"/>
    <xf numFmtId="44" fontId="109" fillId="0" borderId="40" xfId="1091" applyFont="1" applyFill="1" applyBorder="1"/>
    <xf numFmtId="0" fontId="107" fillId="0" borderId="12" xfId="1090" applyFont="1" applyFill="1" applyBorder="1" applyAlignment="1">
      <alignment horizontal="center" vertical="top" wrapText="1"/>
    </xf>
    <xf numFmtId="0" fontId="68" fillId="0" borderId="0" xfId="1092" applyFont="1" applyFill="1" applyAlignment="1">
      <alignment horizontal="right"/>
    </xf>
    <xf numFmtId="3" fontId="17" fillId="0" borderId="0" xfId="1093" applyNumberFormat="1" applyFont="1" applyFill="1" applyAlignment="1">
      <alignment horizontal="right"/>
    </xf>
    <xf numFmtId="0" fontId="68" fillId="0" borderId="0" xfId="728" applyFont="1" applyFill="1" applyAlignment="1">
      <alignment horizontal="right"/>
    </xf>
    <xf numFmtId="175" fontId="6" fillId="0" borderId="0" xfId="1090" applyNumberFormat="1" applyFill="1"/>
    <xf numFmtId="0" fontId="76" fillId="0" borderId="0" xfId="1094" applyFont="1" applyFill="1" applyAlignment="1">
      <alignment horizontal="right"/>
    </xf>
    <xf numFmtId="0" fontId="68" fillId="0" borderId="0" xfId="1094" applyFont="1" applyFill="1" applyAlignment="1">
      <alignment horizontal="right"/>
    </xf>
    <xf numFmtId="0" fontId="110" fillId="0" borderId="0" xfId="1109" applyFont="1" applyFill="1"/>
    <xf numFmtId="0" fontId="2" fillId="0" borderId="0" xfId="1109" applyFill="1"/>
    <xf numFmtId="174" fontId="0" fillId="0" borderId="0" xfId="1110" applyNumberFormat="1" applyFont="1" applyFill="1" applyBorder="1"/>
    <xf numFmtId="0" fontId="2" fillId="0" borderId="0" xfId="1109" quotePrefix="1" applyFill="1"/>
    <xf numFmtId="0" fontId="5" fillId="0" borderId="0" xfId="1095" applyFill="1" applyAlignment="1">
      <alignment horizontal="center"/>
    </xf>
    <xf numFmtId="174" fontId="110" fillId="0" borderId="34" xfId="1110" applyNumberFormat="1" applyFont="1" applyFill="1" applyBorder="1" applyAlignment="1">
      <alignment horizontal="center" vertical="center" wrapText="1"/>
    </xf>
    <xf numFmtId="174" fontId="1" fillId="0" borderId="0" xfId="1104" applyNumberFormat="1" applyFont="1" applyFill="1" applyBorder="1" applyAlignment="1">
      <alignment horizontal="center" vertical="center"/>
    </xf>
    <xf numFmtId="173" fontId="0" fillId="0" borderId="0" xfId="0" applyFill="1" applyAlignment="1">
      <alignment horizontal="center" vertical="center"/>
    </xf>
    <xf numFmtId="0" fontId="110" fillId="0" borderId="0" xfId="1095" applyFont="1" applyFill="1"/>
    <xf numFmtId="174" fontId="110" fillId="0" borderId="0" xfId="1110" applyNumberFormat="1" applyFont="1" applyFill="1" applyBorder="1" applyAlignment="1">
      <alignment horizontal="center" vertical="center"/>
    </xf>
    <xf numFmtId="0" fontId="17" fillId="0" borderId="0" xfId="712" applyFill="1" applyAlignment="1">
      <alignment horizontal="center" vertical="center"/>
    </xf>
    <xf numFmtId="174" fontId="110" fillId="0" borderId="0" xfId="1110" applyNumberFormat="1" applyFont="1" applyFill="1" applyBorder="1" applyAlignment="1">
      <alignment horizontal="center" vertical="center" wrapText="1"/>
    </xf>
    <xf numFmtId="174" fontId="110" fillId="0" borderId="0" xfId="1110" applyNumberFormat="1" applyFont="1" applyFill="1" applyBorder="1" applyAlignment="1">
      <alignment horizontal="center"/>
    </xf>
    <xf numFmtId="174" fontId="119" fillId="0" borderId="0" xfId="1110" applyNumberFormat="1" applyFont="1" applyFill="1" applyBorder="1" applyAlignment="1">
      <alignment horizontal="center"/>
    </xf>
    <xf numFmtId="174" fontId="110" fillId="0" borderId="0" xfId="1110" applyNumberFormat="1" applyFont="1" applyFill="1" applyBorder="1" applyAlignment="1">
      <alignment horizontal="center" wrapText="1"/>
    </xf>
    <xf numFmtId="174" fontId="110" fillId="0" borderId="6" xfId="1110" applyNumberFormat="1" applyFont="1" applyFill="1" applyBorder="1" applyAlignment="1">
      <alignment horizontal="center"/>
    </xf>
    <xf numFmtId="174" fontId="110" fillId="0" borderId="6" xfId="1110" applyNumberFormat="1" applyFont="1" applyFill="1" applyBorder="1" applyAlignment="1">
      <alignment horizontal="center" wrapText="1"/>
    </xf>
    <xf numFmtId="0" fontId="2" fillId="0" borderId="0" xfId="1109" quotePrefix="1" applyFill="1" applyAlignment="1">
      <alignment horizontal="left" indent="2"/>
    </xf>
    <xf numFmtId="43" fontId="17" fillId="0" borderId="0" xfId="1110" applyFont="1" applyFill="1" applyBorder="1" applyAlignment="1">
      <alignment horizontal="left"/>
    </xf>
    <xf numFmtId="174" fontId="2" fillId="0" borderId="0" xfId="1109" applyNumberFormat="1" applyFill="1"/>
    <xf numFmtId="43" fontId="17" fillId="0" borderId="0" xfId="1110" applyFont="1" applyFill="1" applyBorder="1" applyAlignment="1">
      <alignment horizontal="center"/>
    </xf>
    <xf numFmtId="0" fontId="110" fillId="0" borderId="0" xfId="1109" applyFont="1" applyFill="1" applyAlignment="1">
      <alignment horizontal="right"/>
    </xf>
    <xf numFmtId="174" fontId="2" fillId="0" borderId="6" xfId="1109" applyNumberFormat="1" applyFill="1" applyBorder="1"/>
    <xf numFmtId="43" fontId="17" fillId="0" borderId="0" xfId="1110" applyFont="1" applyFill="1" applyBorder="1"/>
    <xf numFmtId="174" fontId="110" fillId="0" borderId="0" xfId="1110" applyNumberFormat="1" applyFont="1" applyFill="1" applyBorder="1"/>
    <xf numFmtId="10" fontId="107" fillId="0" borderId="6" xfId="1112" applyNumberFormat="1" applyFont="1" applyFill="1" applyBorder="1"/>
    <xf numFmtId="174" fontId="0" fillId="0" borderId="6" xfId="1110" applyNumberFormat="1" applyFont="1" applyFill="1" applyBorder="1"/>
    <xf numFmtId="0" fontId="110" fillId="0" borderId="0" xfId="1109" quotePrefix="1" applyFont="1" applyFill="1" applyAlignment="1">
      <alignment horizontal="left" indent="2"/>
    </xf>
    <xf numFmtId="174" fontId="116" fillId="0" borderId="38" xfId="1110" applyNumberFormat="1" applyFont="1" applyFill="1" applyBorder="1"/>
    <xf numFmtId="174" fontId="68" fillId="0" borderId="38" xfId="1110" applyNumberFormat="1" applyFont="1" applyFill="1" applyBorder="1"/>
    <xf numFmtId="43" fontId="30" fillId="0" borderId="0" xfId="1110" applyFont="1" applyFill="1" applyBorder="1" applyAlignment="1">
      <alignment horizontal="center"/>
    </xf>
    <xf numFmtId="174" fontId="68" fillId="0" borderId="0" xfId="1110" applyNumberFormat="1" applyFont="1" applyFill="1" applyBorder="1"/>
    <xf numFmtId="0" fontId="5" fillId="0" borderId="0" xfId="1095" quotePrefix="1" applyFill="1" applyAlignment="1">
      <alignment horizontal="left" indent="2"/>
    </xf>
    <xf numFmtId="174" fontId="107" fillId="0" borderId="0" xfId="1110" applyNumberFormat="1" applyFont="1" applyFill="1" applyBorder="1"/>
    <xf numFmtId="174" fontId="107" fillId="0" borderId="6" xfId="1110" applyNumberFormat="1" applyFont="1" applyFill="1" applyBorder="1"/>
    <xf numFmtId="10" fontId="107" fillId="0" borderId="0" xfId="1111" applyNumberFormat="1" applyFont="1" applyFill="1" applyBorder="1"/>
    <xf numFmtId="10" fontId="0" fillId="0" borderId="0" xfId="1111" applyNumberFormat="1" applyFont="1" applyFill="1" applyBorder="1"/>
    <xf numFmtId="174" fontId="110" fillId="0" borderId="43" xfId="1110" applyNumberFormat="1" applyFont="1" applyFill="1" applyBorder="1"/>
    <xf numFmtId="0" fontId="5" fillId="0" borderId="0" xfId="1095" applyFill="1"/>
    <xf numFmtId="174" fontId="107" fillId="0" borderId="0" xfId="1104" applyNumberFormat="1" applyFont="1" applyFill="1" applyBorder="1"/>
    <xf numFmtId="174" fontId="5" fillId="0" borderId="0" xfId="1095" applyNumberFormat="1" applyFill="1"/>
    <xf numFmtId="174" fontId="107" fillId="0" borderId="6" xfId="1104" applyNumberFormat="1" applyFont="1" applyFill="1" applyBorder="1"/>
    <xf numFmtId="10" fontId="0" fillId="0" borderId="0" xfId="1113" applyNumberFormat="1" applyFont="1" applyFill="1" applyBorder="1"/>
    <xf numFmtId="0" fontId="110" fillId="0" borderId="0" xfId="1095" applyFont="1" applyFill="1" applyAlignment="1">
      <alignment horizontal="right"/>
    </xf>
    <xf numFmtId="174" fontId="110" fillId="0" borderId="43" xfId="1104" applyNumberFormat="1" applyFont="1" applyFill="1" applyBorder="1"/>
    <xf numFmtId="174" fontId="0" fillId="0" borderId="0" xfId="1104" applyNumberFormat="1" applyFont="1" applyFill="1" applyBorder="1"/>
    <xf numFmtId="174" fontId="68" fillId="0" borderId="38" xfId="1104" applyNumberFormat="1" applyFont="1" applyFill="1" applyBorder="1"/>
    <xf numFmtId="43" fontId="30" fillId="0" borderId="0" xfId="1104" applyFont="1" applyFill="1" applyBorder="1" applyAlignment="1">
      <alignment horizontal="center"/>
    </xf>
    <xf numFmtId="0" fontId="7" fillId="0" borderId="0" xfId="239" applyFill="1"/>
    <xf numFmtId="0" fontId="82" fillId="0" borderId="0" xfId="239" applyFont="1" applyFill="1" applyAlignment="1">
      <alignment horizontal="center"/>
    </xf>
    <xf numFmtId="0" fontId="83" fillId="0" borderId="0" xfId="239" applyFont="1" applyFill="1"/>
    <xf numFmtId="9" fontId="82" fillId="0" borderId="0" xfId="239" applyNumberFormat="1" applyFont="1" applyFill="1" applyAlignment="1">
      <alignment horizontal="center"/>
    </xf>
    <xf numFmtId="176" fontId="82" fillId="0" borderId="0" xfId="0" applyNumberFormat="1" applyFont="1" applyFill="1"/>
    <xf numFmtId="10" fontId="82" fillId="0" borderId="0" xfId="240" applyNumberFormat="1" applyFont="1" applyFill="1"/>
    <xf numFmtId="174" fontId="82" fillId="0" borderId="0" xfId="241" applyNumberFormat="1" applyFont="1" applyFill="1"/>
    <xf numFmtId="186" fontId="82" fillId="0" borderId="0" xfId="241" applyNumberFormat="1" applyFont="1" applyFill="1"/>
    <xf numFmtId="186" fontId="0" fillId="0" borderId="0" xfId="241" applyNumberFormat="1" applyFont="1" applyFill="1"/>
    <xf numFmtId="9" fontId="82" fillId="0" borderId="0" xfId="240" applyFont="1" applyFill="1"/>
    <xf numFmtId="9" fontId="0" fillId="0" borderId="0" xfId="240" applyFont="1" applyFill="1"/>
    <xf numFmtId="41" fontId="82" fillId="0" borderId="0" xfId="239" applyNumberFormat="1" applyFont="1" applyFill="1"/>
    <xf numFmtId="174" fontId="82" fillId="0" borderId="0" xfId="239" applyNumberFormat="1" applyFont="1" applyFill="1"/>
    <xf numFmtId="0" fontId="106" fillId="0" borderId="0" xfId="1106" applyFont="1" applyFill="1"/>
    <xf numFmtId="0" fontId="30" fillId="0" borderId="0" xfId="1106" applyFont="1" applyFill="1"/>
    <xf numFmtId="0" fontId="30" fillId="0" borderId="0" xfId="1106" applyFont="1" applyFill="1" applyAlignment="1">
      <alignment horizontal="center"/>
    </xf>
    <xf numFmtId="0" fontId="30" fillId="0" borderId="0" xfId="1107" applyFont="1" applyFill="1"/>
    <xf numFmtId="246" fontId="30" fillId="0" borderId="0" xfId="1107" applyNumberFormat="1" applyFont="1" applyFill="1"/>
    <xf numFmtId="246" fontId="106" fillId="0" borderId="0" xfId="1107" applyNumberFormat="1" applyFont="1" applyFill="1"/>
    <xf numFmtId="0" fontId="112" fillId="0" borderId="0" xfId="1107" applyFont="1" applyFill="1" applyAlignment="1">
      <alignment horizontal="center"/>
    </xf>
    <xf numFmtId="37" fontId="30" fillId="0" borderId="0" xfId="1106" applyNumberFormat="1" applyFont="1" applyFill="1"/>
    <xf numFmtId="178" fontId="112" fillId="0" borderId="0" xfId="1107" applyNumberFormat="1" applyFont="1" applyFill="1" applyAlignment="1">
      <alignment horizontal="center"/>
    </xf>
    <xf numFmtId="178" fontId="30" fillId="0" borderId="0" xfId="1107" applyNumberFormat="1" applyFont="1" applyFill="1"/>
    <xf numFmtId="14" fontId="106" fillId="0" borderId="0" xfId="1107" applyNumberFormat="1" applyFont="1" applyFill="1" applyAlignment="1">
      <alignment horizontal="center"/>
    </xf>
    <xf numFmtId="14" fontId="106" fillId="0" borderId="0" xfId="1107" applyNumberFormat="1" applyFont="1" applyFill="1"/>
    <xf numFmtId="10" fontId="30" fillId="0" borderId="0" xfId="1107" applyNumberFormat="1" applyFont="1" applyFill="1" applyAlignment="1">
      <alignment horizontal="center"/>
    </xf>
    <xf numFmtId="0" fontId="30" fillId="0" borderId="0" xfId="1106" applyFont="1" applyFill="1" applyAlignment="1">
      <alignment wrapText="1"/>
    </xf>
    <xf numFmtId="0" fontId="106" fillId="0" borderId="0" xfId="1106" applyFont="1" applyFill="1" applyAlignment="1">
      <alignment horizontal="center" wrapText="1"/>
    </xf>
    <xf numFmtId="14" fontId="106" fillId="0" borderId="0" xfId="1107" applyNumberFormat="1" applyFont="1" applyFill="1" applyAlignment="1">
      <alignment horizontal="center" wrapText="1"/>
    </xf>
    <xf numFmtId="0" fontId="106" fillId="0" borderId="0" xfId="1107" applyFont="1" applyFill="1" applyAlignment="1">
      <alignment horizontal="center" wrapText="1"/>
    </xf>
    <xf numFmtId="246" fontId="106" fillId="0" borderId="0" xfId="1107" applyNumberFormat="1" applyFont="1" applyFill="1" applyAlignment="1">
      <alignment horizontal="center" wrapText="1"/>
    </xf>
    <xf numFmtId="0" fontId="30" fillId="0" borderId="0" xfId="1107" applyFont="1" applyFill="1" applyAlignment="1">
      <alignment wrapText="1"/>
    </xf>
    <xf numFmtId="178" fontId="30" fillId="0" borderId="39" xfId="1107" applyNumberFormat="1" applyFont="1" applyFill="1" applyBorder="1" applyAlignment="1">
      <alignment horizontal="center"/>
    </xf>
    <xf numFmtId="246" fontId="30" fillId="0" borderId="39" xfId="1107" applyNumberFormat="1" applyFont="1" applyFill="1" applyBorder="1" applyAlignment="1">
      <alignment horizontal="center"/>
    </xf>
    <xf numFmtId="246" fontId="30" fillId="0" borderId="0" xfId="1106" applyNumberFormat="1" applyFont="1" applyFill="1"/>
    <xf numFmtId="37" fontId="112" fillId="0" borderId="0" xfId="1106" applyNumberFormat="1" applyFont="1" applyFill="1"/>
    <xf numFmtId="37" fontId="30" fillId="0" borderId="43" xfId="1106" applyNumberFormat="1" applyFont="1" applyFill="1" applyBorder="1"/>
    <xf numFmtId="0" fontId="30" fillId="0" borderId="0" xfId="1107" applyFont="1" applyFill="1" applyAlignment="1">
      <alignment horizontal="right"/>
    </xf>
    <xf numFmtId="0" fontId="114" fillId="0" borderId="0" xfId="1107" applyFont="1" applyFill="1"/>
    <xf numFmtId="246" fontId="114" fillId="0" borderId="0" xfId="1107" applyNumberFormat="1" applyFont="1" applyFill="1" applyAlignment="1">
      <alignment horizontal="center"/>
    </xf>
    <xf numFmtId="247" fontId="30" fillId="0" borderId="0" xfId="1107" applyNumberFormat="1" applyFont="1" applyFill="1"/>
    <xf numFmtId="244" fontId="30" fillId="0" borderId="0" xfId="1107" applyNumberFormat="1" applyFont="1" applyFill="1"/>
    <xf numFmtId="0" fontId="115" fillId="0" borderId="0" xfId="1107" applyFont="1" applyFill="1"/>
    <xf numFmtId="244" fontId="115" fillId="0" borderId="0" xfId="1107" applyNumberFormat="1" applyFont="1" applyFill="1"/>
    <xf numFmtId="244" fontId="115" fillId="0" borderId="33" xfId="1107" applyNumberFormat="1" applyFont="1" applyFill="1" applyBorder="1"/>
    <xf numFmtId="244" fontId="30" fillId="0" borderId="2" xfId="1107" applyNumberFormat="1" applyFont="1" applyFill="1" applyBorder="1"/>
    <xf numFmtId="169" fontId="30" fillId="0" borderId="0" xfId="1107" applyNumberFormat="1" applyFont="1" applyFill="1"/>
    <xf numFmtId="173" fontId="0" fillId="0" borderId="0" xfId="0" applyFill="1" applyAlignment="1"/>
    <xf numFmtId="1" fontId="0" fillId="0" borderId="0" xfId="0" applyNumberFormat="1" applyFill="1" applyAlignment="1"/>
    <xf numFmtId="3" fontId="0" fillId="0" borderId="0" xfId="0" applyNumberFormat="1" applyFill="1" applyAlignment="1">
      <alignment horizontal="center"/>
    </xf>
    <xf numFmtId="173" fontId="11" fillId="0" borderId="0" xfId="0" applyFont="1" applyFill="1" applyAlignment="1">
      <alignment horizontal="left" vertical="top" wrapText="1"/>
    </xf>
    <xf numFmtId="0" fontId="11" fillId="0" borderId="0" xfId="0" applyNumberFormat="1" applyFont="1" applyFill="1" applyAlignment="1" applyProtection="1">
      <protection locked="0"/>
    </xf>
    <xf numFmtId="3" fontId="11" fillId="0" borderId="0" xfId="0" applyNumberFormat="1" applyFont="1" applyFill="1" applyAlignment="1" applyProtection="1">
      <alignment horizontal="right"/>
      <protection locked="0"/>
    </xf>
    <xf numFmtId="0" fontId="11" fillId="0" borderId="0" xfId="0" applyNumberFormat="1" applyFont="1" applyFill="1" applyAlignment="1" applyProtection="1">
      <alignment horizontal="right"/>
      <protection locked="0"/>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pplyProtection="1">
      <alignment horizontal="right"/>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5" fillId="0" borderId="0" xfId="0" applyNumberFormat="1" applyFont="1" applyFill="1" applyAlignment="1" applyProtection="1">
      <alignment horizontal="right"/>
      <protection locked="0"/>
    </xf>
    <xf numFmtId="0" fontId="11" fillId="0" borderId="0" xfId="0" applyNumberFormat="1" applyFont="1" applyFill="1" applyAlignment="1" applyProtection="1">
      <alignment wrapText="1"/>
      <protection locked="0"/>
    </xf>
    <xf numFmtId="0" fontId="11" fillId="0" borderId="0" xfId="0" applyNumberFormat="1" applyFont="1" applyFill="1" applyAlignment="1" applyProtection="1">
      <alignment horizontal="left" wrapText="1"/>
      <protection locked="0"/>
    </xf>
    <xf numFmtId="0" fontId="83" fillId="0" borderId="0" xfId="239" applyFont="1" applyFill="1" applyAlignment="1">
      <alignment horizontal="center"/>
    </xf>
    <xf numFmtId="0" fontId="107" fillId="0" borderId="0" xfId="1090" applyFont="1" applyFill="1" applyAlignment="1">
      <alignment vertical="top" wrapText="1"/>
    </xf>
    <xf numFmtId="0" fontId="6" fillId="0" borderId="0" xfId="1090" applyFill="1" applyAlignment="1">
      <alignment vertical="top" wrapText="1"/>
    </xf>
    <xf numFmtId="0" fontId="6" fillId="0" borderId="0" xfId="1090" applyFill="1"/>
    <xf numFmtId="174" fontId="110" fillId="0" borderId="41" xfId="1110" applyNumberFormat="1" applyFont="1" applyFill="1" applyBorder="1" applyAlignment="1">
      <alignment horizontal="center" vertical="center"/>
    </xf>
    <xf numFmtId="0" fontId="17" fillId="0" borderId="24" xfId="712" applyFill="1" applyBorder="1" applyAlignment="1">
      <alignment horizontal="center" vertical="center"/>
    </xf>
    <xf numFmtId="0" fontId="17" fillId="0" borderId="42" xfId="712" applyFill="1" applyBorder="1" applyAlignment="1">
      <alignment horizontal="center" vertical="center"/>
    </xf>
    <xf numFmtId="173" fontId="24" fillId="0" borderId="9" xfId="0" applyFont="1" applyBorder="1" applyAlignment="1">
      <alignment horizontal="center"/>
    </xf>
    <xf numFmtId="173" fontId="24" fillId="0" borderId="10" xfId="0" applyFont="1" applyBorder="1" applyAlignment="1">
      <alignment horizontal="center"/>
    </xf>
    <xf numFmtId="173" fontId="24" fillId="0" borderId="16" xfId="0" applyFont="1" applyBorder="1" applyAlignment="1">
      <alignment horizontal="center"/>
    </xf>
    <xf numFmtId="173" fontId="24" fillId="0" borderId="17" xfId="0" applyFont="1" applyBorder="1" applyAlignment="1">
      <alignment horizontal="center"/>
    </xf>
    <xf numFmtId="0" fontId="113" fillId="0" borderId="0" xfId="1107" applyFont="1" applyFill="1" applyAlignment="1">
      <alignment horizontal="center" vertical="center" wrapText="1"/>
    </xf>
  </cellXfs>
  <cellStyles count="1114">
    <cellStyle name="=C:\WINNT35\SYSTEM32\COMMAND.COM" xfId="242" xr:uid="{00000000-0005-0000-0000-000000000000}"/>
    <cellStyle name="20% - Accent1 2" xfId="5" xr:uid="{00000000-0005-0000-0000-000001000000}"/>
    <cellStyle name="20% - Accent1 3" xfId="6" xr:uid="{00000000-0005-0000-0000-000002000000}"/>
    <cellStyle name="20% - Accent1 4" xfId="7" xr:uid="{00000000-0005-0000-0000-000003000000}"/>
    <cellStyle name="20% - Accent1 5" xfId="8" xr:uid="{00000000-0005-0000-0000-000004000000}"/>
    <cellStyle name="20% - Accent1 6" xfId="9" xr:uid="{00000000-0005-0000-0000-000005000000}"/>
    <cellStyle name="20% - Accent2 2" xfId="10" xr:uid="{00000000-0005-0000-0000-000006000000}"/>
    <cellStyle name="20% - Accent2 3" xfId="11" xr:uid="{00000000-0005-0000-0000-000007000000}"/>
    <cellStyle name="20% - Accent2 4" xfId="12" xr:uid="{00000000-0005-0000-0000-000008000000}"/>
    <cellStyle name="20% - Accent2 5" xfId="13" xr:uid="{00000000-0005-0000-0000-000009000000}"/>
    <cellStyle name="20% - Accent2 6" xfId="14" xr:uid="{00000000-0005-0000-0000-00000A000000}"/>
    <cellStyle name="20% - Accent3 2" xfId="15" xr:uid="{00000000-0005-0000-0000-00000B000000}"/>
    <cellStyle name="20% - Accent3 3" xfId="16" xr:uid="{00000000-0005-0000-0000-00000C000000}"/>
    <cellStyle name="20% - Accent3 4" xfId="17" xr:uid="{00000000-0005-0000-0000-00000D000000}"/>
    <cellStyle name="20% - Accent3 5" xfId="18" xr:uid="{00000000-0005-0000-0000-00000E000000}"/>
    <cellStyle name="20% - Accent3 6" xfId="19" xr:uid="{00000000-0005-0000-0000-00000F000000}"/>
    <cellStyle name="20% - Accent4 2" xfId="20" xr:uid="{00000000-0005-0000-0000-000010000000}"/>
    <cellStyle name="20% - Accent4 3" xfId="21" xr:uid="{00000000-0005-0000-0000-000011000000}"/>
    <cellStyle name="20% - Accent4 4" xfId="22" xr:uid="{00000000-0005-0000-0000-000012000000}"/>
    <cellStyle name="20% - Accent4 5" xfId="23" xr:uid="{00000000-0005-0000-0000-000013000000}"/>
    <cellStyle name="20% - Accent4 6" xfId="24" xr:uid="{00000000-0005-0000-0000-000014000000}"/>
    <cellStyle name="20% - Accent5 2" xfId="25" xr:uid="{00000000-0005-0000-0000-000015000000}"/>
    <cellStyle name="20% - Accent5 3" xfId="26" xr:uid="{00000000-0005-0000-0000-000016000000}"/>
    <cellStyle name="20% - Accent5 4" xfId="27" xr:uid="{00000000-0005-0000-0000-000017000000}"/>
    <cellStyle name="20% - Accent5 5" xfId="28" xr:uid="{00000000-0005-0000-0000-000018000000}"/>
    <cellStyle name="20% - Accent5 6" xfId="29" xr:uid="{00000000-0005-0000-0000-000019000000}"/>
    <cellStyle name="20% - Accent6 2" xfId="30" xr:uid="{00000000-0005-0000-0000-00001A000000}"/>
    <cellStyle name="20% - Accent6 3" xfId="31" xr:uid="{00000000-0005-0000-0000-00001B000000}"/>
    <cellStyle name="20% - Accent6 4" xfId="32" xr:uid="{00000000-0005-0000-0000-00001C000000}"/>
    <cellStyle name="20% - Accent6 5" xfId="33" xr:uid="{00000000-0005-0000-0000-00001D000000}"/>
    <cellStyle name="20% - Accent6 6" xfId="34" xr:uid="{00000000-0005-0000-0000-00001E000000}"/>
    <cellStyle name="40% - Accent1 2" xfId="35" xr:uid="{00000000-0005-0000-0000-00001F000000}"/>
    <cellStyle name="40% - Accent1 3" xfId="36" xr:uid="{00000000-0005-0000-0000-000020000000}"/>
    <cellStyle name="40% - Accent1 4" xfId="37" xr:uid="{00000000-0005-0000-0000-000021000000}"/>
    <cellStyle name="40% - Accent1 5" xfId="38" xr:uid="{00000000-0005-0000-0000-000022000000}"/>
    <cellStyle name="40% - Accent1 6" xfId="39" xr:uid="{00000000-0005-0000-0000-000023000000}"/>
    <cellStyle name="40% - Accent2 2" xfId="40" xr:uid="{00000000-0005-0000-0000-000024000000}"/>
    <cellStyle name="40% - Accent2 3" xfId="41" xr:uid="{00000000-0005-0000-0000-000025000000}"/>
    <cellStyle name="40% - Accent2 4" xfId="42" xr:uid="{00000000-0005-0000-0000-000026000000}"/>
    <cellStyle name="40% - Accent2 5" xfId="43" xr:uid="{00000000-0005-0000-0000-000027000000}"/>
    <cellStyle name="40% - Accent2 6" xfId="44" xr:uid="{00000000-0005-0000-0000-000028000000}"/>
    <cellStyle name="40% - Accent3 2" xfId="45" xr:uid="{00000000-0005-0000-0000-000029000000}"/>
    <cellStyle name="40% - Accent3 3" xfId="46" xr:uid="{00000000-0005-0000-0000-00002A000000}"/>
    <cellStyle name="40% - Accent3 4" xfId="47" xr:uid="{00000000-0005-0000-0000-00002B000000}"/>
    <cellStyle name="40% - Accent3 5" xfId="48" xr:uid="{00000000-0005-0000-0000-00002C000000}"/>
    <cellStyle name="40% - Accent3 6" xfId="49" xr:uid="{00000000-0005-0000-0000-00002D000000}"/>
    <cellStyle name="40% - Accent4 2" xfId="50" xr:uid="{00000000-0005-0000-0000-00002E000000}"/>
    <cellStyle name="40% - Accent4 3" xfId="51" xr:uid="{00000000-0005-0000-0000-00002F000000}"/>
    <cellStyle name="40% - Accent4 4" xfId="52" xr:uid="{00000000-0005-0000-0000-000030000000}"/>
    <cellStyle name="40% - Accent4 5" xfId="53" xr:uid="{00000000-0005-0000-0000-000031000000}"/>
    <cellStyle name="40% - Accent4 6" xfId="54" xr:uid="{00000000-0005-0000-0000-000032000000}"/>
    <cellStyle name="40% - Accent5 2" xfId="55" xr:uid="{00000000-0005-0000-0000-000033000000}"/>
    <cellStyle name="40% - Accent5 3" xfId="56" xr:uid="{00000000-0005-0000-0000-000034000000}"/>
    <cellStyle name="40% - Accent5 4" xfId="57" xr:uid="{00000000-0005-0000-0000-000035000000}"/>
    <cellStyle name="40% - Accent5 5" xfId="58" xr:uid="{00000000-0005-0000-0000-000036000000}"/>
    <cellStyle name="40% - Accent5 6" xfId="59" xr:uid="{00000000-0005-0000-0000-000037000000}"/>
    <cellStyle name="40% - Accent6 2" xfId="60" xr:uid="{00000000-0005-0000-0000-000038000000}"/>
    <cellStyle name="40% - Accent6 3" xfId="61" xr:uid="{00000000-0005-0000-0000-000039000000}"/>
    <cellStyle name="40% - Accent6 4" xfId="62" xr:uid="{00000000-0005-0000-0000-00003A000000}"/>
    <cellStyle name="40% - Accent6 5" xfId="63" xr:uid="{00000000-0005-0000-0000-00003B000000}"/>
    <cellStyle name="40% - Accent6 6" xfId="64" xr:uid="{00000000-0005-0000-0000-00003C000000}"/>
    <cellStyle name="60% - Accent1 2" xfId="65" xr:uid="{00000000-0005-0000-0000-00003D000000}"/>
    <cellStyle name="60% - Accent2 2" xfId="66" xr:uid="{00000000-0005-0000-0000-00003E000000}"/>
    <cellStyle name="60% - Accent3 2" xfId="67" xr:uid="{00000000-0005-0000-0000-00003F000000}"/>
    <cellStyle name="60% - Accent4 2" xfId="68" xr:uid="{00000000-0005-0000-0000-000040000000}"/>
    <cellStyle name="60% - Accent5 2" xfId="69" xr:uid="{00000000-0005-0000-0000-000041000000}"/>
    <cellStyle name="60% - Accent6 2" xfId="70" xr:uid="{00000000-0005-0000-0000-000042000000}"/>
    <cellStyle name="Accent1 2" xfId="71" xr:uid="{00000000-0005-0000-0000-000043000000}"/>
    <cellStyle name="Accent2 2" xfId="72" xr:uid="{00000000-0005-0000-0000-000044000000}"/>
    <cellStyle name="Accent3 2" xfId="73" xr:uid="{00000000-0005-0000-0000-000045000000}"/>
    <cellStyle name="Accent4 2" xfId="74" xr:uid="{00000000-0005-0000-0000-000046000000}"/>
    <cellStyle name="Accent5 2" xfId="75" xr:uid="{00000000-0005-0000-0000-000047000000}"/>
    <cellStyle name="Accent6 2" xfId="76" xr:uid="{00000000-0005-0000-0000-000048000000}"/>
    <cellStyle name="Bad 2" xfId="77" xr:uid="{00000000-0005-0000-0000-000049000000}"/>
    <cellStyle name="black" xfId="243" xr:uid="{00000000-0005-0000-0000-00004A000000}"/>
    <cellStyle name="blu" xfId="244" xr:uid="{00000000-0005-0000-0000-00004B000000}"/>
    <cellStyle name="bot" xfId="245" xr:uid="{00000000-0005-0000-0000-00004C000000}"/>
    <cellStyle name="Bullet" xfId="246" xr:uid="{00000000-0005-0000-0000-00004D000000}"/>
    <cellStyle name="c" xfId="247" xr:uid="{00000000-0005-0000-0000-00004E000000}"/>
    <cellStyle name="c," xfId="248" xr:uid="{00000000-0005-0000-0000-00004F000000}"/>
    <cellStyle name="c_HardInc " xfId="249" xr:uid="{00000000-0005-0000-0000-000050000000}"/>
    <cellStyle name="C00A" xfId="78" xr:uid="{00000000-0005-0000-0000-000051000000}"/>
    <cellStyle name="C00B" xfId="79" xr:uid="{00000000-0005-0000-0000-000052000000}"/>
    <cellStyle name="C00L" xfId="80" xr:uid="{00000000-0005-0000-0000-000053000000}"/>
    <cellStyle name="C01A" xfId="81" xr:uid="{00000000-0005-0000-0000-000054000000}"/>
    <cellStyle name="C01B" xfId="82" xr:uid="{00000000-0005-0000-0000-000055000000}"/>
    <cellStyle name="C01H" xfId="83" xr:uid="{00000000-0005-0000-0000-000056000000}"/>
    <cellStyle name="C01L" xfId="84" xr:uid="{00000000-0005-0000-0000-000057000000}"/>
    <cellStyle name="C02A" xfId="85" xr:uid="{00000000-0005-0000-0000-000058000000}"/>
    <cellStyle name="C02A 2" xfId="250" xr:uid="{00000000-0005-0000-0000-000059000000}"/>
    <cellStyle name="C02A 2 2" xfId="251" xr:uid="{00000000-0005-0000-0000-00005A000000}"/>
    <cellStyle name="C02A 2 2 2" xfId="252" xr:uid="{00000000-0005-0000-0000-00005B000000}"/>
    <cellStyle name="C02A 2 3" xfId="253" xr:uid="{00000000-0005-0000-0000-00005C000000}"/>
    <cellStyle name="C02A 2 4" xfId="254" xr:uid="{00000000-0005-0000-0000-00005D000000}"/>
    <cellStyle name="C02A 2 5" xfId="255" xr:uid="{00000000-0005-0000-0000-00005E000000}"/>
    <cellStyle name="C02A 2 6" xfId="256" xr:uid="{00000000-0005-0000-0000-00005F000000}"/>
    <cellStyle name="C02A 3" xfId="257" xr:uid="{00000000-0005-0000-0000-000060000000}"/>
    <cellStyle name="C02A 3 2" xfId="258" xr:uid="{00000000-0005-0000-0000-000061000000}"/>
    <cellStyle name="C02A 4" xfId="259" xr:uid="{00000000-0005-0000-0000-000062000000}"/>
    <cellStyle name="C02A 4 2" xfId="260" xr:uid="{00000000-0005-0000-0000-000063000000}"/>
    <cellStyle name="C02B" xfId="86" xr:uid="{00000000-0005-0000-0000-000064000000}"/>
    <cellStyle name="C02H" xfId="87" xr:uid="{00000000-0005-0000-0000-000065000000}"/>
    <cellStyle name="C02L" xfId="88" xr:uid="{00000000-0005-0000-0000-000066000000}"/>
    <cellStyle name="C03A" xfId="89" xr:uid="{00000000-0005-0000-0000-000067000000}"/>
    <cellStyle name="C03B" xfId="90" xr:uid="{00000000-0005-0000-0000-000068000000}"/>
    <cellStyle name="C03H" xfId="91" xr:uid="{00000000-0005-0000-0000-000069000000}"/>
    <cellStyle name="C03L" xfId="92" xr:uid="{00000000-0005-0000-0000-00006A000000}"/>
    <cellStyle name="C04A" xfId="93" xr:uid="{00000000-0005-0000-0000-00006B000000}"/>
    <cellStyle name="C04B" xfId="94" xr:uid="{00000000-0005-0000-0000-00006C000000}"/>
    <cellStyle name="C04H" xfId="95" xr:uid="{00000000-0005-0000-0000-00006D000000}"/>
    <cellStyle name="C04L" xfId="96" xr:uid="{00000000-0005-0000-0000-00006E000000}"/>
    <cellStyle name="C05A" xfId="97" xr:uid="{00000000-0005-0000-0000-00006F000000}"/>
    <cellStyle name="C05B" xfId="98" xr:uid="{00000000-0005-0000-0000-000070000000}"/>
    <cellStyle name="C05H" xfId="99" xr:uid="{00000000-0005-0000-0000-000071000000}"/>
    <cellStyle name="C05L" xfId="100" xr:uid="{00000000-0005-0000-0000-000072000000}"/>
    <cellStyle name="C06A" xfId="101" xr:uid="{00000000-0005-0000-0000-000073000000}"/>
    <cellStyle name="C06B" xfId="102" xr:uid="{00000000-0005-0000-0000-000074000000}"/>
    <cellStyle name="C06H" xfId="103" xr:uid="{00000000-0005-0000-0000-000075000000}"/>
    <cellStyle name="C06L" xfId="104" xr:uid="{00000000-0005-0000-0000-000076000000}"/>
    <cellStyle name="C07A" xfId="105" xr:uid="{00000000-0005-0000-0000-000077000000}"/>
    <cellStyle name="C07B" xfId="106" xr:uid="{00000000-0005-0000-0000-000078000000}"/>
    <cellStyle name="C07H" xfId="107" xr:uid="{00000000-0005-0000-0000-000079000000}"/>
    <cellStyle name="C07L" xfId="108" xr:uid="{00000000-0005-0000-0000-00007A000000}"/>
    <cellStyle name="c1" xfId="261" xr:uid="{00000000-0005-0000-0000-00007B000000}"/>
    <cellStyle name="c1," xfId="262" xr:uid="{00000000-0005-0000-0000-00007C000000}"/>
    <cellStyle name="c2" xfId="263" xr:uid="{00000000-0005-0000-0000-00007D000000}"/>
    <cellStyle name="c2," xfId="264" xr:uid="{00000000-0005-0000-0000-00007E000000}"/>
    <cellStyle name="c3" xfId="265" xr:uid="{00000000-0005-0000-0000-00007F000000}"/>
    <cellStyle name="Calc Currency (0)" xfId="109" xr:uid="{00000000-0005-0000-0000-000080000000}"/>
    <cellStyle name="Calculation 2" xfId="110" xr:uid="{00000000-0005-0000-0000-000081000000}"/>
    <cellStyle name="Calculation 2 2" xfId="266" xr:uid="{00000000-0005-0000-0000-000082000000}"/>
    <cellStyle name="Calculation 2 2 2" xfId="267" xr:uid="{00000000-0005-0000-0000-000083000000}"/>
    <cellStyle name="Calculation 2 2 2 2" xfId="268" xr:uid="{00000000-0005-0000-0000-000084000000}"/>
    <cellStyle name="Calculation 2 2 2 2 2" xfId="269" xr:uid="{00000000-0005-0000-0000-000085000000}"/>
    <cellStyle name="Calculation 2 2 2 3" xfId="270" xr:uid="{00000000-0005-0000-0000-000086000000}"/>
    <cellStyle name="Calculation 2 2 2 3 2" xfId="271" xr:uid="{00000000-0005-0000-0000-000087000000}"/>
    <cellStyle name="Calculation 2 2 2 4" xfId="272" xr:uid="{00000000-0005-0000-0000-000088000000}"/>
    <cellStyle name="Calculation 2 2 3" xfId="273" xr:uid="{00000000-0005-0000-0000-000089000000}"/>
    <cellStyle name="Calculation 2 2 3 2" xfId="274" xr:uid="{00000000-0005-0000-0000-00008A000000}"/>
    <cellStyle name="Calculation 2 2 4" xfId="275" xr:uid="{00000000-0005-0000-0000-00008B000000}"/>
    <cellStyle name="Calculation 2 2 4 2" xfId="276" xr:uid="{00000000-0005-0000-0000-00008C000000}"/>
    <cellStyle name="Calculation 2 2 5" xfId="277" xr:uid="{00000000-0005-0000-0000-00008D000000}"/>
    <cellStyle name="Calculation 2 2 6" xfId="278" xr:uid="{00000000-0005-0000-0000-00008E000000}"/>
    <cellStyle name="Calculation 2 3" xfId="279" xr:uid="{00000000-0005-0000-0000-00008F000000}"/>
    <cellStyle name="Calculation 2 3 2" xfId="280" xr:uid="{00000000-0005-0000-0000-000090000000}"/>
    <cellStyle name="Calculation 2 3 2 2" xfId="281" xr:uid="{00000000-0005-0000-0000-000091000000}"/>
    <cellStyle name="Calculation 2 3 2 2 2" xfId="282" xr:uid="{00000000-0005-0000-0000-000092000000}"/>
    <cellStyle name="Calculation 2 3 2 3" xfId="283" xr:uid="{00000000-0005-0000-0000-000093000000}"/>
    <cellStyle name="Calculation 2 3 2 3 2" xfId="284" xr:uid="{00000000-0005-0000-0000-000094000000}"/>
    <cellStyle name="Calculation 2 3 2 4" xfId="285" xr:uid="{00000000-0005-0000-0000-000095000000}"/>
    <cellStyle name="Calculation 2 3 3" xfId="286" xr:uid="{00000000-0005-0000-0000-000096000000}"/>
    <cellStyle name="Calculation 2 3 3 2" xfId="287" xr:uid="{00000000-0005-0000-0000-000097000000}"/>
    <cellStyle name="Calculation 2 3 4" xfId="288" xr:uid="{00000000-0005-0000-0000-000098000000}"/>
    <cellStyle name="Calculation 2 3 4 2" xfId="289" xr:uid="{00000000-0005-0000-0000-000099000000}"/>
    <cellStyle name="Calculation 2 3 5" xfId="290" xr:uid="{00000000-0005-0000-0000-00009A000000}"/>
    <cellStyle name="Calculation 2 4" xfId="291" xr:uid="{00000000-0005-0000-0000-00009B000000}"/>
    <cellStyle name="Calculation 2 4 2" xfId="292" xr:uid="{00000000-0005-0000-0000-00009C000000}"/>
    <cellStyle name="Calculation 2 4 2 2" xfId="293" xr:uid="{00000000-0005-0000-0000-00009D000000}"/>
    <cellStyle name="Calculation 2 4 3" xfId="294" xr:uid="{00000000-0005-0000-0000-00009E000000}"/>
    <cellStyle name="Calculation 2 4 3 2" xfId="295" xr:uid="{00000000-0005-0000-0000-00009F000000}"/>
    <cellStyle name="Calculation 2 4 4" xfId="296" xr:uid="{00000000-0005-0000-0000-0000A0000000}"/>
    <cellStyle name="Calculation 2 4 4 2" xfId="297" xr:uid="{00000000-0005-0000-0000-0000A1000000}"/>
    <cellStyle name="Calculation 2 4 5" xfId="298" xr:uid="{00000000-0005-0000-0000-0000A2000000}"/>
    <cellStyle name="Calculation 2 5" xfId="299" xr:uid="{00000000-0005-0000-0000-0000A3000000}"/>
    <cellStyle name="Calculation 2 5 2" xfId="300" xr:uid="{00000000-0005-0000-0000-0000A4000000}"/>
    <cellStyle name="Calculation 2 5 2 2" xfId="301" xr:uid="{00000000-0005-0000-0000-0000A5000000}"/>
    <cellStyle name="Calculation 2 5 3" xfId="302" xr:uid="{00000000-0005-0000-0000-0000A6000000}"/>
    <cellStyle name="Calculation 2 5 3 2" xfId="303" xr:uid="{00000000-0005-0000-0000-0000A7000000}"/>
    <cellStyle name="Calculation 2 5 4" xfId="304" xr:uid="{00000000-0005-0000-0000-0000A8000000}"/>
    <cellStyle name="Calculation 2 6" xfId="305" xr:uid="{00000000-0005-0000-0000-0000A9000000}"/>
    <cellStyle name="Calculation 2 6 2" xfId="306" xr:uid="{00000000-0005-0000-0000-0000AA000000}"/>
    <cellStyle name="Calculation 2 7" xfId="307" xr:uid="{00000000-0005-0000-0000-0000AB000000}"/>
    <cellStyle name="Calculation 2 7 2" xfId="308" xr:uid="{00000000-0005-0000-0000-0000AC000000}"/>
    <cellStyle name="Calculation 2 8" xfId="309" xr:uid="{00000000-0005-0000-0000-0000AD000000}"/>
    <cellStyle name="cas" xfId="310" xr:uid="{00000000-0005-0000-0000-0000AE000000}"/>
    <cellStyle name="Centered Heading" xfId="311" xr:uid="{00000000-0005-0000-0000-0000AF000000}"/>
    <cellStyle name="Check Cell 2" xfId="111" xr:uid="{00000000-0005-0000-0000-0000B0000000}"/>
    <cellStyle name="Comma" xfId="2" builtinId="3"/>
    <cellStyle name="Comma [0] 2" xfId="112" xr:uid="{00000000-0005-0000-0000-0000B2000000}"/>
    <cellStyle name="Comma [0] 2 2" xfId="113" xr:uid="{00000000-0005-0000-0000-0000B3000000}"/>
    <cellStyle name="Comma [0] 2 3" xfId="312" xr:uid="{00000000-0005-0000-0000-0000B4000000}"/>
    <cellStyle name="Comma [0] 2 4" xfId="313" xr:uid="{00000000-0005-0000-0000-0000B5000000}"/>
    <cellStyle name="Comma [0] 3" xfId="314" xr:uid="{00000000-0005-0000-0000-0000B6000000}"/>
    <cellStyle name="Comma [0] 3 2" xfId="315" xr:uid="{00000000-0005-0000-0000-0000B7000000}"/>
    <cellStyle name="Comma [0] 3 2 2" xfId="316" xr:uid="{00000000-0005-0000-0000-0000B8000000}"/>
    <cellStyle name="Comma [0] 3 3" xfId="317" xr:uid="{00000000-0005-0000-0000-0000B9000000}"/>
    <cellStyle name="Comma [0] 4" xfId="318" xr:uid="{00000000-0005-0000-0000-0000BA000000}"/>
    <cellStyle name="Comma [0] 4 2" xfId="319" xr:uid="{00000000-0005-0000-0000-0000BB000000}"/>
    <cellStyle name="Comma [0] 5" xfId="320" xr:uid="{00000000-0005-0000-0000-0000BC000000}"/>
    <cellStyle name="Comma 0.0" xfId="321" xr:uid="{00000000-0005-0000-0000-0000BD000000}"/>
    <cellStyle name="Comma 0.00" xfId="322" xr:uid="{00000000-0005-0000-0000-0000BE000000}"/>
    <cellStyle name="Comma 0.000" xfId="323" xr:uid="{00000000-0005-0000-0000-0000BF000000}"/>
    <cellStyle name="Comma 0.0000" xfId="324" xr:uid="{00000000-0005-0000-0000-0000C0000000}"/>
    <cellStyle name="Comma 10" xfId="114" xr:uid="{00000000-0005-0000-0000-0000C1000000}"/>
    <cellStyle name="Comma 11" xfId="115" xr:uid="{00000000-0005-0000-0000-0000C2000000}"/>
    <cellStyle name="Comma 12" xfId="241" xr:uid="{00000000-0005-0000-0000-0000C3000000}"/>
    <cellStyle name="Comma 12 2" xfId="325" xr:uid="{00000000-0005-0000-0000-0000C4000000}"/>
    <cellStyle name="Comma 12 2 2" xfId="326" xr:uid="{00000000-0005-0000-0000-0000C5000000}"/>
    <cellStyle name="Comma 12 3" xfId="327" xr:uid="{00000000-0005-0000-0000-0000C6000000}"/>
    <cellStyle name="Comma 13" xfId="328" xr:uid="{00000000-0005-0000-0000-0000C7000000}"/>
    <cellStyle name="Comma 14" xfId="329" xr:uid="{00000000-0005-0000-0000-0000C8000000}"/>
    <cellStyle name="Comma 15" xfId="330" xr:uid="{00000000-0005-0000-0000-0000C9000000}"/>
    <cellStyle name="Comma 16" xfId="331" xr:uid="{00000000-0005-0000-0000-0000CA000000}"/>
    <cellStyle name="Comma 17" xfId="332" xr:uid="{00000000-0005-0000-0000-0000CB000000}"/>
    <cellStyle name="Comma 18" xfId="333" xr:uid="{00000000-0005-0000-0000-0000CC000000}"/>
    <cellStyle name="Comma 18 2" xfId="334" xr:uid="{00000000-0005-0000-0000-0000CD000000}"/>
    <cellStyle name="Comma 19" xfId="335" xr:uid="{00000000-0005-0000-0000-0000CE000000}"/>
    <cellStyle name="Comma 2" xfId="116" xr:uid="{00000000-0005-0000-0000-0000CF000000}"/>
    <cellStyle name="Comma 2 10" xfId="1093" xr:uid="{00000000-0005-0000-0000-0000D0000000}"/>
    <cellStyle name="Comma 2 2" xfId="117" xr:uid="{00000000-0005-0000-0000-0000D1000000}"/>
    <cellStyle name="Comma 2 2 2" xfId="118" xr:uid="{00000000-0005-0000-0000-0000D2000000}"/>
    <cellStyle name="Comma 2 2 3" xfId="336" xr:uid="{00000000-0005-0000-0000-0000D3000000}"/>
    <cellStyle name="Comma 2 3" xfId="119" xr:uid="{00000000-0005-0000-0000-0000D4000000}"/>
    <cellStyle name="Comma 2 4" xfId="337" xr:uid="{00000000-0005-0000-0000-0000D5000000}"/>
    <cellStyle name="Comma 20" xfId="338" xr:uid="{00000000-0005-0000-0000-0000D6000000}"/>
    <cellStyle name="Comma 21" xfId="339" xr:uid="{00000000-0005-0000-0000-0000D7000000}"/>
    <cellStyle name="Comma 22" xfId="340" xr:uid="{00000000-0005-0000-0000-0000D8000000}"/>
    <cellStyle name="Comma 23" xfId="341" xr:uid="{00000000-0005-0000-0000-0000D9000000}"/>
    <cellStyle name="Comma 24" xfId="342" xr:uid="{00000000-0005-0000-0000-0000DA000000}"/>
    <cellStyle name="Comma 25" xfId="343" xr:uid="{00000000-0005-0000-0000-0000DB000000}"/>
    <cellStyle name="Comma 26" xfId="344" xr:uid="{00000000-0005-0000-0000-0000DC000000}"/>
    <cellStyle name="Comma 27" xfId="345" xr:uid="{00000000-0005-0000-0000-0000DD000000}"/>
    <cellStyle name="Comma 28" xfId="1096" xr:uid="{00000000-0005-0000-0000-0000DE000000}"/>
    <cellStyle name="Comma 28 5" xfId="1104" xr:uid="{00000000-0005-0000-0000-0000DF000000}"/>
    <cellStyle name="Comma 28 5 2" xfId="1110" xr:uid="{72026110-8394-42C3-BF10-E93C9F13126D}"/>
    <cellStyle name="Comma 3" xfId="120" xr:uid="{00000000-0005-0000-0000-0000E0000000}"/>
    <cellStyle name="Comma 3 2" xfId="121" xr:uid="{00000000-0005-0000-0000-0000E1000000}"/>
    <cellStyle name="Comma 3 3" xfId="233" xr:uid="{00000000-0005-0000-0000-0000E2000000}"/>
    <cellStyle name="Comma 3 3 2" xfId="237" xr:uid="{00000000-0005-0000-0000-0000E3000000}"/>
    <cellStyle name="Comma 3 3 2 2" xfId="346" xr:uid="{00000000-0005-0000-0000-0000E4000000}"/>
    <cellStyle name="Comma 3 3 3" xfId="347" xr:uid="{00000000-0005-0000-0000-0000E5000000}"/>
    <cellStyle name="Comma 3 3 4" xfId="1099" xr:uid="{00000000-0005-0000-0000-0000E6000000}"/>
    <cellStyle name="Comma 3 4" xfId="348" xr:uid="{00000000-0005-0000-0000-0000E7000000}"/>
    <cellStyle name="Comma 3 5" xfId="349" xr:uid="{00000000-0005-0000-0000-0000E8000000}"/>
    <cellStyle name="Comma 3 5 2" xfId="350" xr:uid="{00000000-0005-0000-0000-0000E9000000}"/>
    <cellStyle name="Comma 4" xfId="122" xr:uid="{00000000-0005-0000-0000-0000EA000000}"/>
    <cellStyle name="Comma 4 2" xfId="351" xr:uid="{00000000-0005-0000-0000-0000EB000000}"/>
    <cellStyle name="Comma 4 3" xfId="352" xr:uid="{00000000-0005-0000-0000-0000EC000000}"/>
    <cellStyle name="Comma 5" xfId="123" xr:uid="{00000000-0005-0000-0000-0000ED000000}"/>
    <cellStyle name="Comma 6" xfId="124" xr:uid="{00000000-0005-0000-0000-0000EE000000}"/>
    <cellStyle name="Comma 7" xfId="125" xr:uid="{00000000-0005-0000-0000-0000EF000000}"/>
    <cellStyle name="Comma 8" xfId="126" xr:uid="{00000000-0005-0000-0000-0000F0000000}"/>
    <cellStyle name="Comma 9" xfId="127" xr:uid="{00000000-0005-0000-0000-0000F1000000}"/>
    <cellStyle name="Comma0" xfId="128" xr:uid="{00000000-0005-0000-0000-0000F2000000}"/>
    <cellStyle name="Company Name" xfId="353" xr:uid="{00000000-0005-0000-0000-0000F3000000}"/>
    <cellStyle name="Config Data" xfId="354" xr:uid="{00000000-0005-0000-0000-0000F4000000}"/>
    <cellStyle name="Copied" xfId="129" xr:uid="{00000000-0005-0000-0000-0000F5000000}"/>
    <cellStyle name="COSS" xfId="130" xr:uid="{00000000-0005-0000-0000-0000F6000000}"/>
    <cellStyle name="Currency" xfId="1" builtinId="4"/>
    <cellStyle name="Currency 0.0" xfId="355" xr:uid="{00000000-0005-0000-0000-0000F8000000}"/>
    <cellStyle name="Currency 0.00" xfId="356" xr:uid="{00000000-0005-0000-0000-0000F9000000}"/>
    <cellStyle name="Currency 0.000" xfId="357" xr:uid="{00000000-0005-0000-0000-0000FA000000}"/>
    <cellStyle name="Currency 0.0000" xfId="358" xr:uid="{00000000-0005-0000-0000-0000FB000000}"/>
    <cellStyle name="Currency 10" xfId="359" xr:uid="{00000000-0005-0000-0000-0000FC000000}"/>
    <cellStyle name="Currency 11" xfId="360" xr:uid="{00000000-0005-0000-0000-0000FD000000}"/>
    <cellStyle name="Currency 12" xfId="361" xr:uid="{00000000-0005-0000-0000-0000FE000000}"/>
    <cellStyle name="Currency 13" xfId="362" xr:uid="{00000000-0005-0000-0000-0000FF000000}"/>
    <cellStyle name="Currency 14" xfId="363" xr:uid="{00000000-0005-0000-0000-000000010000}"/>
    <cellStyle name="Currency 15" xfId="364" xr:uid="{00000000-0005-0000-0000-000001010000}"/>
    <cellStyle name="Currency 16" xfId="365" xr:uid="{00000000-0005-0000-0000-000002010000}"/>
    <cellStyle name="Currency 17" xfId="366" xr:uid="{00000000-0005-0000-0000-000003010000}"/>
    <cellStyle name="Currency 18" xfId="367" xr:uid="{00000000-0005-0000-0000-000004010000}"/>
    <cellStyle name="Currency 19" xfId="368" xr:uid="{00000000-0005-0000-0000-000005010000}"/>
    <cellStyle name="Currency 2" xfId="131" xr:uid="{00000000-0005-0000-0000-000006010000}"/>
    <cellStyle name="Currency 2 2" xfId="369" xr:uid="{00000000-0005-0000-0000-000007010000}"/>
    <cellStyle name="Currency 20" xfId="370" xr:uid="{00000000-0005-0000-0000-000008010000}"/>
    <cellStyle name="Currency 21" xfId="371" xr:uid="{00000000-0005-0000-0000-000009010000}"/>
    <cellStyle name="Currency 22" xfId="372" xr:uid="{00000000-0005-0000-0000-00000A010000}"/>
    <cellStyle name="Currency 23" xfId="1091" xr:uid="{00000000-0005-0000-0000-00000B010000}"/>
    <cellStyle name="Currency 24" xfId="1101" xr:uid="{00000000-0005-0000-0000-00000C010000}"/>
    <cellStyle name="Currency 3" xfId="132" xr:uid="{00000000-0005-0000-0000-00000D010000}"/>
    <cellStyle name="Currency 3 2" xfId="232" xr:uid="{00000000-0005-0000-0000-00000E010000}"/>
    <cellStyle name="Currency 3 2 2" xfId="236" xr:uid="{00000000-0005-0000-0000-00000F010000}"/>
    <cellStyle name="Currency 3 2 2 2" xfId="373" xr:uid="{00000000-0005-0000-0000-000010010000}"/>
    <cellStyle name="Currency 3 2 3" xfId="374" xr:uid="{00000000-0005-0000-0000-000011010000}"/>
    <cellStyle name="Currency 3 2 4" xfId="1098" xr:uid="{00000000-0005-0000-0000-000012010000}"/>
    <cellStyle name="Currency 3 3" xfId="375" xr:uid="{00000000-0005-0000-0000-000013010000}"/>
    <cellStyle name="Currency 3 3 2" xfId="376" xr:uid="{00000000-0005-0000-0000-000014010000}"/>
    <cellStyle name="Currency 3 4" xfId="377" xr:uid="{00000000-0005-0000-0000-000015010000}"/>
    <cellStyle name="Currency 4" xfId="133" xr:uid="{00000000-0005-0000-0000-000016010000}"/>
    <cellStyle name="Currency 4 2" xfId="378" xr:uid="{00000000-0005-0000-0000-000017010000}"/>
    <cellStyle name="Currency 4 3" xfId="379" xr:uid="{00000000-0005-0000-0000-000018010000}"/>
    <cellStyle name="Currency 5" xfId="380" xr:uid="{00000000-0005-0000-0000-000019010000}"/>
    <cellStyle name="Currency 5 2" xfId="381" xr:uid="{00000000-0005-0000-0000-00001A010000}"/>
    <cellStyle name="Currency 5 2 2" xfId="382" xr:uid="{00000000-0005-0000-0000-00001B010000}"/>
    <cellStyle name="Currency 5 3" xfId="383" xr:uid="{00000000-0005-0000-0000-00001C010000}"/>
    <cellStyle name="Currency 6" xfId="384" xr:uid="{00000000-0005-0000-0000-00001D010000}"/>
    <cellStyle name="Currency 7" xfId="385" xr:uid="{00000000-0005-0000-0000-00001E010000}"/>
    <cellStyle name="Currency 8" xfId="386" xr:uid="{00000000-0005-0000-0000-00001F010000}"/>
    <cellStyle name="Currency 9" xfId="387" xr:uid="{00000000-0005-0000-0000-000020010000}"/>
    <cellStyle name="Currency0" xfId="134" xr:uid="{00000000-0005-0000-0000-000021010000}"/>
    <cellStyle name="d" xfId="388" xr:uid="{00000000-0005-0000-0000-000022010000}"/>
    <cellStyle name="d," xfId="389" xr:uid="{00000000-0005-0000-0000-000023010000}"/>
    <cellStyle name="d1" xfId="390" xr:uid="{00000000-0005-0000-0000-000024010000}"/>
    <cellStyle name="d1," xfId="391" xr:uid="{00000000-0005-0000-0000-000025010000}"/>
    <cellStyle name="d2" xfId="392" xr:uid="{00000000-0005-0000-0000-000026010000}"/>
    <cellStyle name="d2," xfId="393" xr:uid="{00000000-0005-0000-0000-000027010000}"/>
    <cellStyle name="d3" xfId="394" xr:uid="{00000000-0005-0000-0000-000028010000}"/>
    <cellStyle name="Dash" xfId="395" xr:uid="{00000000-0005-0000-0000-000029010000}"/>
    <cellStyle name="Date" xfId="135" xr:uid="{00000000-0005-0000-0000-00002A010000}"/>
    <cellStyle name="Date 2" xfId="136" xr:uid="{00000000-0005-0000-0000-00002B010000}"/>
    <cellStyle name="Define$0" xfId="396" xr:uid="{00000000-0005-0000-0000-00002C010000}"/>
    <cellStyle name="Define$1" xfId="397" xr:uid="{00000000-0005-0000-0000-00002D010000}"/>
    <cellStyle name="Define$2" xfId="398" xr:uid="{00000000-0005-0000-0000-00002E010000}"/>
    <cellStyle name="Define0" xfId="399" xr:uid="{00000000-0005-0000-0000-00002F010000}"/>
    <cellStyle name="Define1" xfId="400" xr:uid="{00000000-0005-0000-0000-000030010000}"/>
    <cellStyle name="Define1x" xfId="401" xr:uid="{00000000-0005-0000-0000-000031010000}"/>
    <cellStyle name="Define2" xfId="402" xr:uid="{00000000-0005-0000-0000-000032010000}"/>
    <cellStyle name="Define2x" xfId="403" xr:uid="{00000000-0005-0000-0000-000033010000}"/>
    <cellStyle name="Dollar" xfId="404" xr:uid="{00000000-0005-0000-0000-000034010000}"/>
    <cellStyle name="e" xfId="405" xr:uid="{00000000-0005-0000-0000-000035010000}"/>
    <cellStyle name="e1" xfId="406" xr:uid="{00000000-0005-0000-0000-000036010000}"/>
    <cellStyle name="e2" xfId="407" xr:uid="{00000000-0005-0000-0000-000037010000}"/>
    <cellStyle name="Entered" xfId="137" xr:uid="{00000000-0005-0000-0000-000038010000}"/>
    <cellStyle name="Euro" xfId="408" xr:uid="{00000000-0005-0000-0000-000039010000}"/>
    <cellStyle name="Explanatory Text 2" xfId="138" xr:uid="{00000000-0005-0000-0000-00003A010000}"/>
    <cellStyle name="Fixed" xfId="139" xr:uid="{00000000-0005-0000-0000-00003B010000}"/>
    <cellStyle name="g" xfId="409" xr:uid="{00000000-0005-0000-0000-00003C010000}"/>
    <cellStyle name="general" xfId="410" xr:uid="{00000000-0005-0000-0000-00003D010000}"/>
    <cellStyle name="Good 2" xfId="140" xr:uid="{00000000-0005-0000-0000-00003E010000}"/>
    <cellStyle name="Green" xfId="411" xr:uid="{00000000-0005-0000-0000-00003F010000}"/>
    <cellStyle name="Grey" xfId="141" xr:uid="{00000000-0005-0000-0000-000040010000}"/>
    <cellStyle name="Grey 2" xfId="412" xr:uid="{00000000-0005-0000-0000-000041010000}"/>
    <cellStyle name="grey 3" xfId="413" xr:uid="{00000000-0005-0000-0000-000042010000}"/>
    <cellStyle name="grey 4" xfId="414" xr:uid="{00000000-0005-0000-0000-000043010000}"/>
    <cellStyle name="grey 5" xfId="415" xr:uid="{00000000-0005-0000-0000-000044010000}"/>
    <cellStyle name="Header1" xfId="142" xr:uid="{00000000-0005-0000-0000-000045010000}"/>
    <cellStyle name="Header2" xfId="143" xr:uid="{00000000-0005-0000-0000-000046010000}"/>
    <cellStyle name="Header2 2" xfId="416" xr:uid="{00000000-0005-0000-0000-000047010000}"/>
    <cellStyle name="Header2 2 2" xfId="417" xr:uid="{00000000-0005-0000-0000-000048010000}"/>
    <cellStyle name="Header2 2 2 2" xfId="418" xr:uid="{00000000-0005-0000-0000-000049010000}"/>
    <cellStyle name="Header2 2 2 2 2" xfId="419" xr:uid="{00000000-0005-0000-0000-00004A010000}"/>
    <cellStyle name="Header2 2 2 2 3" xfId="420" xr:uid="{00000000-0005-0000-0000-00004B010000}"/>
    <cellStyle name="Header2 2 2 3" xfId="421" xr:uid="{00000000-0005-0000-0000-00004C010000}"/>
    <cellStyle name="Header2 2 2 3 2" xfId="422" xr:uid="{00000000-0005-0000-0000-00004D010000}"/>
    <cellStyle name="Header2 2 3" xfId="423" xr:uid="{00000000-0005-0000-0000-00004E010000}"/>
    <cellStyle name="Header2 2 3 2" xfId="424" xr:uid="{00000000-0005-0000-0000-00004F010000}"/>
    <cellStyle name="Header2 2 4" xfId="425" xr:uid="{00000000-0005-0000-0000-000050010000}"/>
    <cellStyle name="Header2 2 4 2" xfId="426" xr:uid="{00000000-0005-0000-0000-000051010000}"/>
    <cellStyle name="Header2 2 5" xfId="427" xr:uid="{00000000-0005-0000-0000-000052010000}"/>
    <cellStyle name="Header2 2 6" xfId="428" xr:uid="{00000000-0005-0000-0000-000053010000}"/>
    <cellStyle name="Header2 3" xfId="429" xr:uid="{00000000-0005-0000-0000-000054010000}"/>
    <cellStyle name="Header2 3 2" xfId="430" xr:uid="{00000000-0005-0000-0000-000055010000}"/>
    <cellStyle name="Header2 3 2 2" xfId="431" xr:uid="{00000000-0005-0000-0000-000056010000}"/>
    <cellStyle name="Header2 3 2 2 2" xfId="432" xr:uid="{00000000-0005-0000-0000-000057010000}"/>
    <cellStyle name="Header2 3 2 2 3" xfId="433" xr:uid="{00000000-0005-0000-0000-000058010000}"/>
    <cellStyle name="Header2 3 2 3" xfId="434" xr:uid="{00000000-0005-0000-0000-000059010000}"/>
    <cellStyle name="Header2 3 2 3 2" xfId="435" xr:uid="{00000000-0005-0000-0000-00005A010000}"/>
    <cellStyle name="Header2 3 3" xfId="436" xr:uid="{00000000-0005-0000-0000-00005B010000}"/>
    <cellStyle name="Header2 3 3 2" xfId="437" xr:uid="{00000000-0005-0000-0000-00005C010000}"/>
    <cellStyle name="Header2 3 4" xfId="438" xr:uid="{00000000-0005-0000-0000-00005D010000}"/>
    <cellStyle name="Header2 3 5" xfId="439" xr:uid="{00000000-0005-0000-0000-00005E010000}"/>
    <cellStyle name="Header2 4" xfId="440" xr:uid="{00000000-0005-0000-0000-00005F010000}"/>
    <cellStyle name="Header2 4 2" xfId="441" xr:uid="{00000000-0005-0000-0000-000060010000}"/>
    <cellStyle name="Header2 4 2 2" xfId="442" xr:uid="{00000000-0005-0000-0000-000061010000}"/>
    <cellStyle name="Header2 4 2 2 2" xfId="443" xr:uid="{00000000-0005-0000-0000-000062010000}"/>
    <cellStyle name="Header2 4 2 2 3" xfId="444" xr:uid="{00000000-0005-0000-0000-000063010000}"/>
    <cellStyle name="Header2 4 2 3" xfId="445" xr:uid="{00000000-0005-0000-0000-000064010000}"/>
    <cellStyle name="Header2 4 2 3 2" xfId="446" xr:uid="{00000000-0005-0000-0000-000065010000}"/>
    <cellStyle name="Header2 4 3" xfId="447" xr:uid="{00000000-0005-0000-0000-000066010000}"/>
    <cellStyle name="Header2 4 3 2" xfId="448" xr:uid="{00000000-0005-0000-0000-000067010000}"/>
    <cellStyle name="Header2 4 4" xfId="449" xr:uid="{00000000-0005-0000-0000-000068010000}"/>
    <cellStyle name="Header2 4 5" xfId="450" xr:uid="{00000000-0005-0000-0000-000069010000}"/>
    <cellStyle name="Header2 5" xfId="451" xr:uid="{00000000-0005-0000-0000-00006A010000}"/>
    <cellStyle name="Header2 5 2" xfId="452" xr:uid="{00000000-0005-0000-0000-00006B010000}"/>
    <cellStyle name="Header2 5 2 2" xfId="453" xr:uid="{00000000-0005-0000-0000-00006C010000}"/>
    <cellStyle name="Header2 5 3" xfId="454" xr:uid="{00000000-0005-0000-0000-00006D010000}"/>
    <cellStyle name="Header2 5 3 2" xfId="455" xr:uid="{00000000-0005-0000-0000-00006E010000}"/>
    <cellStyle name="Header2 5 3 3" xfId="456" xr:uid="{00000000-0005-0000-0000-00006F010000}"/>
    <cellStyle name="Header2 5 4" xfId="457" xr:uid="{00000000-0005-0000-0000-000070010000}"/>
    <cellStyle name="Header2 5 4 2" xfId="458" xr:uid="{00000000-0005-0000-0000-000071010000}"/>
    <cellStyle name="Header2 6" xfId="459" xr:uid="{00000000-0005-0000-0000-000072010000}"/>
    <cellStyle name="Header2 6 2" xfId="460" xr:uid="{00000000-0005-0000-0000-000073010000}"/>
    <cellStyle name="Header2 6 2 2" xfId="461" xr:uid="{00000000-0005-0000-0000-000074010000}"/>
    <cellStyle name="Header2 6 2 3" xfId="462" xr:uid="{00000000-0005-0000-0000-000075010000}"/>
    <cellStyle name="Header2 7" xfId="463" xr:uid="{00000000-0005-0000-0000-000076010000}"/>
    <cellStyle name="Header2 7 2" xfId="464" xr:uid="{00000000-0005-0000-0000-000077010000}"/>
    <cellStyle name="Header2 8" xfId="465" xr:uid="{00000000-0005-0000-0000-000078010000}"/>
    <cellStyle name="Header2 9" xfId="466" xr:uid="{00000000-0005-0000-0000-000079010000}"/>
    <cellStyle name="Heading" xfId="467" xr:uid="{00000000-0005-0000-0000-00007A010000}"/>
    <cellStyle name="Heading 1 2" xfId="144" xr:uid="{00000000-0005-0000-0000-00007B010000}"/>
    <cellStyle name="Heading 1 3" xfId="145" xr:uid="{00000000-0005-0000-0000-00007C010000}"/>
    <cellStyle name="Heading 2 2" xfId="146" xr:uid="{00000000-0005-0000-0000-00007D010000}"/>
    <cellStyle name="Heading 2 3" xfId="147" xr:uid="{00000000-0005-0000-0000-00007E010000}"/>
    <cellStyle name="Heading 3 2" xfId="148" xr:uid="{00000000-0005-0000-0000-00007F010000}"/>
    <cellStyle name="Heading 4 2" xfId="149" xr:uid="{00000000-0005-0000-0000-000080010000}"/>
    <cellStyle name="Heading No Underline" xfId="468" xr:uid="{00000000-0005-0000-0000-000081010000}"/>
    <cellStyle name="Heading With Underline" xfId="469" xr:uid="{00000000-0005-0000-0000-000082010000}"/>
    <cellStyle name="Heading1" xfId="150" xr:uid="{00000000-0005-0000-0000-000083010000}"/>
    <cellStyle name="Heading2" xfId="151" xr:uid="{00000000-0005-0000-0000-000084010000}"/>
    <cellStyle name="Headline" xfId="470" xr:uid="{00000000-0005-0000-0000-000085010000}"/>
    <cellStyle name="Highlight" xfId="471" xr:uid="{00000000-0005-0000-0000-000086010000}"/>
    <cellStyle name="in" xfId="472" xr:uid="{00000000-0005-0000-0000-000087010000}"/>
    <cellStyle name="in 2" xfId="473" xr:uid="{00000000-0005-0000-0000-000088010000}"/>
    <cellStyle name="in 2 2" xfId="474" xr:uid="{00000000-0005-0000-0000-000089010000}"/>
    <cellStyle name="in 2 2 2" xfId="475" xr:uid="{00000000-0005-0000-0000-00008A010000}"/>
    <cellStyle name="in 2 2 3" xfId="476" xr:uid="{00000000-0005-0000-0000-00008B010000}"/>
    <cellStyle name="in 2 3" xfId="477" xr:uid="{00000000-0005-0000-0000-00008C010000}"/>
    <cellStyle name="in 2 3 2" xfId="478" xr:uid="{00000000-0005-0000-0000-00008D010000}"/>
    <cellStyle name="in 2 3 3" xfId="479" xr:uid="{00000000-0005-0000-0000-00008E010000}"/>
    <cellStyle name="in 3" xfId="480" xr:uid="{00000000-0005-0000-0000-00008F010000}"/>
    <cellStyle name="in 3 2" xfId="481" xr:uid="{00000000-0005-0000-0000-000090010000}"/>
    <cellStyle name="in 3 2 2" xfId="482" xr:uid="{00000000-0005-0000-0000-000091010000}"/>
    <cellStyle name="in 3 2 3" xfId="483" xr:uid="{00000000-0005-0000-0000-000092010000}"/>
    <cellStyle name="in 3 3" xfId="484" xr:uid="{00000000-0005-0000-0000-000093010000}"/>
    <cellStyle name="in 3 4" xfId="485" xr:uid="{00000000-0005-0000-0000-000094010000}"/>
    <cellStyle name="in 4" xfId="486" xr:uid="{00000000-0005-0000-0000-000095010000}"/>
    <cellStyle name="in 4 2" xfId="487" xr:uid="{00000000-0005-0000-0000-000096010000}"/>
    <cellStyle name="in 4 3" xfId="488" xr:uid="{00000000-0005-0000-0000-000097010000}"/>
    <cellStyle name="Input [yellow]" xfId="152" xr:uid="{00000000-0005-0000-0000-000098010000}"/>
    <cellStyle name="Input [yellow] 2" xfId="489" xr:uid="{00000000-0005-0000-0000-000099010000}"/>
    <cellStyle name="Input [yellow] 2 2" xfId="490" xr:uid="{00000000-0005-0000-0000-00009A010000}"/>
    <cellStyle name="Input [yellow] 2 2 2" xfId="491" xr:uid="{00000000-0005-0000-0000-00009B010000}"/>
    <cellStyle name="Input [yellow] 2 2 3" xfId="492" xr:uid="{00000000-0005-0000-0000-00009C010000}"/>
    <cellStyle name="Input [yellow] 2 3" xfId="493" xr:uid="{00000000-0005-0000-0000-00009D010000}"/>
    <cellStyle name="Input [yellow] 2 3 2" xfId="494" xr:uid="{00000000-0005-0000-0000-00009E010000}"/>
    <cellStyle name="Input [yellow] 2 3 3" xfId="495" xr:uid="{00000000-0005-0000-0000-00009F010000}"/>
    <cellStyle name="Input [yellow] 2 4" xfId="496" xr:uid="{00000000-0005-0000-0000-0000A0010000}"/>
    <cellStyle name="Input [yellow] 2 5" xfId="497" xr:uid="{00000000-0005-0000-0000-0000A1010000}"/>
    <cellStyle name="Input [yellow] 3" xfId="498" xr:uid="{00000000-0005-0000-0000-0000A2010000}"/>
    <cellStyle name="Input [yellow] 3 2" xfId="499" xr:uid="{00000000-0005-0000-0000-0000A3010000}"/>
    <cellStyle name="Input [yellow] 3 2 2" xfId="500" xr:uid="{00000000-0005-0000-0000-0000A4010000}"/>
    <cellStyle name="Input [yellow] 3 2 2 2" xfId="501" xr:uid="{00000000-0005-0000-0000-0000A5010000}"/>
    <cellStyle name="Input [yellow] 3 2 2 3" xfId="502" xr:uid="{00000000-0005-0000-0000-0000A6010000}"/>
    <cellStyle name="Input [yellow] 3 2 3" xfId="503" xr:uid="{00000000-0005-0000-0000-0000A7010000}"/>
    <cellStyle name="Input [yellow] 3 2 3 2" xfId="504" xr:uid="{00000000-0005-0000-0000-0000A8010000}"/>
    <cellStyle name="Input [yellow] 3 2 3 3" xfId="505" xr:uid="{00000000-0005-0000-0000-0000A9010000}"/>
    <cellStyle name="Input [yellow] 3 3" xfId="506" xr:uid="{00000000-0005-0000-0000-0000AA010000}"/>
    <cellStyle name="Input [yellow] 3 3 2" xfId="507" xr:uid="{00000000-0005-0000-0000-0000AB010000}"/>
    <cellStyle name="Input [yellow] 3 3 2 2" xfId="508" xr:uid="{00000000-0005-0000-0000-0000AC010000}"/>
    <cellStyle name="Input [yellow] 3 3 2 3" xfId="509" xr:uid="{00000000-0005-0000-0000-0000AD010000}"/>
    <cellStyle name="Input [yellow] 3 3 3" xfId="510" xr:uid="{00000000-0005-0000-0000-0000AE010000}"/>
    <cellStyle name="Input [yellow] 3 3 4" xfId="511" xr:uid="{00000000-0005-0000-0000-0000AF010000}"/>
    <cellStyle name="Input [yellow] 3 4" xfId="512" xr:uid="{00000000-0005-0000-0000-0000B0010000}"/>
    <cellStyle name="Input [yellow] 3 4 2" xfId="513" xr:uid="{00000000-0005-0000-0000-0000B1010000}"/>
    <cellStyle name="Input [yellow] 3 4 3" xfId="514" xr:uid="{00000000-0005-0000-0000-0000B2010000}"/>
    <cellStyle name="Input [yellow] 4" xfId="515" xr:uid="{00000000-0005-0000-0000-0000B3010000}"/>
    <cellStyle name="Input [yellow] 4 2" xfId="516" xr:uid="{00000000-0005-0000-0000-0000B4010000}"/>
    <cellStyle name="Input [yellow] 4 2 2" xfId="517" xr:uid="{00000000-0005-0000-0000-0000B5010000}"/>
    <cellStyle name="Input [yellow] 4 2 2 2" xfId="518" xr:uid="{00000000-0005-0000-0000-0000B6010000}"/>
    <cellStyle name="Input [yellow] 4 2 2 3" xfId="519" xr:uid="{00000000-0005-0000-0000-0000B7010000}"/>
    <cellStyle name="Input [yellow] 4 2 3" xfId="520" xr:uid="{00000000-0005-0000-0000-0000B8010000}"/>
    <cellStyle name="Input [yellow] 4 2 4" xfId="521" xr:uid="{00000000-0005-0000-0000-0000B9010000}"/>
    <cellStyle name="Input [yellow] 4 3" xfId="522" xr:uid="{00000000-0005-0000-0000-0000BA010000}"/>
    <cellStyle name="Input [yellow] 4 3 2" xfId="523" xr:uid="{00000000-0005-0000-0000-0000BB010000}"/>
    <cellStyle name="Input [yellow] 4 3 3" xfId="524" xr:uid="{00000000-0005-0000-0000-0000BC010000}"/>
    <cellStyle name="Input [yellow] 4 4" xfId="525" xr:uid="{00000000-0005-0000-0000-0000BD010000}"/>
    <cellStyle name="Input [yellow] 4 5" xfId="526" xr:uid="{00000000-0005-0000-0000-0000BE010000}"/>
    <cellStyle name="Input [yellow] 5" xfId="527" xr:uid="{00000000-0005-0000-0000-0000BF010000}"/>
    <cellStyle name="Input [yellow] 5 2" xfId="528" xr:uid="{00000000-0005-0000-0000-0000C0010000}"/>
    <cellStyle name="Input [yellow] 5 2 2" xfId="529" xr:uid="{00000000-0005-0000-0000-0000C1010000}"/>
    <cellStyle name="Input [yellow] 5 2 2 2" xfId="530" xr:uid="{00000000-0005-0000-0000-0000C2010000}"/>
    <cellStyle name="Input [yellow] 5 2 2 3" xfId="531" xr:uid="{00000000-0005-0000-0000-0000C3010000}"/>
    <cellStyle name="Input [yellow] 5 2 3" xfId="532" xr:uid="{00000000-0005-0000-0000-0000C4010000}"/>
    <cellStyle name="Input [yellow] 5 2 4" xfId="533" xr:uid="{00000000-0005-0000-0000-0000C5010000}"/>
    <cellStyle name="Input [yellow] 5 3" xfId="534" xr:uid="{00000000-0005-0000-0000-0000C6010000}"/>
    <cellStyle name="Input [yellow] 5 3 2" xfId="535" xr:uid="{00000000-0005-0000-0000-0000C7010000}"/>
    <cellStyle name="Input [yellow] 5 3 3" xfId="536" xr:uid="{00000000-0005-0000-0000-0000C8010000}"/>
    <cellStyle name="Input [yellow] 6" xfId="537" xr:uid="{00000000-0005-0000-0000-0000C9010000}"/>
    <cellStyle name="Input [yellow] 7" xfId="538" xr:uid="{00000000-0005-0000-0000-0000CA010000}"/>
    <cellStyle name="Input 2" xfId="153" xr:uid="{00000000-0005-0000-0000-0000CB010000}"/>
    <cellStyle name="Input 2 2" xfId="539" xr:uid="{00000000-0005-0000-0000-0000CC010000}"/>
    <cellStyle name="Input 2 2 2" xfId="540" xr:uid="{00000000-0005-0000-0000-0000CD010000}"/>
    <cellStyle name="Input 2 2 2 2" xfId="541" xr:uid="{00000000-0005-0000-0000-0000CE010000}"/>
    <cellStyle name="Input 2 2 2 2 2" xfId="542" xr:uid="{00000000-0005-0000-0000-0000CF010000}"/>
    <cellStyle name="Input 2 2 2 2 3" xfId="543" xr:uid="{00000000-0005-0000-0000-0000D0010000}"/>
    <cellStyle name="Input 2 2 2 3" xfId="544" xr:uid="{00000000-0005-0000-0000-0000D1010000}"/>
    <cellStyle name="Input 2 2 2 3 2" xfId="545" xr:uid="{00000000-0005-0000-0000-0000D2010000}"/>
    <cellStyle name="Input 2 2 2 3 3" xfId="546" xr:uid="{00000000-0005-0000-0000-0000D3010000}"/>
    <cellStyle name="Input 2 2 3" xfId="547" xr:uid="{00000000-0005-0000-0000-0000D4010000}"/>
    <cellStyle name="Input 2 2 3 2" xfId="548" xr:uid="{00000000-0005-0000-0000-0000D5010000}"/>
    <cellStyle name="Input 2 2 3 3" xfId="549" xr:uid="{00000000-0005-0000-0000-0000D6010000}"/>
    <cellStyle name="Input 2 2 4" xfId="550" xr:uid="{00000000-0005-0000-0000-0000D7010000}"/>
    <cellStyle name="Input 2 2 4 2" xfId="551" xr:uid="{00000000-0005-0000-0000-0000D8010000}"/>
    <cellStyle name="Input 2 2 4 3" xfId="552" xr:uid="{00000000-0005-0000-0000-0000D9010000}"/>
    <cellStyle name="Input 2 2 5" xfId="553" xr:uid="{00000000-0005-0000-0000-0000DA010000}"/>
    <cellStyle name="Input 2 2 6" xfId="554" xr:uid="{00000000-0005-0000-0000-0000DB010000}"/>
    <cellStyle name="Input 2 3" xfId="555" xr:uid="{00000000-0005-0000-0000-0000DC010000}"/>
    <cellStyle name="Input 2 3 2" xfId="556" xr:uid="{00000000-0005-0000-0000-0000DD010000}"/>
    <cellStyle name="Input 2 3 2 2" xfId="557" xr:uid="{00000000-0005-0000-0000-0000DE010000}"/>
    <cellStyle name="Input 2 3 2 2 2" xfId="558" xr:uid="{00000000-0005-0000-0000-0000DF010000}"/>
    <cellStyle name="Input 2 3 2 2 3" xfId="559" xr:uid="{00000000-0005-0000-0000-0000E0010000}"/>
    <cellStyle name="Input 2 3 2 3" xfId="560" xr:uid="{00000000-0005-0000-0000-0000E1010000}"/>
    <cellStyle name="Input 2 3 2 3 2" xfId="561" xr:uid="{00000000-0005-0000-0000-0000E2010000}"/>
    <cellStyle name="Input 2 3 2 3 3" xfId="562" xr:uid="{00000000-0005-0000-0000-0000E3010000}"/>
    <cellStyle name="Input 2 3 3" xfId="563" xr:uid="{00000000-0005-0000-0000-0000E4010000}"/>
    <cellStyle name="Input 2 3 3 2" xfId="564" xr:uid="{00000000-0005-0000-0000-0000E5010000}"/>
    <cellStyle name="Input 2 3 3 3" xfId="565" xr:uid="{00000000-0005-0000-0000-0000E6010000}"/>
    <cellStyle name="Input 2 3 4" xfId="566" xr:uid="{00000000-0005-0000-0000-0000E7010000}"/>
    <cellStyle name="Input 2 3 4 2" xfId="567" xr:uid="{00000000-0005-0000-0000-0000E8010000}"/>
    <cellStyle name="Input 2 3 4 3" xfId="568" xr:uid="{00000000-0005-0000-0000-0000E9010000}"/>
    <cellStyle name="Input 2 4" xfId="569" xr:uid="{00000000-0005-0000-0000-0000EA010000}"/>
    <cellStyle name="Input 2 4 2" xfId="570" xr:uid="{00000000-0005-0000-0000-0000EB010000}"/>
    <cellStyle name="Input 2 4 2 2" xfId="571" xr:uid="{00000000-0005-0000-0000-0000EC010000}"/>
    <cellStyle name="Input 2 4 2 3" xfId="572" xr:uid="{00000000-0005-0000-0000-0000ED010000}"/>
    <cellStyle name="Input 2 4 3" xfId="573" xr:uid="{00000000-0005-0000-0000-0000EE010000}"/>
    <cellStyle name="Input 2 4 3 2" xfId="574" xr:uid="{00000000-0005-0000-0000-0000EF010000}"/>
    <cellStyle name="Input 2 4 3 3" xfId="575" xr:uid="{00000000-0005-0000-0000-0000F0010000}"/>
    <cellStyle name="Input 2 4 4" xfId="576" xr:uid="{00000000-0005-0000-0000-0000F1010000}"/>
    <cellStyle name="Input 2 4 4 2" xfId="577" xr:uid="{00000000-0005-0000-0000-0000F2010000}"/>
    <cellStyle name="Input 2 4 4 3" xfId="578" xr:uid="{00000000-0005-0000-0000-0000F3010000}"/>
    <cellStyle name="Input 2 5" xfId="579" xr:uid="{00000000-0005-0000-0000-0000F4010000}"/>
    <cellStyle name="Input 2 5 2" xfId="580" xr:uid="{00000000-0005-0000-0000-0000F5010000}"/>
    <cellStyle name="Input 2 5 2 2" xfId="581" xr:uid="{00000000-0005-0000-0000-0000F6010000}"/>
    <cellStyle name="Input 2 5 2 3" xfId="582" xr:uid="{00000000-0005-0000-0000-0000F7010000}"/>
    <cellStyle name="Input 2 5 3" xfId="583" xr:uid="{00000000-0005-0000-0000-0000F8010000}"/>
    <cellStyle name="Input 2 5 3 2" xfId="584" xr:uid="{00000000-0005-0000-0000-0000F9010000}"/>
    <cellStyle name="Input 2 5 3 3" xfId="585" xr:uid="{00000000-0005-0000-0000-0000FA010000}"/>
    <cellStyle name="Input 2 6" xfId="586" xr:uid="{00000000-0005-0000-0000-0000FB010000}"/>
    <cellStyle name="Input 2 6 2" xfId="587" xr:uid="{00000000-0005-0000-0000-0000FC010000}"/>
    <cellStyle name="Input 2 6 3" xfId="588" xr:uid="{00000000-0005-0000-0000-0000FD010000}"/>
    <cellStyle name="Input 2 7" xfId="589" xr:uid="{00000000-0005-0000-0000-0000FE010000}"/>
    <cellStyle name="Input 2 7 2" xfId="590" xr:uid="{00000000-0005-0000-0000-0000FF010000}"/>
    <cellStyle name="Input 2 7 3" xfId="591" xr:uid="{00000000-0005-0000-0000-000000020000}"/>
    <cellStyle name="Input 3" xfId="154" xr:uid="{00000000-0005-0000-0000-000001020000}"/>
    <cellStyle name="Input 3 2" xfId="592" xr:uid="{00000000-0005-0000-0000-000002020000}"/>
    <cellStyle name="Input 3 2 2" xfId="593" xr:uid="{00000000-0005-0000-0000-000003020000}"/>
    <cellStyle name="Input 3 2 2 2" xfId="594" xr:uid="{00000000-0005-0000-0000-000004020000}"/>
    <cellStyle name="Input 3 2 2 2 2" xfId="595" xr:uid="{00000000-0005-0000-0000-000005020000}"/>
    <cellStyle name="Input 3 2 2 2 3" xfId="596" xr:uid="{00000000-0005-0000-0000-000006020000}"/>
    <cellStyle name="Input 3 2 2 3" xfId="597" xr:uid="{00000000-0005-0000-0000-000007020000}"/>
    <cellStyle name="Input 3 2 2 3 2" xfId="598" xr:uid="{00000000-0005-0000-0000-000008020000}"/>
    <cellStyle name="Input 3 2 2 3 3" xfId="599" xr:uid="{00000000-0005-0000-0000-000009020000}"/>
    <cellStyle name="Input 3 2 3" xfId="600" xr:uid="{00000000-0005-0000-0000-00000A020000}"/>
    <cellStyle name="Input 3 2 3 2" xfId="601" xr:uid="{00000000-0005-0000-0000-00000B020000}"/>
    <cellStyle name="Input 3 2 3 3" xfId="602" xr:uid="{00000000-0005-0000-0000-00000C020000}"/>
    <cellStyle name="Input 3 2 4" xfId="603" xr:uid="{00000000-0005-0000-0000-00000D020000}"/>
    <cellStyle name="Input 3 2 4 2" xfId="604" xr:uid="{00000000-0005-0000-0000-00000E020000}"/>
    <cellStyle name="Input 3 2 4 3" xfId="605" xr:uid="{00000000-0005-0000-0000-00000F020000}"/>
    <cellStyle name="Input 3 2 5" xfId="606" xr:uid="{00000000-0005-0000-0000-000010020000}"/>
    <cellStyle name="Input 3 2 6" xfId="607" xr:uid="{00000000-0005-0000-0000-000011020000}"/>
    <cellStyle name="Input 3 3" xfId="608" xr:uid="{00000000-0005-0000-0000-000012020000}"/>
    <cellStyle name="Input 3 3 2" xfId="609" xr:uid="{00000000-0005-0000-0000-000013020000}"/>
    <cellStyle name="Input 3 3 2 2" xfId="610" xr:uid="{00000000-0005-0000-0000-000014020000}"/>
    <cellStyle name="Input 3 3 2 2 2" xfId="611" xr:uid="{00000000-0005-0000-0000-000015020000}"/>
    <cellStyle name="Input 3 3 2 2 3" xfId="612" xr:uid="{00000000-0005-0000-0000-000016020000}"/>
    <cellStyle name="Input 3 3 2 3" xfId="613" xr:uid="{00000000-0005-0000-0000-000017020000}"/>
    <cellStyle name="Input 3 3 2 3 2" xfId="614" xr:uid="{00000000-0005-0000-0000-000018020000}"/>
    <cellStyle name="Input 3 3 2 3 3" xfId="615" xr:uid="{00000000-0005-0000-0000-000019020000}"/>
    <cellStyle name="Input 3 3 3" xfId="616" xr:uid="{00000000-0005-0000-0000-00001A020000}"/>
    <cellStyle name="Input 3 3 3 2" xfId="617" xr:uid="{00000000-0005-0000-0000-00001B020000}"/>
    <cellStyle name="Input 3 3 3 3" xfId="618" xr:uid="{00000000-0005-0000-0000-00001C020000}"/>
    <cellStyle name="Input 3 3 4" xfId="619" xr:uid="{00000000-0005-0000-0000-00001D020000}"/>
    <cellStyle name="Input 3 3 4 2" xfId="620" xr:uid="{00000000-0005-0000-0000-00001E020000}"/>
    <cellStyle name="Input 3 3 4 3" xfId="621" xr:uid="{00000000-0005-0000-0000-00001F020000}"/>
    <cellStyle name="Input 3 4" xfId="622" xr:uid="{00000000-0005-0000-0000-000020020000}"/>
    <cellStyle name="Input 3 4 2" xfId="623" xr:uid="{00000000-0005-0000-0000-000021020000}"/>
    <cellStyle name="Input 3 4 2 2" xfId="624" xr:uid="{00000000-0005-0000-0000-000022020000}"/>
    <cellStyle name="Input 3 4 2 3" xfId="625" xr:uid="{00000000-0005-0000-0000-000023020000}"/>
    <cellStyle name="Input 3 4 3" xfId="626" xr:uid="{00000000-0005-0000-0000-000024020000}"/>
    <cellStyle name="Input 3 4 3 2" xfId="627" xr:uid="{00000000-0005-0000-0000-000025020000}"/>
    <cellStyle name="Input 3 4 3 3" xfId="628" xr:uid="{00000000-0005-0000-0000-000026020000}"/>
    <cellStyle name="Input 3 4 4" xfId="629" xr:uid="{00000000-0005-0000-0000-000027020000}"/>
    <cellStyle name="Input 3 4 4 2" xfId="630" xr:uid="{00000000-0005-0000-0000-000028020000}"/>
    <cellStyle name="Input 3 4 4 3" xfId="631" xr:uid="{00000000-0005-0000-0000-000029020000}"/>
    <cellStyle name="Input 3 5" xfId="632" xr:uid="{00000000-0005-0000-0000-00002A020000}"/>
    <cellStyle name="Input 3 5 2" xfId="633" xr:uid="{00000000-0005-0000-0000-00002B020000}"/>
    <cellStyle name="Input 3 5 2 2" xfId="634" xr:uid="{00000000-0005-0000-0000-00002C020000}"/>
    <cellStyle name="Input 3 5 2 3" xfId="635" xr:uid="{00000000-0005-0000-0000-00002D020000}"/>
    <cellStyle name="Input 3 5 3" xfId="636" xr:uid="{00000000-0005-0000-0000-00002E020000}"/>
    <cellStyle name="Input 3 5 3 2" xfId="637" xr:uid="{00000000-0005-0000-0000-00002F020000}"/>
    <cellStyle name="Input 3 5 3 3" xfId="638" xr:uid="{00000000-0005-0000-0000-000030020000}"/>
    <cellStyle name="Input 3 6" xfId="639" xr:uid="{00000000-0005-0000-0000-000031020000}"/>
    <cellStyle name="Input 3 6 2" xfId="640" xr:uid="{00000000-0005-0000-0000-000032020000}"/>
    <cellStyle name="Input 3 6 3" xfId="641" xr:uid="{00000000-0005-0000-0000-000033020000}"/>
    <cellStyle name="Input 3 7" xfId="642" xr:uid="{00000000-0005-0000-0000-000034020000}"/>
    <cellStyle name="Input 3 7 2" xfId="643" xr:uid="{00000000-0005-0000-0000-000035020000}"/>
    <cellStyle name="Input 3 7 3" xfId="644" xr:uid="{00000000-0005-0000-0000-000036020000}"/>
    <cellStyle name="Input 4" xfId="155" xr:uid="{00000000-0005-0000-0000-000037020000}"/>
    <cellStyle name="Input 4 2" xfId="645" xr:uid="{00000000-0005-0000-0000-000038020000}"/>
    <cellStyle name="Input 4 2 2" xfId="646" xr:uid="{00000000-0005-0000-0000-000039020000}"/>
    <cellStyle name="Input 4 2 2 2" xfId="647" xr:uid="{00000000-0005-0000-0000-00003A020000}"/>
    <cellStyle name="Input 4 2 2 2 2" xfId="648" xr:uid="{00000000-0005-0000-0000-00003B020000}"/>
    <cellStyle name="Input 4 2 2 2 3" xfId="649" xr:uid="{00000000-0005-0000-0000-00003C020000}"/>
    <cellStyle name="Input 4 2 2 3" xfId="650" xr:uid="{00000000-0005-0000-0000-00003D020000}"/>
    <cellStyle name="Input 4 2 2 3 2" xfId="651" xr:uid="{00000000-0005-0000-0000-00003E020000}"/>
    <cellStyle name="Input 4 2 2 3 3" xfId="652" xr:uid="{00000000-0005-0000-0000-00003F020000}"/>
    <cellStyle name="Input 4 2 3" xfId="653" xr:uid="{00000000-0005-0000-0000-000040020000}"/>
    <cellStyle name="Input 4 2 3 2" xfId="654" xr:uid="{00000000-0005-0000-0000-000041020000}"/>
    <cellStyle name="Input 4 2 3 3" xfId="655" xr:uid="{00000000-0005-0000-0000-000042020000}"/>
    <cellStyle name="Input 4 2 4" xfId="656" xr:uid="{00000000-0005-0000-0000-000043020000}"/>
    <cellStyle name="Input 4 2 4 2" xfId="657" xr:uid="{00000000-0005-0000-0000-000044020000}"/>
    <cellStyle name="Input 4 2 4 3" xfId="658" xr:uid="{00000000-0005-0000-0000-000045020000}"/>
    <cellStyle name="Input 4 2 5" xfId="659" xr:uid="{00000000-0005-0000-0000-000046020000}"/>
    <cellStyle name="Input 4 2 6" xfId="660" xr:uid="{00000000-0005-0000-0000-000047020000}"/>
    <cellStyle name="Input 4 3" xfId="661" xr:uid="{00000000-0005-0000-0000-000048020000}"/>
    <cellStyle name="Input 4 3 2" xfId="662" xr:uid="{00000000-0005-0000-0000-000049020000}"/>
    <cellStyle name="Input 4 3 2 2" xfId="663" xr:uid="{00000000-0005-0000-0000-00004A020000}"/>
    <cellStyle name="Input 4 3 2 2 2" xfId="664" xr:uid="{00000000-0005-0000-0000-00004B020000}"/>
    <cellStyle name="Input 4 3 2 2 3" xfId="665" xr:uid="{00000000-0005-0000-0000-00004C020000}"/>
    <cellStyle name="Input 4 3 2 3" xfId="666" xr:uid="{00000000-0005-0000-0000-00004D020000}"/>
    <cellStyle name="Input 4 3 2 3 2" xfId="667" xr:uid="{00000000-0005-0000-0000-00004E020000}"/>
    <cellStyle name="Input 4 3 2 3 3" xfId="668" xr:uid="{00000000-0005-0000-0000-00004F020000}"/>
    <cellStyle name="Input 4 3 3" xfId="669" xr:uid="{00000000-0005-0000-0000-000050020000}"/>
    <cellStyle name="Input 4 3 3 2" xfId="670" xr:uid="{00000000-0005-0000-0000-000051020000}"/>
    <cellStyle name="Input 4 3 3 3" xfId="671" xr:uid="{00000000-0005-0000-0000-000052020000}"/>
    <cellStyle name="Input 4 3 4" xfId="672" xr:uid="{00000000-0005-0000-0000-000053020000}"/>
    <cellStyle name="Input 4 3 4 2" xfId="673" xr:uid="{00000000-0005-0000-0000-000054020000}"/>
    <cellStyle name="Input 4 3 4 3" xfId="674" xr:uid="{00000000-0005-0000-0000-000055020000}"/>
    <cellStyle name="Input 4 4" xfId="675" xr:uid="{00000000-0005-0000-0000-000056020000}"/>
    <cellStyle name="Input 4 4 2" xfId="676" xr:uid="{00000000-0005-0000-0000-000057020000}"/>
    <cellStyle name="Input 4 4 2 2" xfId="677" xr:uid="{00000000-0005-0000-0000-000058020000}"/>
    <cellStyle name="Input 4 4 2 3" xfId="678" xr:uid="{00000000-0005-0000-0000-000059020000}"/>
    <cellStyle name="Input 4 4 3" xfId="679" xr:uid="{00000000-0005-0000-0000-00005A020000}"/>
    <cellStyle name="Input 4 4 3 2" xfId="680" xr:uid="{00000000-0005-0000-0000-00005B020000}"/>
    <cellStyle name="Input 4 4 3 3" xfId="681" xr:uid="{00000000-0005-0000-0000-00005C020000}"/>
    <cellStyle name="Input 4 4 4" xfId="682" xr:uid="{00000000-0005-0000-0000-00005D020000}"/>
    <cellStyle name="Input 4 4 4 2" xfId="683" xr:uid="{00000000-0005-0000-0000-00005E020000}"/>
    <cellStyle name="Input 4 4 4 3" xfId="684" xr:uid="{00000000-0005-0000-0000-00005F020000}"/>
    <cellStyle name="Input 4 5" xfId="685" xr:uid="{00000000-0005-0000-0000-000060020000}"/>
    <cellStyle name="Input 4 5 2" xfId="686" xr:uid="{00000000-0005-0000-0000-000061020000}"/>
    <cellStyle name="Input 4 5 2 2" xfId="687" xr:uid="{00000000-0005-0000-0000-000062020000}"/>
    <cellStyle name="Input 4 5 2 3" xfId="688" xr:uid="{00000000-0005-0000-0000-000063020000}"/>
    <cellStyle name="Input 4 5 3" xfId="689" xr:uid="{00000000-0005-0000-0000-000064020000}"/>
    <cellStyle name="Input 4 5 3 2" xfId="690" xr:uid="{00000000-0005-0000-0000-000065020000}"/>
    <cellStyle name="Input 4 5 3 3" xfId="691" xr:uid="{00000000-0005-0000-0000-000066020000}"/>
    <cellStyle name="Input 4 6" xfId="692" xr:uid="{00000000-0005-0000-0000-000067020000}"/>
    <cellStyle name="Input 4 6 2" xfId="693" xr:uid="{00000000-0005-0000-0000-000068020000}"/>
    <cellStyle name="Input 4 6 3" xfId="694" xr:uid="{00000000-0005-0000-0000-000069020000}"/>
    <cellStyle name="Input 4 7" xfId="695" xr:uid="{00000000-0005-0000-0000-00006A020000}"/>
    <cellStyle name="Input 4 7 2" xfId="696" xr:uid="{00000000-0005-0000-0000-00006B020000}"/>
    <cellStyle name="Input 4 7 3" xfId="697" xr:uid="{00000000-0005-0000-0000-00006C020000}"/>
    <cellStyle name="Input$0" xfId="698" xr:uid="{00000000-0005-0000-0000-00006D020000}"/>
    <cellStyle name="Input$1" xfId="699" xr:uid="{00000000-0005-0000-0000-00006E020000}"/>
    <cellStyle name="Input$2" xfId="700" xr:uid="{00000000-0005-0000-0000-00006F020000}"/>
    <cellStyle name="Input0" xfId="701" xr:uid="{00000000-0005-0000-0000-000070020000}"/>
    <cellStyle name="Input1" xfId="702" xr:uid="{00000000-0005-0000-0000-000071020000}"/>
    <cellStyle name="Input1x" xfId="703" xr:uid="{00000000-0005-0000-0000-000072020000}"/>
    <cellStyle name="Input2" xfId="704" xr:uid="{00000000-0005-0000-0000-000073020000}"/>
    <cellStyle name="Input2x" xfId="705" xr:uid="{00000000-0005-0000-0000-000074020000}"/>
    <cellStyle name="lborder" xfId="706" xr:uid="{00000000-0005-0000-0000-000075020000}"/>
    <cellStyle name="Linked Cell 2" xfId="156" xr:uid="{00000000-0005-0000-0000-000076020000}"/>
    <cellStyle name="m" xfId="707" xr:uid="{00000000-0005-0000-0000-000077020000}"/>
    <cellStyle name="m1" xfId="708" xr:uid="{00000000-0005-0000-0000-000078020000}"/>
    <cellStyle name="m2" xfId="709" xr:uid="{00000000-0005-0000-0000-000079020000}"/>
    <cellStyle name="m3" xfId="710" xr:uid="{00000000-0005-0000-0000-00007A020000}"/>
    <cellStyle name="Negative" xfId="711" xr:uid="{00000000-0005-0000-0000-00007B020000}"/>
    <cellStyle name="Neutral 2" xfId="157" xr:uid="{00000000-0005-0000-0000-00007C020000}"/>
    <cellStyle name="Normal" xfId="0" builtinId="0"/>
    <cellStyle name="Normal - Style1" xfId="158" xr:uid="{00000000-0005-0000-0000-00007E020000}"/>
    <cellStyle name="Normal 10" xfId="159" xr:uid="{00000000-0005-0000-0000-00007F020000}"/>
    <cellStyle name="Normal 10 2" xfId="712" xr:uid="{00000000-0005-0000-0000-000080020000}"/>
    <cellStyle name="Normal 11" xfId="160" xr:uid="{00000000-0005-0000-0000-000081020000}"/>
    <cellStyle name="Normal 11 2" xfId="713" xr:uid="{00000000-0005-0000-0000-000082020000}"/>
    <cellStyle name="Normal 11 3" xfId="714" xr:uid="{00000000-0005-0000-0000-000083020000}"/>
    <cellStyle name="Normal 12" xfId="161" xr:uid="{00000000-0005-0000-0000-000084020000}"/>
    <cellStyle name="Normal 13" xfId="162" xr:uid="{00000000-0005-0000-0000-000085020000}"/>
    <cellStyle name="Normal 14" xfId="163" xr:uid="{00000000-0005-0000-0000-000086020000}"/>
    <cellStyle name="Normal 14 8" xfId="715" xr:uid="{00000000-0005-0000-0000-000087020000}"/>
    <cellStyle name="Normal 14 8 2" xfId="716" xr:uid="{00000000-0005-0000-0000-000088020000}"/>
    <cellStyle name="Normal 14 8 2 2" xfId="717" xr:uid="{00000000-0005-0000-0000-000089020000}"/>
    <cellStyle name="Normal 14 8 3" xfId="718" xr:uid="{00000000-0005-0000-0000-00008A020000}"/>
    <cellStyle name="Normal 15" xfId="4" xr:uid="{00000000-0005-0000-0000-00008B020000}"/>
    <cellStyle name="Normal 15 2" xfId="719" xr:uid="{00000000-0005-0000-0000-00008C020000}"/>
    <cellStyle name="Normal 15 2 2" xfId="720" xr:uid="{00000000-0005-0000-0000-00008D020000}"/>
    <cellStyle name="Normal 15 3" xfId="721" xr:uid="{00000000-0005-0000-0000-00008E020000}"/>
    <cellStyle name="Normal 16" xfId="239" xr:uid="{00000000-0005-0000-0000-00008F020000}"/>
    <cellStyle name="Normal 16 2" xfId="722" xr:uid="{00000000-0005-0000-0000-000090020000}"/>
    <cellStyle name="Normal 16 2 2" xfId="723" xr:uid="{00000000-0005-0000-0000-000091020000}"/>
    <cellStyle name="Normal 16 3" xfId="724" xr:uid="{00000000-0005-0000-0000-000092020000}"/>
    <cellStyle name="Normal 17" xfId="725" xr:uid="{00000000-0005-0000-0000-000093020000}"/>
    <cellStyle name="Normal 18" xfId="726" xr:uid="{00000000-0005-0000-0000-000094020000}"/>
    <cellStyle name="Normal 19" xfId="727" xr:uid="{00000000-0005-0000-0000-000095020000}"/>
    <cellStyle name="Normal 2" xfId="164" xr:uid="{00000000-0005-0000-0000-000096020000}"/>
    <cellStyle name="Normal 2 2" xfId="165" xr:uid="{00000000-0005-0000-0000-000097020000}"/>
    <cellStyle name="Normal 2 2 2" xfId="728" xr:uid="{00000000-0005-0000-0000-000098020000}"/>
    <cellStyle name="Normal 2 2 3" xfId="729" xr:uid="{00000000-0005-0000-0000-000099020000}"/>
    <cellStyle name="Normal 2 3" xfId="166" xr:uid="{00000000-0005-0000-0000-00009A020000}"/>
    <cellStyle name="Normal 2 4" xfId="231" xr:uid="{00000000-0005-0000-0000-00009B020000}"/>
    <cellStyle name="Normal 2 4 2" xfId="235" xr:uid="{00000000-0005-0000-0000-00009C020000}"/>
    <cellStyle name="Normal 2 4 2 2" xfId="730" xr:uid="{00000000-0005-0000-0000-00009D020000}"/>
    <cellStyle name="Normal 2 4 3" xfId="731" xr:uid="{00000000-0005-0000-0000-00009E020000}"/>
    <cellStyle name="Normal 2 4 4" xfId="1097" xr:uid="{00000000-0005-0000-0000-00009F020000}"/>
    <cellStyle name="Normal 2 5" xfId="732" xr:uid="{00000000-0005-0000-0000-0000A0020000}"/>
    <cellStyle name="Normal 2 5 2" xfId="733" xr:uid="{00000000-0005-0000-0000-0000A1020000}"/>
    <cellStyle name="Normal 20" xfId="734" xr:uid="{00000000-0005-0000-0000-0000A2020000}"/>
    <cellStyle name="Normal 21" xfId="735" xr:uid="{00000000-0005-0000-0000-0000A3020000}"/>
    <cellStyle name="Normal 21 2" xfId="736" xr:uid="{00000000-0005-0000-0000-0000A4020000}"/>
    <cellStyle name="Normal 22" xfId="737" xr:uid="{00000000-0005-0000-0000-0000A5020000}"/>
    <cellStyle name="Normal 23" xfId="738" xr:uid="{00000000-0005-0000-0000-0000A6020000}"/>
    <cellStyle name="Normal 24" xfId="739" xr:uid="{00000000-0005-0000-0000-0000A7020000}"/>
    <cellStyle name="Normal 25" xfId="740" xr:uid="{00000000-0005-0000-0000-0000A8020000}"/>
    <cellStyle name="Normal 26" xfId="741" xr:uid="{00000000-0005-0000-0000-0000A9020000}"/>
    <cellStyle name="Normal 27" xfId="742" xr:uid="{00000000-0005-0000-0000-0000AA020000}"/>
    <cellStyle name="Normal 28" xfId="743" xr:uid="{00000000-0005-0000-0000-0000AB020000}"/>
    <cellStyle name="Normal 29" xfId="744" xr:uid="{00000000-0005-0000-0000-0000AC020000}"/>
    <cellStyle name="Normal 3" xfId="167" xr:uid="{00000000-0005-0000-0000-0000AD020000}"/>
    <cellStyle name="Normal 3 2" xfId="745" xr:uid="{00000000-0005-0000-0000-0000AE020000}"/>
    <cellStyle name="Normal 3 3" xfId="746" xr:uid="{00000000-0005-0000-0000-0000AF020000}"/>
    <cellStyle name="Normal 3 4" xfId="747" xr:uid="{00000000-0005-0000-0000-0000B0020000}"/>
    <cellStyle name="Normal 3 5" xfId="748" xr:uid="{00000000-0005-0000-0000-0000B1020000}"/>
    <cellStyle name="Normal 3 6" xfId="749" xr:uid="{00000000-0005-0000-0000-0000B2020000}"/>
    <cellStyle name="Normal 3_ITC-Great Plains Heintz 6-24-08a" xfId="750" xr:uid="{00000000-0005-0000-0000-0000B3020000}"/>
    <cellStyle name="Normal 30" xfId="1090" xr:uid="{00000000-0005-0000-0000-0000B4020000}"/>
    <cellStyle name="Normal 304 3" xfId="1094" xr:uid="{00000000-0005-0000-0000-0000B5020000}"/>
    <cellStyle name="Normal 31" xfId="1095" xr:uid="{00000000-0005-0000-0000-0000B6020000}"/>
    <cellStyle name="Normal 31 2" xfId="1103" xr:uid="{00000000-0005-0000-0000-0000B7020000}"/>
    <cellStyle name="Normal 31 3" xfId="1109" xr:uid="{434EE41A-E6D0-4417-9E8D-08AB0942DE02}"/>
    <cellStyle name="Normal 32" xfId="1108" xr:uid="{00000000-0005-0000-0000-0000B8020000}"/>
    <cellStyle name="Normal 4" xfId="168" xr:uid="{00000000-0005-0000-0000-0000B9020000}"/>
    <cellStyle name="Normal 4 2" xfId="169" xr:uid="{00000000-0005-0000-0000-0000BA020000}"/>
    <cellStyle name="Normal 4 2 2" xfId="751" xr:uid="{00000000-0005-0000-0000-0000BB020000}"/>
    <cellStyle name="Normal 4 2 3" xfId="752" xr:uid="{00000000-0005-0000-0000-0000BC020000}"/>
    <cellStyle name="Normal 4 3" xfId="753" xr:uid="{00000000-0005-0000-0000-0000BD020000}"/>
    <cellStyle name="Normal 4 4" xfId="754" xr:uid="{00000000-0005-0000-0000-0000BE020000}"/>
    <cellStyle name="Normal 4_ITC-Great Plains Heintz 6-24-08a" xfId="755" xr:uid="{00000000-0005-0000-0000-0000BF020000}"/>
    <cellStyle name="Normal 5" xfId="170" xr:uid="{00000000-0005-0000-0000-0000C0020000}"/>
    <cellStyle name="Normal 5 2" xfId="756" xr:uid="{00000000-0005-0000-0000-0000C1020000}"/>
    <cellStyle name="Normal 5 3" xfId="757" xr:uid="{00000000-0005-0000-0000-0000C2020000}"/>
    <cellStyle name="Normal 5 4" xfId="758" xr:uid="{00000000-0005-0000-0000-0000C3020000}"/>
    <cellStyle name="Normal 6" xfId="171" xr:uid="{00000000-0005-0000-0000-0000C4020000}"/>
    <cellStyle name="Normal 6 2" xfId="759" xr:uid="{00000000-0005-0000-0000-0000C5020000}"/>
    <cellStyle name="Normal 6 3" xfId="760" xr:uid="{00000000-0005-0000-0000-0000C6020000}"/>
    <cellStyle name="Normal 6 3 2" xfId="761" xr:uid="{00000000-0005-0000-0000-0000C7020000}"/>
    <cellStyle name="Normal 6 4" xfId="762" xr:uid="{00000000-0005-0000-0000-0000C8020000}"/>
    <cellStyle name="Normal 7" xfId="172" xr:uid="{00000000-0005-0000-0000-0000C9020000}"/>
    <cellStyle name="Normal 7 2" xfId="763" xr:uid="{00000000-0005-0000-0000-0000CA020000}"/>
    <cellStyle name="Normal 7 3" xfId="764" xr:uid="{00000000-0005-0000-0000-0000CB020000}"/>
    <cellStyle name="Normal 8" xfId="173" xr:uid="{00000000-0005-0000-0000-0000CC020000}"/>
    <cellStyle name="Normal 9" xfId="174" xr:uid="{00000000-0005-0000-0000-0000CD020000}"/>
    <cellStyle name="Normal 9 2" xfId="765" xr:uid="{00000000-0005-0000-0000-0000CE020000}"/>
    <cellStyle name="Normal 9 2 2" xfId="766" xr:uid="{00000000-0005-0000-0000-0000CF020000}"/>
    <cellStyle name="Normal_MP001 Deferred Tax Report June 2006" xfId="1107" xr:uid="{00000000-0005-0000-0000-0000D0020000}"/>
    <cellStyle name="Normal_Schedule O Info for Mike 2" xfId="1092" xr:uid="{00000000-0005-0000-0000-0000D1020000}"/>
    <cellStyle name="Normal_Soft Close Worksheet" xfId="1106" xr:uid="{00000000-0005-0000-0000-0000D2020000}"/>
    <cellStyle name="Note 2" xfId="175" xr:uid="{00000000-0005-0000-0000-0000D3020000}"/>
    <cellStyle name="Note 2 2" xfId="767" xr:uid="{00000000-0005-0000-0000-0000D4020000}"/>
    <cellStyle name="Note 2 2 2" xfId="768" xr:uid="{00000000-0005-0000-0000-0000D5020000}"/>
    <cellStyle name="Note 2 2 2 2" xfId="769" xr:uid="{00000000-0005-0000-0000-0000D6020000}"/>
    <cellStyle name="Note 2 2 2 2 2" xfId="770" xr:uid="{00000000-0005-0000-0000-0000D7020000}"/>
    <cellStyle name="Note 2 2 2 2 3" xfId="771" xr:uid="{00000000-0005-0000-0000-0000D8020000}"/>
    <cellStyle name="Note 2 2 2 3" xfId="772" xr:uid="{00000000-0005-0000-0000-0000D9020000}"/>
    <cellStyle name="Note 2 2 2 3 2" xfId="773" xr:uid="{00000000-0005-0000-0000-0000DA020000}"/>
    <cellStyle name="Note 2 2 2 3 3" xfId="774" xr:uid="{00000000-0005-0000-0000-0000DB020000}"/>
    <cellStyle name="Note 2 2 3" xfId="775" xr:uid="{00000000-0005-0000-0000-0000DC020000}"/>
    <cellStyle name="Note 2 2 3 2" xfId="776" xr:uid="{00000000-0005-0000-0000-0000DD020000}"/>
    <cellStyle name="Note 2 2 3 3" xfId="777" xr:uid="{00000000-0005-0000-0000-0000DE020000}"/>
    <cellStyle name="Note 2 2 4" xfId="778" xr:uid="{00000000-0005-0000-0000-0000DF020000}"/>
    <cellStyle name="Note 2 2 4 2" xfId="779" xr:uid="{00000000-0005-0000-0000-0000E0020000}"/>
    <cellStyle name="Note 2 2 4 3" xfId="780" xr:uid="{00000000-0005-0000-0000-0000E1020000}"/>
    <cellStyle name="Note 2 2 5" xfId="781" xr:uid="{00000000-0005-0000-0000-0000E2020000}"/>
    <cellStyle name="Note 2 2 6" xfId="782" xr:uid="{00000000-0005-0000-0000-0000E3020000}"/>
    <cellStyle name="Note 2 3" xfId="783" xr:uid="{00000000-0005-0000-0000-0000E4020000}"/>
    <cellStyle name="Note 2 3 2" xfId="784" xr:uid="{00000000-0005-0000-0000-0000E5020000}"/>
    <cellStyle name="Note 2 3 2 2" xfId="785" xr:uid="{00000000-0005-0000-0000-0000E6020000}"/>
    <cellStyle name="Note 2 3 2 2 2" xfId="786" xr:uid="{00000000-0005-0000-0000-0000E7020000}"/>
    <cellStyle name="Note 2 3 2 2 3" xfId="787" xr:uid="{00000000-0005-0000-0000-0000E8020000}"/>
    <cellStyle name="Note 2 3 2 3" xfId="788" xr:uid="{00000000-0005-0000-0000-0000E9020000}"/>
    <cellStyle name="Note 2 3 2 3 2" xfId="789" xr:uid="{00000000-0005-0000-0000-0000EA020000}"/>
    <cellStyle name="Note 2 3 2 3 3" xfId="790" xr:uid="{00000000-0005-0000-0000-0000EB020000}"/>
    <cellStyle name="Note 2 3 3" xfId="791" xr:uid="{00000000-0005-0000-0000-0000EC020000}"/>
    <cellStyle name="Note 2 3 3 2" xfId="792" xr:uid="{00000000-0005-0000-0000-0000ED020000}"/>
    <cellStyle name="Note 2 3 3 3" xfId="793" xr:uid="{00000000-0005-0000-0000-0000EE020000}"/>
    <cellStyle name="Note 2 3 4" xfId="794" xr:uid="{00000000-0005-0000-0000-0000EF020000}"/>
    <cellStyle name="Note 2 3 4 2" xfId="795" xr:uid="{00000000-0005-0000-0000-0000F0020000}"/>
    <cellStyle name="Note 2 3 4 3" xfId="796" xr:uid="{00000000-0005-0000-0000-0000F1020000}"/>
    <cellStyle name="Note 2 4" xfId="797" xr:uid="{00000000-0005-0000-0000-0000F2020000}"/>
    <cellStyle name="Note 2 4 2" xfId="798" xr:uid="{00000000-0005-0000-0000-0000F3020000}"/>
    <cellStyle name="Note 2 4 2 2" xfId="799" xr:uid="{00000000-0005-0000-0000-0000F4020000}"/>
    <cellStyle name="Note 2 4 2 2 2" xfId="800" xr:uid="{00000000-0005-0000-0000-0000F5020000}"/>
    <cellStyle name="Note 2 4 2 2 3" xfId="801" xr:uid="{00000000-0005-0000-0000-0000F6020000}"/>
    <cellStyle name="Note 2 4 2 3" xfId="802" xr:uid="{00000000-0005-0000-0000-0000F7020000}"/>
    <cellStyle name="Note 2 4 2 3 2" xfId="803" xr:uid="{00000000-0005-0000-0000-0000F8020000}"/>
    <cellStyle name="Note 2 4 2 3 3" xfId="804" xr:uid="{00000000-0005-0000-0000-0000F9020000}"/>
    <cellStyle name="Note 2 4 3" xfId="805" xr:uid="{00000000-0005-0000-0000-0000FA020000}"/>
    <cellStyle name="Note 2 4 3 2" xfId="806" xr:uid="{00000000-0005-0000-0000-0000FB020000}"/>
    <cellStyle name="Note 2 4 3 3" xfId="807" xr:uid="{00000000-0005-0000-0000-0000FC020000}"/>
    <cellStyle name="Note 2 4 4" xfId="808" xr:uid="{00000000-0005-0000-0000-0000FD020000}"/>
    <cellStyle name="Note 2 4 4 2" xfId="809" xr:uid="{00000000-0005-0000-0000-0000FE020000}"/>
    <cellStyle name="Note 2 4 4 3" xfId="810" xr:uid="{00000000-0005-0000-0000-0000FF020000}"/>
    <cellStyle name="Note 2 5" xfId="811" xr:uid="{00000000-0005-0000-0000-000000030000}"/>
    <cellStyle name="Note 2 5 2" xfId="812" xr:uid="{00000000-0005-0000-0000-000001030000}"/>
    <cellStyle name="Note 2 5 2 2" xfId="813" xr:uid="{00000000-0005-0000-0000-000002030000}"/>
    <cellStyle name="Note 2 5 2 3" xfId="814" xr:uid="{00000000-0005-0000-0000-000003030000}"/>
    <cellStyle name="Note 2 5 3" xfId="815" xr:uid="{00000000-0005-0000-0000-000004030000}"/>
    <cellStyle name="Note 2 5 3 2" xfId="816" xr:uid="{00000000-0005-0000-0000-000005030000}"/>
    <cellStyle name="Note 2 5 3 3" xfId="817" xr:uid="{00000000-0005-0000-0000-000006030000}"/>
    <cellStyle name="Note 2 5 4" xfId="818" xr:uid="{00000000-0005-0000-0000-000007030000}"/>
    <cellStyle name="Note 2 5 4 2" xfId="819" xr:uid="{00000000-0005-0000-0000-000008030000}"/>
    <cellStyle name="Note 2 5 4 3" xfId="820" xr:uid="{00000000-0005-0000-0000-000009030000}"/>
    <cellStyle name="Note 2 6" xfId="821" xr:uid="{00000000-0005-0000-0000-00000A030000}"/>
    <cellStyle name="Note 2 6 2" xfId="822" xr:uid="{00000000-0005-0000-0000-00000B030000}"/>
    <cellStyle name="Note 2 6 2 2" xfId="823" xr:uid="{00000000-0005-0000-0000-00000C030000}"/>
    <cellStyle name="Note 2 6 2 3" xfId="824" xr:uid="{00000000-0005-0000-0000-00000D030000}"/>
    <cellStyle name="Note 2 6 3" xfId="825" xr:uid="{00000000-0005-0000-0000-00000E030000}"/>
    <cellStyle name="Note 2 6 3 2" xfId="826" xr:uid="{00000000-0005-0000-0000-00000F030000}"/>
    <cellStyle name="Note 2 6 3 3" xfId="827" xr:uid="{00000000-0005-0000-0000-000010030000}"/>
    <cellStyle name="Note 2 7" xfId="828" xr:uid="{00000000-0005-0000-0000-000011030000}"/>
    <cellStyle name="Note 2 7 2" xfId="829" xr:uid="{00000000-0005-0000-0000-000012030000}"/>
    <cellStyle name="Note 2 7 3" xfId="830" xr:uid="{00000000-0005-0000-0000-000013030000}"/>
    <cellStyle name="Note 2 8" xfId="831" xr:uid="{00000000-0005-0000-0000-000014030000}"/>
    <cellStyle name="Note 2 8 2" xfId="832" xr:uid="{00000000-0005-0000-0000-000015030000}"/>
    <cellStyle name="Note 2 8 3" xfId="833" xr:uid="{00000000-0005-0000-0000-000016030000}"/>
    <cellStyle name="Note 2 9" xfId="834" xr:uid="{00000000-0005-0000-0000-000017030000}"/>
    <cellStyle name="Note 2 9 2" xfId="835" xr:uid="{00000000-0005-0000-0000-000018030000}"/>
    <cellStyle name="Note 2 9 3" xfId="836" xr:uid="{00000000-0005-0000-0000-000019030000}"/>
    <cellStyle name="Output 2" xfId="176" xr:uid="{00000000-0005-0000-0000-00001A030000}"/>
    <cellStyle name="Output 2 2" xfId="837" xr:uid="{00000000-0005-0000-0000-00001B030000}"/>
    <cellStyle name="Output 2 2 2" xfId="838" xr:uid="{00000000-0005-0000-0000-00001C030000}"/>
    <cellStyle name="Output 2 2 2 2" xfId="839" xr:uid="{00000000-0005-0000-0000-00001D030000}"/>
    <cellStyle name="Output 2 2 2 3" xfId="840" xr:uid="{00000000-0005-0000-0000-00001E030000}"/>
    <cellStyle name="Output 2 2 3" xfId="841" xr:uid="{00000000-0005-0000-0000-00001F030000}"/>
    <cellStyle name="Output 2 2 3 2" xfId="842" xr:uid="{00000000-0005-0000-0000-000020030000}"/>
    <cellStyle name="Output 2 2 3 3" xfId="843" xr:uid="{00000000-0005-0000-0000-000021030000}"/>
    <cellStyle name="Output 2 2 4" xfId="844" xr:uid="{00000000-0005-0000-0000-000022030000}"/>
    <cellStyle name="Output 2 2 4 2" xfId="845" xr:uid="{00000000-0005-0000-0000-000023030000}"/>
    <cellStyle name="Output 2 2 4 3" xfId="846" xr:uid="{00000000-0005-0000-0000-000024030000}"/>
    <cellStyle name="Output 2 3" xfId="847" xr:uid="{00000000-0005-0000-0000-000025030000}"/>
    <cellStyle name="Output 2 3 2" xfId="848" xr:uid="{00000000-0005-0000-0000-000026030000}"/>
    <cellStyle name="Output 2 3 3" xfId="849" xr:uid="{00000000-0005-0000-0000-000027030000}"/>
    <cellStyle name="Output 2 4" xfId="850" xr:uid="{00000000-0005-0000-0000-000028030000}"/>
    <cellStyle name="Output 2 4 2" xfId="851" xr:uid="{00000000-0005-0000-0000-000029030000}"/>
    <cellStyle name="Output 2 4 3" xfId="852" xr:uid="{00000000-0005-0000-0000-00002A030000}"/>
    <cellStyle name="Output 2 5" xfId="853" xr:uid="{00000000-0005-0000-0000-00002B030000}"/>
    <cellStyle name="Output 2 5 2" xfId="854" xr:uid="{00000000-0005-0000-0000-00002C030000}"/>
    <cellStyle name="Output 2 5 3" xfId="855" xr:uid="{00000000-0005-0000-0000-00002D030000}"/>
    <cellStyle name="p" xfId="856" xr:uid="{00000000-0005-0000-0000-00002E030000}"/>
    <cellStyle name="p1" xfId="857" xr:uid="{00000000-0005-0000-0000-00002F030000}"/>
    <cellStyle name="p2" xfId="858" xr:uid="{00000000-0005-0000-0000-000030030000}"/>
    <cellStyle name="p3" xfId="859" xr:uid="{00000000-0005-0000-0000-000031030000}"/>
    <cellStyle name="Percent" xfId="3" builtinId="5"/>
    <cellStyle name="Percent %" xfId="860" xr:uid="{00000000-0005-0000-0000-000033030000}"/>
    <cellStyle name="Percent % Long Underline" xfId="861" xr:uid="{00000000-0005-0000-0000-000034030000}"/>
    <cellStyle name="Percent (0)" xfId="862" xr:uid="{00000000-0005-0000-0000-000035030000}"/>
    <cellStyle name="Percent [2]" xfId="177" xr:uid="{00000000-0005-0000-0000-000036030000}"/>
    <cellStyle name="Percent 0.0%" xfId="863" xr:uid="{00000000-0005-0000-0000-000037030000}"/>
    <cellStyle name="Percent 0.0% Long Underline" xfId="864" xr:uid="{00000000-0005-0000-0000-000038030000}"/>
    <cellStyle name="Percent 0.00%" xfId="865" xr:uid="{00000000-0005-0000-0000-000039030000}"/>
    <cellStyle name="Percent 0.00% Long Underline" xfId="866" xr:uid="{00000000-0005-0000-0000-00003A030000}"/>
    <cellStyle name="Percent 0.000%" xfId="867" xr:uid="{00000000-0005-0000-0000-00003B030000}"/>
    <cellStyle name="Percent 0.000% Long Underline" xfId="868" xr:uid="{00000000-0005-0000-0000-00003C030000}"/>
    <cellStyle name="Percent 0.0000%" xfId="869" xr:uid="{00000000-0005-0000-0000-00003D030000}"/>
    <cellStyle name="Percent 0.0000% Long Underline" xfId="870" xr:uid="{00000000-0005-0000-0000-00003E030000}"/>
    <cellStyle name="Percent 10" xfId="871" xr:uid="{00000000-0005-0000-0000-00003F030000}"/>
    <cellStyle name="Percent 10 2" xfId="1112" xr:uid="{B2059695-091E-452E-8C64-BCA19A8A89A2}"/>
    <cellStyle name="Percent 11" xfId="872" xr:uid="{00000000-0005-0000-0000-000040030000}"/>
    <cellStyle name="Percent 12" xfId="873" xr:uid="{00000000-0005-0000-0000-000041030000}"/>
    <cellStyle name="Percent 13" xfId="874" xr:uid="{00000000-0005-0000-0000-000042030000}"/>
    <cellStyle name="Percent 14" xfId="875" xr:uid="{00000000-0005-0000-0000-000043030000}"/>
    <cellStyle name="Percent 15" xfId="876" xr:uid="{00000000-0005-0000-0000-000044030000}"/>
    <cellStyle name="Percent 16" xfId="877" xr:uid="{00000000-0005-0000-0000-000045030000}"/>
    <cellStyle name="Percent 17" xfId="878" xr:uid="{00000000-0005-0000-0000-000046030000}"/>
    <cellStyle name="Percent 18" xfId="879" xr:uid="{00000000-0005-0000-0000-000047030000}"/>
    <cellStyle name="Percent 19" xfId="880" xr:uid="{00000000-0005-0000-0000-000048030000}"/>
    <cellStyle name="Percent 19 2" xfId="881" xr:uid="{00000000-0005-0000-0000-000049030000}"/>
    <cellStyle name="Percent 2" xfId="178" xr:uid="{00000000-0005-0000-0000-00004A030000}"/>
    <cellStyle name="Percent 2 2" xfId="179" xr:uid="{00000000-0005-0000-0000-00004B030000}"/>
    <cellStyle name="Percent 2 2 2" xfId="882" xr:uid="{00000000-0005-0000-0000-00004C030000}"/>
    <cellStyle name="Percent 2 2 3" xfId="883" xr:uid="{00000000-0005-0000-0000-00004D030000}"/>
    <cellStyle name="Percent 2 3" xfId="234" xr:uid="{00000000-0005-0000-0000-00004E030000}"/>
    <cellStyle name="Percent 2 3 2" xfId="238" xr:uid="{00000000-0005-0000-0000-00004F030000}"/>
    <cellStyle name="Percent 2 3 2 2" xfId="884" xr:uid="{00000000-0005-0000-0000-000050030000}"/>
    <cellStyle name="Percent 2 3 3" xfId="885" xr:uid="{00000000-0005-0000-0000-000051030000}"/>
    <cellStyle name="Percent 2 3 4" xfId="1100" xr:uid="{00000000-0005-0000-0000-000052030000}"/>
    <cellStyle name="Percent 2 4" xfId="886" xr:uid="{00000000-0005-0000-0000-000053030000}"/>
    <cellStyle name="Percent 2 4 2" xfId="887" xr:uid="{00000000-0005-0000-0000-000054030000}"/>
    <cellStyle name="Percent 2 5" xfId="888" xr:uid="{00000000-0005-0000-0000-000055030000}"/>
    <cellStyle name="Percent 20" xfId="889" xr:uid="{00000000-0005-0000-0000-000056030000}"/>
    <cellStyle name="Percent 21" xfId="890" xr:uid="{00000000-0005-0000-0000-000057030000}"/>
    <cellStyle name="Percent 22" xfId="891" xr:uid="{00000000-0005-0000-0000-000058030000}"/>
    <cellStyle name="Percent 23" xfId="892" xr:uid="{00000000-0005-0000-0000-000059030000}"/>
    <cellStyle name="Percent 24" xfId="893" xr:uid="{00000000-0005-0000-0000-00005A030000}"/>
    <cellStyle name="Percent 25" xfId="894" xr:uid="{00000000-0005-0000-0000-00005B030000}"/>
    <cellStyle name="Percent 26" xfId="1102" xr:uid="{00000000-0005-0000-0000-00005C030000}"/>
    <cellStyle name="Percent 27" xfId="1105" xr:uid="{00000000-0005-0000-0000-00005D030000}"/>
    <cellStyle name="Percent 3" xfId="180" xr:uid="{00000000-0005-0000-0000-00005E030000}"/>
    <cellStyle name="Percent 3 2" xfId="895" xr:uid="{00000000-0005-0000-0000-00005F030000}"/>
    <cellStyle name="Percent 3 3" xfId="896" xr:uid="{00000000-0005-0000-0000-000060030000}"/>
    <cellStyle name="Percent 3 3 2" xfId="1113" xr:uid="{76F3BE6E-6304-4D21-917B-601F9C5C92E4}"/>
    <cellStyle name="Percent 3 4" xfId="897" xr:uid="{00000000-0005-0000-0000-000061030000}"/>
    <cellStyle name="Percent 3 5" xfId="1111" xr:uid="{78A196E8-4998-40B9-87F8-C1D7AC4450D3}"/>
    <cellStyle name="Percent 4" xfId="181" xr:uid="{00000000-0005-0000-0000-000062030000}"/>
    <cellStyle name="Percent 5" xfId="182" xr:uid="{00000000-0005-0000-0000-000063030000}"/>
    <cellStyle name="Percent 6" xfId="183" xr:uid="{00000000-0005-0000-0000-000064030000}"/>
    <cellStyle name="Percent 6 2" xfId="898" xr:uid="{00000000-0005-0000-0000-000065030000}"/>
    <cellStyle name="Percent 6 3" xfId="899" xr:uid="{00000000-0005-0000-0000-000066030000}"/>
    <cellStyle name="Percent 7" xfId="184" xr:uid="{00000000-0005-0000-0000-000067030000}"/>
    <cellStyle name="Percent 8" xfId="185" xr:uid="{00000000-0005-0000-0000-000068030000}"/>
    <cellStyle name="Percent 8 2" xfId="900" xr:uid="{00000000-0005-0000-0000-000069030000}"/>
    <cellStyle name="Percent 8 3" xfId="901" xr:uid="{00000000-0005-0000-0000-00006A030000}"/>
    <cellStyle name="Percent 9" xfId="240" xr:uid="{00000000-0005-0000-0000-00006B030000}"/>
    <cellStyle name="Percent 9 2" xfId="902" xr:uid="{00000000-0005-0000-0000-00006C030000}"/>
    <cellStyle name="Percent 9 2 2" xfId="903" xr:uid="{00000000-0005-0000-0000-00006D030000}"/>
    <cellStyle name="Percent 9 3" xfId="904" xr:uid="{00000000-0005-0000-0000-00006E030000}"/>
    <cellStyle name="Percent0" xfId="905" xr:uid="{00000000-0005-0000-0000-00006F030000}"/>
    <cellStyle name="Percent1" xfId="906" xr:uid="{00000000-0005-0000-0000-000070030000}"/>
    <cellStyle name="Percent2" xfId="907" xr:uid="{00000000-0005-0000-0000-000071030000}"/>
    <cellStyle name="PSChar" xfId="186" xr:uid="{00000000-0005-0000-0000-000072030000}"/>
    <cellStyle name="PSDate" xfId="187" xr:uid="{00000000-0005-0000-0000-000073030000}"/>
    <cellStyle name="PSDec" xfId="188" xr:uid="{00000000-0005-0000-0000-000074030000}"/>
    <cellStyle name="PSdesc" xfId="189" xr:uid="{00000000-0005-0000-0000-000075030000}"/>
    <cellStyle name="PSHeading" xfId="190" xr:uid="{00000000-0005-0000-0000-000076030000}"/>
    <cellStyle name="PSInt" xfId="191" xr:uid="{00000000-0005-0000-0000-000077030000}"/>
    <cellStyle name="PSSpacer" xfId="192" xr:uid="{00000000-0005-0000-0000-000078030000}"/>
    <cellStyle name="PStest" xfId="193" xr:uid="{00000000-0005-0000-0000-000079030000}"/>
    <cellStyle name="R00A" xfId="194" xr:uid="{00000000-0005-0000-0000-00007A030000}"/>
    <cellStyle name="R00B" xfId="195" xr:uid="{00000000-0005-0000-0000-00007B030000}"/>
    <cellStyle name="R00L" xfId="196" xr:uid="{00000000-0005-0000-0000-00007C030000}"/>
    <cellStyle name="R01A" xfId="197" xr:uid="{00000000-0005-0000-0000-00007D030000}"/>
    <cellStyle name="R01B" xfId="198" xr:uid="{00000000-0005-0000-0000-00007E030000}"/>
    <cellStyle name="R01B 2" xfId="908" xr:uid="{00000000-0005-0000-0000-00007F030000}"/>
    <cellStyle name="R01B 2 2" xfId="909" xr:uid="{00000000-0005-0000-0000-000080030000}"/>
    <cellStyle name="R01B 2 2 2" xfId="910" xr:uid="{00000000-0005-0000-0000-000081030000}"/>
    <cellStyle name="R01B 2 2 2 2" xfId="911" xr:uid="{00000000-0005-0000-0000-000082030000}"/>
    <cellStyle name="R01B 2 2 2 3" xfId="912" xr:uid="{00000000-0005-0000-0000-000083030000}"/>
    <cellStyle name="R01B 2 2 3" xfId="913" xr:uid="{00000000-0005-0000-0000-000084030000}"/>
    <cellStyle name="R01B 2 2 3 2" xfId="914" xr:uid="{00000000-0005-0000-0000-000085030000}"/>
    <cellStyle name="R01B 2 2 3 3" xfId="915" xr:uid="{00000000-0005-0000-0000-000086030000}"/>
    <cellStyle name="R01B 2 3" xfId="916" xr:uid="{00000000-0005-0000-0000-000087030000}"/>
    <cellStyle name="R01B 2 3 2" xfId="917" xr:uid="{00000000-0005-0000-0000-000088030000}"/>
    <cellStyle name="R01B 2 3 2 2" xfId="918" xr:uid="{00000000-0005-0000-0000-000089030000}"/>
    <cellStyle name="R01B 2 3 2 3" xfId="919" xr:uid="{00000000-0005-0000-0000-00008A030000}"/>
    <cellStyle name="R01B 2 3 3" xfId="920" xr:uid="{00000000-0005-0000-0000-00008B030000}"/>
    <cellStyle name="R01B 2 3 4" xfId="921" xr:uid="{00000000-0005-0000-0000-00008C030000}"/>
    <cellStyle name="R01B 2 4" xfId="922" xr:uid="{00000000-0005-0000-0000-00008D030000}"/>
    <cellStyle name="R01B 2 4 2" xfId="923" xr:uid="{00000000-0005-0000-0000-00008E030000}"/>
    <cellStyle name="R01B 2 4 3" xfId="924" xr:uid="{00000000-0005-0000-0000-00008F030000}"/>
    <cellStyle name="R01B 2 5" xfId="925" xr:uid="{00000000-0005-0000-0000-000090030000}"/>
    <cellStyle name="R01B 2 6" xfId="926" xr:uid="{00000000-0005-0000-0000-000091030000}"/>
    <cellStyle name="R01B 3" xfId="927" xr:uid="{00000000-0005-0000-0000-000092030000}"/>
    <cellStyle name="R01B 3 2" xfId="928" xr:uid="{00000000-0005-0000-0000-000093030000}"/>
    <cellStyle name="R01B 3 2 2" xfId="929" xr:uid="{00000000-0005-0000-0000-000094030000}"/>
    <cellStyle name="R01B 3 2 3" xfId="930" xr:uid="{00000000-0005-0000-0000-000095030000}"/>
    <cellStyle name="R01B 3 3" xfId="931" xr:uid="{00000000-0005-0000-0000-000096030000}"/>
    <cellStyle name="R01B 3 3 2" xfId="932" xr:uid="{00000000-0005-0000-0000-000097030000}"/>
    <cellStyle name="R01B 3 3 3" xfId="933" xr:uid="{00000000-0005-0000-0000-000098030000}"/>
    <cellStyle name="R01B 3 4" xfId="934" xr:uid="{00000000-0005-0000-0000-000099030000}"/>
    <cellStyle name="R01B 3 5" xfId="935" xr:uid="{00000000-0005-0000-0000-00009A030000}"/>
    <cellStyle name="R01B 4" xfId="936" xr:uid="{00000000-0005-0000-0000-00009B030000}"/>
    <cellStyle name="R01B 4 2" xfId="937" xr:uid="{00000000-0005-0000-0000-00009C030000}"/>
    <cellStyle name="R01B 4 2 2" xfId="938" xr:uid="{00000000-0005-0000-0000-00009D030000}"/>
    <cellStyle name="R01B 4 2 2 2" xfId="939" xr:uid="{00000000-0005-0000-0000-00009E030000}"/>
    <cellStyle name="R01B 4 2 2 3" xfId="940" xr:uid="{00000000-0005-0000-0000-00009F030000}"/>
    <cellStyle name="R01B 4 2 3" xfId="941" xr:uid="{00000000-0005-0000-0000-0000A0030000}"/>
    <cellStyle name="R01B 4 2 4" xfId="942" xr:uid="{00000000-0005-0000-0000-0000A1030000}"/>
    <cellStyle name="R01B 4 3" xfId="943" xr:uid="{00000000-0005-0000-0000-0000A2030000}"/>
    <cellStyle name="R01B 4 3 2" xfId="944" xr:uid="{00000000-0005-0000-0000-0000A3030000}"/>
    <cellStyle name="R01B 4 3 3" xfId="945" xr:uid="{00000000-0005-0000-0000-0000A4030000}"/>
    <cellStyle name="R01B 4 4" xfId="946" xr:uid="{00000000-0005-0000-0000-0000A5030000}"/>
    <cellStyle name="R01B 4 5" xfId="947" xr:uid="{00000000-0005-0000-0000-0000A6030000}"/>
    <cellStyle name="R01B 5" xfId="948" xr:uid="{00000000-0005-0000-0000-0000A7030000}"/>
    <cellStyle name="R01B 5 2" xfId="949" xr:uid="{00000000-0005-0000-0000-0000A8030000}"/>
    <cellStyle name="R01B 5 2 2" xfId="950" xr:uid="{00000000-0005-0000-0000-0000A9030000}"/>
    <cellStyle name="R01B 5 2 2 2" xfId="951" xr:uid="{00000000-0005-0000-0000-0000AA030000}"/>
    <cellStyle name="R01B 5 2 2 3" xfId="952" xr:uid="{00000000-0005-0000-0000-0000AB030000}"/>
    <cellStyle name="R01B 5 2 3" xfId="953" xr:uid="{00000000-0005-0000-0000-0000AC030000}"/>
    <cellStyle name="R01B 5 2 4" xfId="954" xr:uid="{00000000-0005-0000-0000-0000AD030000}"/>
    <cellStyle name="R01B 5 3" xfId="955" xr:uid="{00000000-0005-0000-0000-0000AE030000}"/>
    <cellStyle name="R01B 5 3 2" xfId="956" xr:uid="{00000000-0005-0000-0000-0000AF030000}"/>
    <cellStyle name="R01B 5 3 3" xfId="957" xr:uid="{00000000-0005-0000-0000-0000B0030000}"/>
    <cellStyle name="R01H" xfId="199" xr:uid="{00000000-0005-0000-0000-0000B1030000}"/>
    <cellStyle name="R01L" xfId="200" xr:uid="{00000000-0005-0000-0000-0000B2030000}"/>
    <cellStyle name="R02A" xfId="201" xr:uid="{00000000-0005-0000-0000-0000B3030000}"/>
    <cellStyle name="R02B" xfId="202" xr:uid="{00000000-0005-0000-0000-0000B4030000}"/>
    <cellStyle name="R02H" xfId="203" xr:uid="{00000000-0005-0000-0000-0000B5030000}"/>
    <cellStyle name="R02L" xfId="204" xr:uid="{00000000-0005-0000-0000-0000B6030000}"/>
    <cellStyle name="R03A" xfId="205" xr:uid="{00000000-0005-0000-0000-0000B7030000}"/>
    <cellStyle name="R03B" xfId="206" xr:uid="{00000000-0005-0000-0000-0000B8030000}"/>
    <cellStyle name="R03H" xfId="207" xr:uid="{00000000-0005-0000-0000-0000B9030000}"/>
    <cellStyle name="R03L" xfId="208" xr:uid="{00000000-0005-0000-0000-0000BA030000}"/>
    <cellStyle name="R04A" xfId="209" xr:uid="{00000000-0005-0000-0000-0000BB030000}"/>
    <cellStyle name="R04B" xfId="210" xr:uid="{00000000-0005-0000-0000-0000BC030000}"/>
    <cellStyle name="R04H" xfId="211" xr:uid="{00000000-0005-0000-0000-0000BD030000}"/>
    <cellStyle name="R04L" xfId="212" xr:uid="{00000000-0005-0000-0000-0000BE030000}"/>
    <cellStyle name="R05A" xfId="213" xr:uid="{00000000-0005-0000-0000-0000BF030000}"/>
    <cellStyle name="R05B" xfId="214" xr:uid="{00000000-0005-0000-0000-0000C0030000}"/>
    <cellStyle name="R05H" xfId="215" xr:uid="{00000000-0005-0000-0000-0000C1030000}"/>
    <cellStyle name="R05L" xfId="216" xr:uid="{00000000-0005-0000-0000-0000C2030000}"/>
    <cellStyle name="R06A" xfId="217" xr:uid="{00000000-0005-0000-0000-0000C3030000}"/>
    <cellStyle name="R06B" xfId="218" xr:uid="{00000000-0005-0000-0000-0000C4030000}"/>
    <cellStyle name="R06H" xfId="219" xr:uid="{00000000-0005-0000-0000-0000C5030000}"/>
    <cellStyle name="R06L" xfId="220" xr:uid="{00000000-0005-0000-0000-0000C6030000}"/>
    <cellStyle name="R07A" xfId="221" xr:uid="{00000000-0005-0000-0000-0000C7030000}"/>
    <cellStyle name="R07B" xfId="222" xr:uid="{00000000-0005-0000-0000-0000C8030000}"/>
    <cellStyle name="R07H" xfId="223" xr:uid="{00000000-0005-0000-0000-0000C9030000}"/>
    <cellStyle name="R07L" xfId="224" xr:uid="{00000000-0005-0000-0000-0000CA030000}"/>
    <cellStyle name="rborder" xfId="958" xr:uid="{00000000-0005-0000-0000-0000CB030000}"/>
    <cellStyle name="red" xfId="959" xr:uid="{00000000-0005-0000-0000-0000CC030000}"/>
    <cellStyle name="RevList" xfId="225" xr:uid="{00000000-0005-0000-0000-0000CD030000}"/>
    <cellStyle name="s_HardInc " xfId="960" xr:uid="{00000000-0005-0000-0000-0000CE030000}"/>
    <cellStyle name="SAPBEXchaText 2 10" xfId="961" xr:uid="{00000000-0005-0000-0000-0000CF030000}"/>
    <cellStyle name="SAPBEXchaText 2 10 2" xfId="962" xr:uid="{00000000-0005-0000-0000-0000D0030000}"/>
    <cellStyle name="SAPBEXchaText 2 10 2 2" xfId="963" xr:uid="{00000000-0005-0000-0000-0000D1030000}"/>
    <cellStyle name="SAPBEXchaText 2 10 2 2 2" xfId="964" xr:uid="{00000000-0005-0000-0000-0000D2030000}"/>
    <cellStyle name="SAPBEXchaText 2 10 2 2 3" xfId="965" xr:uid="{00000000-0005-0000-0000-0000D3030000}"/>
    <cellStyle name="SAPBEXchaText 2 10 2 3" xfId="966" xr:uid="{00000000-0005-0000-0000-0000D4030000}"/>
    <cellStyle name="SAPBEXchaText 2 10 2 3 2" xfId="967" xr:uid="{00000000-0005-0000-0000-0000D5030000}"/>
    <cellStyle name="SAPBEXchaText 2 10 2 3 3" xfId="968" xr:uid="{00000000-0005-0000-0000-0000D6030000}"/>
    <cellStyle name="SAPBEXchaText 2 10 2 4" xfId="969" xr:uid="{00000000-0005-0000-0000-0000D7030000}"/>
    <cellStyle name="SAPBEXchaText 2 10 2 4 2" xfId="970" xr:uid="{00000000-0005-0000-0000-0000D8030000}"/>
    <cellStyle name="SAPBEXchaText 2 10 2 4 3" xfId="971" xr:uid="{00000000-0005-0000-0000-0000D9030000}"/>
    <cellStyle name="SAPBEXchaText 2 10 3" xfId="972" xr:uid="{00000000-0005-0000-0000-0000DA030000}"/>
    <cellStyle name="SAPBEXchaText 2 10 3 2" xfId="973" xr:uid="{00000000-0005-0000-0000-0000DB030000}"/>
    <cellStyle name="SAPBEXchaText 2 10 3 2 2" xfId="974" xr:uid="{00000000-0005-0000-0000-0000DC030000}"/>
    <cellStyle name="SAPBEXchaText 2 10 3 2 3" xfId="975" xr:uid="{00000000-0005-0000-0000-0000DD030000}"/>
    <cellStyle name="SAPBEXchaText 2 10 3 3" xfId="976" xr:uid="{00000000-0005-0000-0000-0000DE030000}"/>
    <cellStyle name="SAPBEXchaText 2 10 3 3 2" xfId="977" xr:uid="{00000000-0005-0000-0000-0000DF030000}"/>
    <cellStyle name="SAPBEXchaText 2 10 3 3 3" xfId="978" xr:uid="{00000000-0005-0000-0000-0000E0030000}"/>
    <cellStyle name="SAPBEXchaText 2 10 3 4" xfId="979" xr:uid="{00000000-0005-0000-0000-0000E1030000}"/>
    <cellStyle name="SAPBEXchaText 2 10 3 4 2" xfId="980" xr:uid="{00000000-0005-0000-0000-0000E2030000}"/>
    <cellStyle name="SAPBEXchaText 2 10 3 4 3" xfId="981" xr:uid="{00000000-0005-0000-0000-0000E3030000}"/>
    <cellStyle name="SAPBEXchaText 2 10 4" xfId="982" xr:uid="{00000000-0005-0000-0000-0000E4030000}"/>
    <cellStyle name="SAPBEXchaText 2 10 4 2" xfId="983" xr:uid="{00000000-0005-0000-0000-0000E5030000}"/>
    <cellStyle name="SAPBEXchaText 2 10 4 3" xfId="984" xr:uid="{00000000-0005-0000-0000-0000E6030000}"/>
    <cellStyle name="SAPBEXchaText 2 10 5" xfId="985" xr:uid="{00000000-0005-0000-0000-0000E7030000}"/>
    <cellStyle name="SAPBEXchaText 2 10 5 2" xfId="986" xr:uid="{00000000-0005-0000-0000-0000E8030000}"/>
    <cellStyle name="SAPBEXchaText 2 10 5 3" xfId="987" xr:uid="{00000000-0005-0000-0000-0000E9030000}"/>
    <cellStyle name="SAPBEXchaText 2 10 6" xfId="988" xr:uid="{00000000-0005-0000-0000-0000EA030000}"/>
    <cellStyle name="SAPBEXchaText 2 10 6 2" xfId="989" xr:uid="{00000000-0005-0000-0000-0000EB030000}"/>
    <cellStyle name="SAPBEXchaText 2 10 6 3" xfId="990" xr:uid="{00000000-0005-0000-0000-0000EC030000}"/>
    <cellStyle name="SAPBEXstdItemX 2 10" xfId="991" xr:uid="{00000000-0005-0000-0000-0000ED030000}"/>
    <cellStyle name="SAPBEXstdItemX 2 10 2" xfId="992" xr:uid="{00000000-0005-0000-0000-0000EE030000}"/>
    <cellStyle name="SAPBEXstdItemX 2 10 2 2" xfId="993" xr:uid="{00000000-0005-0000-0000-0000EF030000}"/>
    <cellStyle name="SAPBEXstdItemX 2 10 2 2 2" xfId="994" xr:uid="{00000000-0005-0000-0000-0000F0030000}"/>
    <cellStyle name="SAPBEXstdItemX 2 10 2 2 3" xfId="995" xr:uid="{00000000-0005-0000-0000-0000F1030000}"/>
    <cellStyle name="SAPBEXstdItemX 2 10 2 3" xfId="996" xr:uid="{00000000-0005-0000-0000-0000F2030000}"/>
    <cellStyle name="SAPBEXstdItemX 2 10 2 3 2" xfId="997" xr:uid="{00000000-0005-0000-0000-0000F3030000}"/>
    <cellStyle name="SAPBEXstdItemX 2 10 2 3 3" xfId="998" xr:uid="{00000000-0005-0000-0000-0000F4030000}"/>
    <cellStyle name="SAPBEXstdItemX 2 10 2 4" xfId="999" xr:uid="{00000000-0005-0000-0000-0000F5030000}"/>
    <cellStyle name="SAPBEXstdItemX 2 10 2 4 2" xfId="1000" xr:uid="{00000000-0005-0000-0000-0000F6030000}"/>
    <cellStyle name="SAPBEXstdItemX 2 10 2 4 3" xfId="1001" xr:uid="{00000000-0005-0000-0000-0000F7030000}"/>
    <cellStyle name="SAPBEXstdItemX 2 10 3" xfId="1002" xr:uid="{00000000-0005-0000-0000-0000F8030000}"/>
    <cellStyle name="SAPBEXstdItemX 2 10 3 2" xfId="1003" xr:uid="{00000000-0005-0000-0000-0000F9030000}"/>
    <cellStyle name="SAPBEXstdItemX 2 10 3 2 2" xfId="1004" xr:uid="{00000000-0005-0000-0000-0000FA030000}"/>
    <cellStyle name="SAPBEXstdItemX 2 10 3 2 3" xfId="1005" xr:uid="{00000000-0005-0000-0000-0000FB030000}"/>
    <cellStyle name="SAPBEXstdItemX 2 10 3 3" xfId="1006" xr:uid="{00000000-0005-0000-0000-0000FC030000}"/>
    <cellStyle name="SAPBEXstdItemX 2 10 3 3 2" xfId="1007" xr:uid="{00000000-0005-0000-0000-0000FD030000}"/>
    <cellStyle name="SAPBEXstdItemX 2 10 3 3 3" xfId="1008" xr:uid="{00000000-0005-0000-0000-0000FE030000}"/>
    <cellStyle name="SAPBEXstdItemX 2 10 3 4" xfId="1009" xr:uid="{00000000-0005-0000-0000-0000FF030000}"/>
    <cellStyle name="SAPBEXstdItemX 2 10 3 4 2" xfId="1010" xr:uid="{00000000-0005-0000-0000-000000040000}"/>
    <cellStyle name="SAPBEXstdItemX 2 10 3 4 3" xfId="1011" xr:uid="{00000000-0005-0000-0000-000001040000}"/>
    <cellStyle name="SAPBEXstdItemX 2 10 4" xfId="1012" xr:uid="{00000000-0005-0000-0000-000002040000}"/>
    <cellStyle name="SAPBEXstdItemX 2 10 4 2" xfId="1013" xr:uid="{00000000-0005-0000-0000-000003040000}"/>
    <cellStyle name="SAPBEXstdItemX 2 10 4 3" xfId="1014" xr:uid="{00000000-0005-0000-0000-000004040000}"/>
    <cellStyle name="SAPBEXstdItemX 2 10 5" xfId="1015" xr:uid="{00000000-0005-0000-0000-000005040000}"/>
    <cellStyle name="SAPBEXstdItemX 2 10 5 2" xfId="1016" xr:uid="{00000000-0005-0000-0000-000006040000}"/>
    <cellStyle name="SAPBEXstdItemX 2 10 5 3" xfId="1017" xr:uid="{00000000-0005-0000-0000-000007040000}"/>
    <cellStyle name="SAPBEXstdItemX 2 10 6" xfId="1018" xr:uid="{00000000-0005-0000-0000-000008040000}"/>
    <cellStyle name="SAPBEXstdItemX 2 10 6 2" xfId="1019" xr:uid="{00000000-0005-0000-0000-000009040000}"/>
    <cellStyle name="SAPBEXstdItemX 2 10 6 3" xfId="1020" xr:uid="{00000000-0005-0000-0000-00000A040000}"/>
    <cellStyle name="SECTION" xfId="1021" xr:uid="{00000000-0005-0000-0000-00000B040000}"/>
    <cellStyle name="Subtotal" xfId="226" xr:uid="{00000000-0005-0000-0000-00000C040000}"/>
    <cellStyle name="System Defined" xfId="1022" xr:uid="{00000000-0005-0000-0000-00000D040000}"/>
    <cellStyle name="TableHeading" xfId="1023" xr:uid="{00000000-0005-0000-0000-00000E040000}"/>
    <cellStyle name="tb" xfId="1024" xr:uid="{00000000-0005-0000-0000-00000F040000}"/>
    <cellStyle name="tb 2" xfId="1025" xr:uid="{00000000-0005-0000-0000-000010040000}"/>
    <cellStyle name="tb 2 2" xfId="1026" xr:uid="{00000000-0005-0000-0000-000011040000}"/>
    <cellStyle name="tb 2 2 2" xfId="1027" xr:uid="{00000000-0005-0000-0000-000012040000}"/>
    <cellStyle name="tb 2 2 3" xfId="1028" xr:uid="{00000000-0005-0000-0000-000013040000}"/>
    <cellStyle name="tb 2 3" xfId="1029" xr:uid="{00000000-0005-0000-0000-000014040000}"/>
    <cellStyle name="tb 2 3 2" xfId="1030" xr:uid="{00000000-0005-0000-0000-000015040000}"/>
    <cellStyle name="tb 2 3 3" xfId="1031" xr:uid="{00000000-0005-0000-0000-000016040000}"/>
    <cellStyle name="tb 2 4" xfId="1032" xr:uid="{00000000-0005-0000-0000-000017040000}"/>
    <cellStyle name="tb 3" xfId="1033" xr:uid="{00000000-0005-0000-0000-000018040000}"/>
    <cellStyle name="tb 3 2" xfId="1034" xr:uid="{00000000-0005-0000-0000-000019040000}"/>
    <cellStyle name="tb 3 3" xfId="1035" xr:uid="{00000000-0005-0000-0000-00001A040000}"/>
    <cellStyle name="tb 4" xfId="1036" xr:uid="{00000000-0005-0000-0000-00001B040000}"/>
    <cellStyle name="tb 4 2" xfId="1037" xr:uid="{00000000-0005-0000-0000-00001C040000}"/>
    <cellStyle name="tb 4 3" xfId="1038" xr:uid="{00000000-0005-0000-0000-00001D040000}"/>
    <cellStyle name="tb 5" xfId="1039" xr:uid="{00000000-0005-0000-0000-00001E040000}"/>
    <cellStyle name="Tickmark" xfId="1040" xr:uid="{00000000-0005-0000-0000-00001F040000}"/>
    <cellStyle name="Title 2" xfId="227" xr:uid="{00000000-0005-0000-0000-000020040000}"/>
    <cellStyle name="top" xfId="1041" xr:uid="{00000000-0005-0000-0000-000021040000}"/>
    <cellStyle name="top 2" xfId="1042" xr:uid="{00000000-0005-0000-0000-000022040000}"/>
    <cellStyle name="Total 2" xfId="228" xr:uid="{00000000-0005-0000-0000-000023040000}"/>
    <cellStyle name="Total 3" xfId="229" xr:uid="{00000000-0005-0000-0000-000024040000}"/>
    <cellStyle name="Total 3 2" xfId="1043" xr:uid="{00000000-0005-0000-0000-000025040000}"/>
    <cellStyle name="Total 3 2 2" xfId="1044" xr:uid="{00000000-0005-0000-0000-000026040000}"/>
    <cellStyle name="Total 3 2 2 2" xfId="1045" xr:uid="{00000000-0005-0000-0000-000027040000}"/>
    <cellStyle name="Total 3 2 2 3" xfId="1046" xr:uid="{00000000-0005-0000-0000-000028040000}"/>
    <cellStyle name="Total 3 2 3" xfId="1047" xr:uid="{00000000-0005-0000-0000-000029040000}"/>
    <cellStyle name="Total 3 2 3 2" xfId="1048" xr:uid="{00000000-0005-0000-0000-00002A040000}"/>
    <cellStyle name="Total 3 2 3 3" xfId="1049" xr:uid="{00000000-0005-0000-0000-00002B040000}"/>
    <cellStyle name="Total 3 2 4" xfId="1050" xr:uid="{00000000-0005-0000-0000-00002C040000}"/>
    <cellStyle name="Total 3 2 4 2" xfId="1051" xr:uid="{00000000-0005-0000-0000-00002D040000}"/>
    <cellStyle name="Total 3 2 4 3" xfId="1052" xr:uid="{00000000-0005-0000-0000-00002E040000}"/>
    <cellStyle name="Total 3 3" xfId="1053" xr:uid="{00000000-0005-0000-0000-00002F040000}"/>
    <cellStyle name="Total 3 3 2" xfId="1054" xr:uid="{00000000-0005-0000-0000-000030040000}"/>
    <cellStyle name="Total 3 3 3" xfId="1055" xr:uid="{00000000-0005-0000-0000-000031040000}"/>
    <cellStyle name="Total 3 4" xfId="1056" xr:uid="{00000000-0005-0000-0000-000032040000}"/>
    <cellStyle name="Total 3 4 2" xfId="1057" xr:uid="{00000000-0005-0000-0000-000033040000}"/>
    <cellStyle name="Total 3 4 3" xfId="1058" xr:uid="{00000000-0005-0000-0000-000034040000}"/>
    <cellStyle name="Total 3 5" xfId="1059" xr:uid="{00000000-0005-0000-0000-000035040000}"/>
    <cellStyle name="Total 3 5 2" xfId="1060" xr:uid="{00000000-0005-0000-0000-000036040000}"/>
    <cellStyle name="Total 3 5 3" xfId="1061" xr:uid="{00000000-0005-0000-0000-000037040000}"/>
    <cellStyle name="w" xfId="1062" xr:uid="{00000000-0005-0000-0000-000038040000}"/>
    <cellStyle name="Warning Text 2" xfId="230" xr:uid="{00000000-0005-0000-0000-000039040000}"/>
    <cellStyle name="XComma" xfId="1063" xr:uid="{00000000-0005-0000-0000-00003A040000}"/>
    <cellStyle name="XComma 0.0" xfId="1064" xr:uid="{00000000-0005-0000-0000-00003B040000}"/>
    <cellStyle name="XComma 0.00" xfId="1065" xr:uid="{00000000-0005-0000-0000-00003C040000}"/>
    <cellStyle name="XComma 0.000" xfId="1066" xr:uid="{00000000-0005-0000-0000-00003D040000}"/>
    <cellStyle name="XCurrency" xfId="1067" xr:uid="{00000000-0005-0000-0000-00003E040000}"/>
    <cellStyle name="XCurrency 0.0" xfId="1068" xr:uid="{00000000-0005-0000-0000-00003F040000}"/>
    <cellStyle name="XCurrency 0.00" xfId="1069" xr:uid="{00000000-0005-0000-0000-000040040000}"/>
    <cellStyle name="XCurrency 0.000" xfId="1070" xr:uid="{00000000-0005-0000-0000-000041040000}"/>
    <cellStyle name="yra" xfId="1071" xr:uid="{00000000-0005-0000-0000-000042040000}"/>
    <cellStyle name="yrActual" xfId="1072" xr:uid="{00000000-0005-0000-0000-000043040000}"/>
    <cellStyle name="yre" xfId="1073" xr:uid="{00000000-0005-0000-0000-000044040000}"/>
    <cellStyle name="yrExpect" xfId="1074" xr:uid="{00000000-0005-0000-0000-000045040000}"/>
    <cellStyle name="yrExpect 2" xfId="1075" xr:uid="{00000000-0005-0000-0000-000046040000}"/>
    <cellStyle name="yrExpect 2 2" xfId="1076" xr:uid="{00000000-0005-0000-0000-000047040000}"/>
    <cellStyle name="yrExpect 2 2 2" xfId="1077" xr:uid="{00000000-0005-0000-0000-000048040000}"/>
    <cellStyle name="yrExpect 2 2 3" xfId="1078" xr:uid="{00000000-0005-0000-0000-000049040000}"/>
    <cellStyle name="yrExpect 2 3" xfId="1079" xr:uid="{00000000-0005-0000-0000-00004A040000}"/>
    <cellStyle name="yrExpect 2 3 2" xfId="1080" xr:uid="{00000000-0005-0000-0000-00004B040000}"/>
    <cellStyle name="yrExpect 2 3 3" xfId="1081" xr:uid="{00000000-0005-0000-0000-00004C040000}"/>
    <cellStyle name="yrExpect 2 4" xfId="1082" xr:uid="{00000000-0005-0000-0000-00004D040000}"/>
    <cellStyle name="yrExpect 3" xfId="1083" xr:uid="{00000000-0005-0000-0000-00004E040000}"/>
    <cellStyle name="yrExpect 3 2" xfId="1084" xr:uid="{00000000-0005-0000-0000-00004F040000}"/>
    <cellStyle name="yrExpect 3 3" xfId="1085" xr:uid="{00000000-0005-0000-0000-000050040000}"/>
    <cellStyle name="yrExpect 4" xfId="1086" xr:uid="{00000000-0005-0000-0000-000051040000}"/>
    <cellStyle name="yrExpect 4 2" xfId="1087" xr:uid="{00000000-0005-0000-0000-000052040000}"/>
    <cellStyle name="yrExpect 4 3" xfId="1088" xr:uid="{00000000-0005-0000-0000-000053040000}"/>
    <cellStyle name="yrExpect 5" xfId="1089" xr:uid="{00000000-0005-0000-0000-00005404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EC\Network\MEC\RATECASE\FERC\2020%20FERC\Estimate\ADIT%20Projected%20(2021)_Novemb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52348\AppData\Local\Microsoft\Windows\INetCache\Content.Outlook\I9OU6E1R\ADIT%20Projected%20(2022)_Sep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mecwss/DLN/DLN/miso%20market/attachment%20o/2021/ADIT%20Projected%20(2021)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 k tax"/>
      <sheetName val="tax"/>
      <sheetName val="Excess ADIT Worksheet"/>
      <sheetName val="Exc-Def ADIT (Transmission Only"/>
      <sheetName val="5  ADIT Summary"/>
      <sheetName val="MEC Rate Base End-of-period"/>
      <sheetName val="Scenario Info"/>
      <sheetName val="Total Company"/>
      <sheetName val="ATL Elec"/>
      <sheetName val="General Plan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 k tax"/>
      <sheetName val="tax 2"/>
      <sheetName val="EADIT Worksheet"/>
      <sheetName val="Summ EADIT_Equity AFUDC "/>
      <sheetName val="5  ADIT Summary"/>
      <sheetName val="MEC Rate Base End-of-period"/>
      <sheetName val="Scenario Info"/>
      <sheetName val="Total Company"/>
      <sheetName val="ATL Elec"/>
      <sheetName val="General Plan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 k tax"/>
      <sheetName val="tax"/>
      <sheetName val="Excess ADIT Worksheet"/>
      <sheetName val="Exc-Def ADIT (Transmission Only"/>
      <sheetName val="5  ADIT Summary"/>
      <sheetName val="MEC Rate Base End-of-period"/>
      <sheetName val="Scenario Info"/>
      <sheetName val="Total Company"/>
      <sheetName val="ATL Elec"/>
      <sheetName val="General P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5"/>
  <sheetViews>
    <sheetView tabSelected="1" zoomScale="80" zoomScaleNormal="80" zoomScaleSheetLayoutView="75" workbookViewId="0">
      <selection activeCell="G30" sqref="G30"/>
    </sheetView>
  </sheetViews>
  <sheetFormatPr defaultRowHeight="15.75"/>
  <cols>
    <col min="1" max="1" width="4.21875" style="171" customWidth="1"/>
    <col min="2" max="2" width="42.6640625" style="171" customWidth="1"/>
    <col min="3" max="3" width="31.6640625" style="171" customWidth="1"/>
    <col min="4" max="4" width="12.77734375" style="171" customWidth="1"/>
    <col min="5" max="5" width="4.77734375" style="171" customWidth="1"/>
    <col min="6" max="6" width="6.6640625" style="171" customWidth="1"/>
    <col min="7" max="7" width="10.6640625" style="171" customWidth="1"/>
    <col min="8" max="8" width="3.6640625" style="171" customWidth="1"/>
    <col min="9" max="9" width="12.44140625" style="171" customWidth="1"/>
    <col min="10" max="10" width="1.44140625" style="171" customWidth="1"/>
    <col min="11" max="11" width="10" style="171" customWidth="1"/>
    <col min="12" max="12" width="8.88671875" style="171"/>
    <col min="13" max="14" width="10.88671875" style="171" customWidth="1"/>
    <col min="15" max="16" width="8.88671875" style="171"/>
    <col min="17" max="17" width="10.33203125" style="171" customWidth="1"/>
    <col min="18" max="18" width="8.88671875" style="171"/>
    <col min="19" max="19" width="10.21875" style="171" customWidth="1"/>
    <col min="20" max="16384" width="8.88671875" style="171"/>
  </cols>
  <sheetData>
    <row r="1" spans="1:16">
      <c r="B1" s="249"/>
      <c r="C1" s="249"/>
      <c r="D1" s="150"/>
      <c r="E1" s="249"/>
      <c r="F1" s="249"/>
      <c r="G1" s="454"/>
      <c r="H1" s="459"/>
      <c r="I1" s="459"/>
      <c r="J1" s="459"/>
      <c r="K1" s="459"/>
      <c r="M1" s="253"/>
      <c r="N1" s="253"/>
      <c r="O1" s="253"/>
      <c r="P1" s="253"/>
    </row>
    <row r="2" spans="1:16">
      <c r="B2" s="249"/>
      <c r="C2" s="249"/>
      <c r="D2" s="150"/>
      <c r="E2" s="249"/>
      <c r="F2" s="249"/>
      <c r="G2" s="454"/>
      <c r="H2" s="454"/>
      <c r="I2" s="454"/>
      <c r="J2" s="454"/>
      <c r="K2" s="454"/>
      <c r="M2" s="253"/>
      <c r="N2" s="253"/>
      <c r="O2" s="253"/>
      <c r="P2" s="253"/>
    </row>
    <row r="3" spans="1:16">
      <c r="B3" s="249"/>
      <c r="C3" s="249"/>
      <c r="D3" s="150"/>
      <c r="E3" s="249"/>
      <c r="F3" s="249"/>
      <c r="G3" s="249"/>
      <c r="H3" s="1"/>
      <c r="I3" s="250"/>
      <c r="J3" s="250"/>
      <c r="K3" s="254" t="s">
        <v>745</v>
      </c>
      <c r="M3" s="253"/>
      <c r="N3" s="253"/>
      <c r="O3" s="253"/>
      <c r="P3" s="253"/>
    </row>
    <row r="4" spans="1:16">
      <c r="B4" s="249"/>
      <c r="C4" s="249"/>
      <c r="D4" s="150"/>
      <c r="E4" s="249"/>
      <c r="F4" s="249"/>
      <c r="G4" s="249"/>
      <c r="H4" s="1"/>
      <c r="I4" s="454" t="s">
        <v>507</v>
      </c>
      <c r="J4" s="454"/>
      <c r="K4" s="454"/>
      <c r="M4" s="255"/>
      <c r="N4" s="253"/>
      <c r="O4" s="253"/>
      <c r="P4" s="253"/>
    </row>
    <row r="5" spans="1:16">
      <c r="B5" s="249"/>
      <c r="C5" s="249"/>
      <c r="D5" s="150"/>
      <c r="E5" s="249"/>
      <c r="F5" s="249"/>
      <c r="G5" s="249"/>
      <c r="H5" s="1"/>
      <c r="I5" s="1"/>
      <c r="J5" s="1"/>
      <c r="K5" s="250"/>
    </row>
    <row r="6" spans="1:16" ht="33" customHeight="1">
      <c r="B6" s="249"/>
      <c r="C6" s="249"/>
      <c r="D6" s="150"/>
      <c r="E6" s="249"/>
      <c r="F6" s="249"/>
      <c r="G6" s="249"/>
      <c r="H6" s="1"/>
      <c r="I6" s="1"/>
      <c r="J6" s="1"/>
      <c r="K6" s="1"/>
    </row>
    <row r="7" spans="1:16">
      <c r="B7" s="249" t="s">
        <v>0</v>
      </c>
      <c r="C7" s="249"/>
      <c r="D7" s="150" t="s">
        <v>260</v>
      </c>
      <c r="E7" s="249"/>
      <c r="F7" s="249"/>
      <c r="G7" s="249"/>
      <c r="H7" s="1"/>
      <c r="J7" s="1"/>
      <c r="K7" s="250" t="s">
        <v>738</v>
      </c>
      <c r="M7" s="237"/>
    </row>
    <row r="8" spans="1:16">
      <c r="B8" s="249"/>
      <c r="C8" s="4" t="s">
        <v>2</v>
      </c>
      <c r="D8" s="4" t="s">
        <v>261</v>
      </c>
      <c r="E8" s="4"/>
      <c r="F8" s="4"/>
      <c r="G8" s="4"/>
      <c r="H8" s="1"/>
      <c r="I8" s="1"/>
      <c r="J8" s="1"/>
      <c r="K8" s="1"/>
    </row>
    <row r="9" spans="1:16">
      <c r="B9" s="1"/>
      <c r="C9" s="1"/>
      <c r="D9" s="1"/>
      <c r="E9" s="1"/>
      <c r="F9" s="1"/>
      <c r="G9" s="1"/>
      <c r="H9" s="1"/>
      <c r="I9" s="1"/>
      <c r="J9" s="1"/>
      <c r="K9" s="1"/>
    </row>
    <row r="10" spans="1:16">
      <c r="A10" s="8"/>
      <c r="B10" s="1"/>
      <c r="C10" s="1"/>
      <c r="D10" s="183" t="s">
        <v>279</v>
      </c>
      <c r="E10" s="1"/>
      <c r="F10" s="1"/>
      <c r="G10" s="1"/>
      <c r="H10" s="1"/>
      <c r="I10" s="1"/>
      <c r="J10" s="1"/>
      <c r="K10" s="1"/>
    </row>
    <row r="11" spans="1:16">
      <c r="A11" s="8"/>
      <c r="B11" s="1"/>
      <c r="C11" s="1"/>
      <c r="D11" s="183"/>
      <c r="E11" s="1"/>
      <c r="F11" s="1"/>
      <c r="G11" s="1"/>
      <c r="H11" s="1"/>
      <c r="I11" s="1"/>
      <c r="J11" s="1"/>
      <c r="K11" s="1"/>
    </row>
    <row r="12" spans="1:16">
      <c r="A12" s="8" t="s">
        <v>4</v>
      </c>
      <c r="B12" s="1"/>
      <c r="C12" s="1"/>
      <c r="D12" s="183"/>
      <c r="E12" s="1"/>
      <c r="F12" s="1"/>
      <c r="G12" s="1"/>
      <c r="H12" s="1"/>
      <c r="I12" s="8" t="s">
        <v>5</v>
      </c>
      <c r="J12" s="1"/>
      <c r="K12" s="1"/>
    </row>
    <row r="13" spans="1:16" ht="16.5" thickBot="1">
      <c r="A13" s="256" t="s">
        <v>6</v>
      </c>
      <c r="B13" s="1"/>
      <c r="C13" s="1"/>
      <c r="D13" s="1"/>
      <c r="E13" s="1"/>
      <c r="F13" s="1"/>
      <c r="G13" s="1"/>
      <c r="H13" s="1"/>
      <c r="I13" s="256" t="s">
        <v>7</v>
      </c>
      <c r="J13" s="1"/>
      <c r="K13" s="1"/>
    </row>
    <row r="14" spans="1:16">
      <c r="A14" s="8">
        <v>1</v>
      </c>
      <c r="B14" s="1" t="s">
        <v>268</v>
      </c>
      <c r="C14" s="1"/>
      <c r="D14" s="257"/>
      <c r="E14" s="1"/>
      <c r="F14" s="1"/>
      <c r="G14" s="1"/>
      <c r="H14" s="1"/>
      <c r="I14" s="168">
        <f>+I221</f>
        <v>193512858.54203659</v>
      </c>
      <c r="J14" s="1"/>
      <c r="K14" s="1"/>
    </row>
    <row r="15" spans="1:16">
      <c r="A15" s="8"/>
      <c r="B15" s="1"/>
      <c r="C15" s="1"/>
      <c r="D15" s="1"/>
      <c r="E15" s="1"/>
      <c r="F15" s="1"/>
      <c r="G15" s="1"/>
      <c r="H15" s="1"/>
      <c r="I15" s="257"/>
      <c r="J15" s="1"/>
      <c r="K15" s="1"/>
    </row>
    <row r="16" spans="1:16" ht="16.5" thickBot="1">
      <c r="A16" s="8" t="s">
        <v>2</v>
      </c>
      <c r="B16" s="249" t="s">
        <v>8</v>
      </c>
      <c r="C16" s="4" t="s">
        <v>184</v>
      </c>
      <c r="D16" s="256" t="s">
        <v>9</v>
      </c>
      <c r="E16" s="4"/>
      <c r="F16" s="258" t="s">
        <v>10</v>
      </c>
      <c r="G16" s="258"/>
      <c r="H16" s="1"/>
      <c r="I16" s="257"/>
      <c r="J16" s="1"/>
      <c r="K16" s="1"/>
    </row>
    <row r="17" spans="1:11">
      <c r="A17" s="8">
        <v>2</v>
      </c>
      <c r="B17" s="249" t="s">
        <v>12</v>
      </c>
      <c r="C17" s="4" t="s">
        <v>152</v>
      </c>
      <c r="D17" s="7">
        <f>I294</f>
        <v>292000</v>
      </c>
      <c r="E17" s="4"/>
      <c r="F17" s="4" t="s">
        <v>11</v>
      </c>
      <c r="G17" s="204">
        <f>I245</f>
        <v>1</v>
      </c>
      <c r="H17" s="4"/>
      <c r="I17" s="7">
        <f>+G17*D17</f>
        <v>292000</v>
      </c>
      <c r="J17" s="1"/>
      <c r="K17" s="1"/>
    </row>
    <row r="18" spans="1:11">
      <c r="A18" s="8">
        <v>3</v>
      </c>
      <c r="B18" s="249" t="s">
        <v>203</v>
      </c>
      <c r="C18" s="4" t="s">
        <v>153</v>
      </c>
      <c r="D18" s="7">
        <f>I301</f>
        <v>33401598</v>
      </c>
      <c r="E18" s="4"/>
      <c r="F18" s="7" t="str">
        <f t="shared" ref="F18:G20" si="0">+F17</f>
        <v>TP</v>
      </c>
      <c r="G18" s="204">
        <f t="shared" si="0"/>
        <v>1</v>
      </c>
      <c r="H18" s="4"/>
      <c r="I18" s="7">
        <f>+G18*D18</f>
        <v>33401598</v>
      </c>
      <c r="J18" s="1"/>
      <c r="K18" s="1"/>
    </row>
    <row r="19" spans="1:11">
      <c r="A19" s="8">
        <v>4</v>
      </c>
      <c r="B19" s="169" t="s">
        <v>142</v>
      </c>
      <c r="C19" s="4"/>
      <c r="D19" s="4">
        <v>0</v>
      </c>
      <c r="E19" s="4"/>
      <c r="F19" s="7" t="str">
        <f t="shared" si="0"/>
        <v>TP</v>
      </c>
      <c r="G19" s="204">
        <f t="shared" si="0"/>
        <v>1</v>
      </c>
      <c r="H19" s="4"/>
      <c r="I19" s="7">
        <f>+G19*D19</f>
        <v>0</v>
      </c>
      <c r="J19" s="1"/>
      <c r="K19" s="1"/>
    </row>
    <row r="20" spans="1:11" ht="16.5" thickBot="1">
      <c r="A20" s="8">
        <v>5</v>
      </c>
      <c r="B20" s="169" t="s">
        <v>143</v>
      </c>
      <c r="C20" s="4"/>
      <c r="D20" s="4">
        <v>0</v>
      </c>
      <c r="E20" s="4"/>
      <c r="F20" s="7" t="str">
        <f t="shared" si="0"/>
        <v>TP</v>
      </c>
      <c r="G20" s="204">
        <f t="shared" si="0"/>
        <v>1</v>
      </c>
      <c r="H20" s="4"/>
      <c r="I20" s="259">
        <f>+G20*D20</f>
        <v>0</v>
      </c>
      <c r="J20" s="1"/>
      <c r="K20" s="1"/>
    </row>
    <row r="21" spans="1:11">
      <c r="A21" s="8">
        <v>6</v>
      </c>
      <c r="B21" s="249" t="s">
        <v>139</v>
      </c>
      <c r="C21" s="1"/>
      <c r="D21" s="260" t="s">
        <v>2</v>
      </c>
      <c r="E21" s="4"/>
      <c r="F21" s="4"/>
      <c r="G21" s="261"/>
      <c r="H21" s="4"/>
      <c r="I21" s="7">
        <f>SUM(I17:I20)</f>
        <v>33693598</v>
      </c>
      <c r="J21" s="1"/>
      <c r="K21" s="1"/>
    </row>
    <row r="22" spans="1:11">
      <c r="A22" s="8"/>
      <c r="B22" s="249"/>
      <c r="C22" s="1"/>
      <c r="I22" s="4"/>
      <c r="J22" s="1"/>
      <c r="K22" s="1"/>
    </row>
    <row r="23" spans="1:11">
      <c r="A23" s="8" t="s">
        <v>330</v>
      </c>
      <c r="B23" s="249" t="s">
        <v>323</v>
      </c>
      <c r="C23" s="1"/>
      <c r="I23" s="4">
        <f>'2020 Attach O True-Up'!G9</f>
        <v>108828935</v>
      </c>
      <c r="J23" s="1"/>
      <c r="K23" s="1"/>
    </row>
    <row r="24" spans="1:11" ht="16.5" thickBot="1">
      <c r="A24" s="8" t="s">
        <v>331</v>
      </c>
      <c r="B24" s="249" t="s">
        <v>324</v>
      </c>
      <c r="C24" s="1" t="s">
        <v>325</v>
      </c>
      <c r="I24" s="262">
        <f>'2020 Attach O True-Up'!G10</f>
        <v>117663209</v>
      </c>
      <c r="J24" s="1"/>
      <c r="K24" s="1"/>
    </row>
    <row r="25" spans="1:11">
      <c r="A25" s="8" t="s">
        <v>332</v>
      </c>
      <c r="B25" s="249" t="s">
        <v>326</v>
      </c>
      <c r="C25" s="1" t="s">
        <v>327</v>
      </c>
      <c r="I25" s="7">
        <f>+I23-I24</f>
        <v>-8834274</v>
      </c>
      <c r="J25" s="1"/>
      <c r="K25" s="1"/>
    </row>
    <row r="26" spans="1:11">
      <c r="A26" s="8" t="s">
        <v>333</v>
      </c>
      <c r="B26" s="249" t="s">
        <v>328</v>
      </c>
      <c r="C26" s="1" t="s">
        <v>436</v>
      </c>
      <c r="I26" s="4">
        <f>D377</f>
        <v>2295953.0171818999</v>
      </c>
      <c r="J26" s="1"/>
      <c r="K26" s="1"/>
    </row>
    <row r="27" spans="1:11" ht="16.5" thickBot="1">
      <c r="A27" s="8" t="s">
        <v>334</v>
      </c>
      <c r="B27" s="249" t="s">
        <v>329</v>
      </c>
      <c r="C27" s="1"/>
      <c r="I27" s="262">
        <f>'2020 Attach O True-Up'!G33</f>
        <v>-448719</v>
      </c>
      <c r="J27" s="1"/>
      <c r="K27" s="1"/>
    </row>
    <row r="28" spans="1:11">
      <c r="A28" s="8"/>
      <c r="B28" s="249"/>
      <c r="C28" s="1"/>
      <c r="I28" s="4"/>
      <c r="J28" s="1"/>
      <c r="K28" s="1"/>
    </row>
    <row r="29" spans="1:11">
      <c r="A29" s="8" t="s">
        <v>666</v>
      </c>
      <c r="B29" s="249" t="s">
        <v>667</v>
      </c>
      <c r="C29" s="1"/>
      <c r="I29" s="4">
        <v>0</v>
      </c>
      <c r="J29" s="1"/>
      <c r="K29" s="1"/>
    </row>
    <row r="30" spans="1:11" ht="16.5" thickBot="1">
      <c r="A30" s="8" t="s">
        <v>668</v>
      </c>
      <c r="B30" s="249" t="s">
        <v>669</v>
      </c>
      <c r="C30" s="1"/>
      <c r="I30" s="262">
        <v>0</v>
      </c>
      <c r="J30" s="1"/>
      <c r="K30" s="1"/>
    </row>
    <row r="31" spans="1:11">
      <c r="A31" s="8" t="s">
        <v>670</v>
      </c>
      <c r="B31" s="249" t="s">
        <v>671</v>
      </c>
      <c r="C31" s="1"/>
      <c r="I31" s="4">
        <f>I29+I30</f>
        <v>0</v>
      </c>
      <c r="J31" s="1"/>
      <c r="K31" s="1"/>
    </row>
    <row r="32" spans="1:11">
      <c r="A32" s="8"/>
      <c r="B32" s="249"/>
      <c r="C32" s="1"/>
      <c r="I32" s="4"/>
      <c r="J32" s="1"/>
      <c r="K32" s="1"/>
    </row>
    <row r="33" spans="1:11">
      <c r="A33" s="8" t="s">
        <v>306</v>
      </c>
      <c r="B33" s="249" t="s">
        <v>13</v>
      </c>
      <c r="C33" s="1" t="s">
        <v>708</v>
      </c>
      <c r="D33" s="260"/>
      <c r="E33" s="4"/>
      <c r="F33" s="4"/>
      <c r="G33" s="4"/>
      <c r="H33" s="4"/>
      <c r="I33" s="263">
        <f>+I14-I21+I25+I26+I27+I31</f>
        <v>152832220.5592185</v>
      </c>
      <c r="J33" s="1"/>
      <c r="K33" s="1"/>
    </row>
    <row r="34" spans="1:11">
      <c r="A34" s="8" t="s">
        <v>307</v>
      </c>
      <c r="B34" s="249" t="s">
        <v>308</v>
      </c>
      <c r="C34" s="1"/>
      <c r="D34" s="260"/>
      <c r="E34" s="4"/>
      <c r="F34" s="4"/>
      <c r="G34" s="4"/>
      <c r="H34" s="4"/>
      <c r="I34" s="264">
        <v>0</v>
      </c>
      <c r="J34" s="1"/>
      <c r="K34" s="1"/>
    </row>
    <row r="35" spans="1:11">
      <c r="A35" s="8" t="s">
        <v>309</v>
      </c>
      <c r="B35" s="249" t="s">
        <v>310</v>
      </c>
      <c r="C35" s="1"/>
      <c r="D35" s="260"/>
      <c r="E35" s="4"/>
      <c r="F35" s="4"/>
      <c r="G35" s="4"/>
      <c r="H35" s="4"/>
      <c r="I35" s="264">
        <v>0</v>
      </c>
      <c r="J35" s="1"/>
      <c r="K35" s="1"/>
    </row>
    <row r="36" spans="1:11">
      <c r="A36" s="8" t="s">
        <v>311</v>
      </c>
      <c r="B36" s="249" t="s">
        <v>312</v>
      </c>
      <c r="C36" s="1"/>
      <c r="D36" s="260"/>
      <c r="E36" s="4"/>
      <c r="F36" s="4"/>
      <c r="G36" s="4"/>
      <c r="H36" s="4"/>
      <c r="I36" s="264">
        <v>0</v>
      </c>
      <c r="J36" s="1"/>
      <c r="K36" s="1"/>
    </row>
    <row r="37" spans="1:11">
      <c r="A37" s="8" t="s">
        <v>313</v>
      </c>
      <c r="B37" s="249" t="s">
        <v>314</v>
      </c>
      <c r="C37" s="1"/>
      <c r="D37" s="260"/>
      <c r="E37" s="4"/>
      <c r="F37" s="4"/>
      <c r="G37" s="4"/>
      <c r="H37" s="4"/>
      <c r="I37" s="264">
        <v>0</v>
      </c>
      <c r="J37" s="1"/>
      <c r="K37" s="1"/>
    </row>
    <row r="38" spans="1:11" ht="16.5" thickBot="1">
      <c r="A38" s="8" t="s">
        <v>315</v>
      </c>
      <c r="B38" s="249" t="s">
        <v>316</v>
      </c>
      <c r="C38" s="1"/>
      <c r="D38" s="260"/>
      <c r="E38" s="4"/>
      <c r="F38" s="4"/>
      <c r="G38" s="4"/>
      <c r="H38" s="4"/>
      <c r="I38" s="265">
        <v>0</v>
      </c>
      <c r="J38" s="1"/>
      <c r="K38" s="1"/>
    </row>
    <row r="39" spans="1:11">
      <c r="A39" s="8">
        <v>7</v>
      </c>
      <c r="B39" s="249" t="s">
        <v>317</v>
      </c>
      <c r="C39" s="1" t="s">
        <v>587</v>
      </c>
      <c r="D39" s="260"/>
      <c r="E39" s="4"/>
      <c r="F39" s="4"/>
      <c r="G39" s="4"/>
      <c r="H39" s="4"/>
      <c r="I39" s="263">
        <f>SUM(I33:I38)</f>
        <v>152832220.5592185</v>
      </c>
      <c r="J39" s="1"/>
      <c r="K39" s="1"/>
    </row>
    <row r="40" spans="1:11">
      <c r="A40" s="8"/>
      <c r="B40" s="249"/>
      <c r="C40" s="1"/>
      <c r="D40" s="260"/>
      <c r="E40" s="4"/>
      <c r="F40" s="4"/>
      <c r="G40" s="4"/>
      <c r="H40" s="4"/>
      <c r="I40" s="264"/>
      <c r="J40" s="1"/>
      <c r="K40" s="1"/>
    </row>
    <row r="41" spans="1:11">
      <c r="A41" s="8"/>
      <c r="C41" s="1"/>
      <c r="D41" s="260"/>
      <c r="E41" s="4"/>
      <c r="F41" s="4"/>
      <c r="G41" s="4"/>
      <c r="H41" s="4"/>
      <c r="J41" s="1"/>
      <c r="K41" s="1"/>
    </row>
    <row r="42" spans="1:11">
      <c r="A42" s="8"/>
      <c r="B42" s="249" t="s">
        <v>14</v>
      </c>
      <c r="C42" s="1"/>
      <c r="D42" s="257"/>
      <c r="E42" s="1"/>
      <c r="F42" s="1"/>
      <c r="G42" s="1"/>
      <c r="H42" s="1"/>
      <c r="I42" s="257"/>
      <c r="J42" s="1"/>
      <c r="K42" s="1"/>
    </row>
    <row r="43" spans="1:11">
      <c r="A43" s="8">
        <v>8</v>
      </c>
      <c r="B43" s="249" t="s">
        <v>15</v>
      </c>
      <c r="D43" s="257"/>
      <c r="E43" s="1"/>
      <c r="F43" s="1"/>
      <c r="G43" s="1" t="s">
        <v>16</v>
      </c>
      <c r="H43" s="1"/>
      <c r="I43" s="257">
        <f>Divisor!C24</f>
        <v>4391583.333333333</v>
      </c>
      <c r="J43" s="1"/>
      <c r="K43" s="1"/>
    </row>
    <row r="44" spans="1:11">
      <c r="A44" s="8">
        <v>9</v>
      </c>
      <c r="B44" s="249" t="s">
        <v>154</v>
      </c>
      <c r="C44" s="4"/>
      <c r="D44" s="4"/>
      <c r="E44" s="4"/>
      <c r="F44" s="4"/>
      <c r="G44" s="4" t="s">
        <v>17</v>
      </c>
      <c r="H44" s="4"/>
      <c r="I44" s="257">
        <v>0</v>
      </c>
      <c r="J44" s="1"/>
      <c r="K44" s="1"/>
    </row>
    <row r="45" spans="1:11">
      <c r="A45" s="8">
        <v>10</v>
      </c>
      <c r="B45" s="169" t="s">
        <v>155</v>
      </c>
      <c r="C45" s="1"/>
      <c r="D45" s="1"/>
      <c r="E45" s="1"/>
      <c r="G45" s="1" t="s">
        <v>18</v>
      </c>
      <c r="H45" s="1"/>
      <c r="I45" s="257">
        <f>Divisor!E24</f>
        <v>95151</v>
      </c>
      <c r="J45" s="1"/>
      <c r="K45" s="1"/>
    </row>
    <row r="46" spans="1:11">
      <c r="A46" s="8">
        <v>11</v>
      </c>
      <c r="B46" s="249" t="s">
        <v>144</v>
      </c>
      <c r="C46" s="1"/>
      <c r="D46" s="1"/>
      <c r="E46" s="1"/>
      <c r="G46" s="1" t="s">
        <v>19</v>
      </c>
      <c r="H46" s="1"/>
      <c r="I46" s="169">
        <v>0</v>
      </c>
      <c r="J46" s="1"/>
      <c r="K46" s="1"/>
    </row>
    <row r="47" spans="1:11">
      <c r="A47" s="8">
        <v>12</v>
      </c>
      <c r="B47" s="169" t="s">
        <v>138</v>
      </c>
      <c r="C47" s="1"/>
      <c r="D47" s="1"/>
      <c r="E47" s="1"/>
      <c r="F47" s="1"/>
      <c r="G47" s="1"/>
      <c r="H47" s="1"/>
      <c r="I47" s="169">
        <v>0</v>
      </c>
      <c r="J47" s="1"/>
      <c r="K47" s="1"/>
    </row>
    <row r="48" spans="1:11">
      <c r="A48" s="8">
        <v>13</v>
      </c>
      <c r="B48" s="169" t="s">
        <v>235</v>
      </c>
      <c r="C48" s="1"/>
      <c r="D48" s="1"/>
      <c r="E48" s="1"/>
      <c r="F48" s="1"/>
      <c r="G48" s="1"/>
      <c r="H48" s="1"/>
      <c r="I48" s="169">
        <v>0</v>
      </c>
      <c r="J48" s="1"/>
      <c r="K48" s="1"/>
    </row>
    <row r="49" spans="1:11" ht="16.5" thickBot="1">
      <c r="A49" s="8">
        <v>14</v>
      </c>
      <c r="B49" s="169" t="s">
        <v>171</v>
      </c>
      <c r="C49" s="1"/>
      <c r="D49" s="1"/>
      <c r="E49" s="1"/>
      <c r="F49" s="1"/>
      <c r="G49" s="1"/>
      <c r="H49" s="1"/>
      <c r="I49" s="266">
        <v>0</v>
      </c>
      <c r="J49" s="1"/>
      <c r="K49" s="1"/>
    </row>
    <row r="50" spans="1:11">
      <c r="A50" s="8">
        <v>15</v>
      </c>
      <c r="B50" s="249" t="s">
        <v>145</v>
      </c>
      <c r="C50" s="1"/>
      <c r="D50" s="1"/>
      <c r="E50" s="1"/>
      <c r="F50" s="1"/>
      <c r="G50" s="1"/>
      <c r="H50" s="1"/>
      <c r="I50" s="267">
        <f>SUM(I43:I49)</f>
        <v>4486734.333333333</v>
      </c>
      <c r="J50" s="1"/>
      <c r="K50" s="1"/>
    </row>
    <row r="51" spans="1:11">
      <c r="A51" s="8"/>
      <c r="B51" s="249"/>
      <c r="C51" s="1"/>
      <c r="D51" s="1"/>
      <c r="E51" s="1"/>
      <c r="F51" s="1"/>
      <c r="G51" s="1"/>
      <c r="H51" s="1"/>
      <c r="I51" s="257"/>
      <c r="J51" s="1"/>
      <c r="K51" s="1"/>
    </row>
    <row r="52" spans="1:11">
      <c r="A52" s="8">
        <v>16</v>
      </c>
      <c r="B52" s="249" t="s">
        <v>20</v>
      </c>
      <c r="C52" s="1" t="s">
        <v>146</v>
      </c>
      <c r="D52" s="268">
        <f>IF(I50&gt;0,I39/I50,0)</f>
        <v>34.063131267608334</v>
      </c>
      <c r="E52" s="1"/>
      <c r="F52" s="1"/>
      <c r="G52" s="1"/>
      <c r="H52" s="1"/>
      <c r="J52" s="1"/>
      <c r="K52" s="1"/>
    </row>
    <row r="53" spans="1:11">
      <c r="A53" s="8">
        <v>17</v>
      </c>
      <c r="B53" s="249" t="s">
        <v>140</v>
      </c>
      <c r="C53" s="1" t="s">
        <v>147</v>
      </c>
      <c r="D53" s="268">
        <f>+D52/12</f>
        <v>2.8385942723006945</v>
      </c>
      <c r="E53" s="1"/>
      <c r="F53" s="1"/>
      <c r="G53" s="1"/>
      <c r="H53" s="1"/>
      <c r="J53" s="1"/>
      <c r="K53" s="1"/>
    </row>
    <row r="54" spans="1:11">
      <c r="A54" s="8"/>
      <c r="B54" s="249"/>
      <c r="C54" s="1"/>
      <c r="D54" s="269"/>
      <c r="E54" s="1"/>
      <c r="F54" s="1"/>
      <c r="G54" s="1"/>
      <c r="H54" s="1"/>
      <c r="J54" s="1"/>
      <c r="K54" s="1"/>
    </row>
    <row r="55" spans="1:11">
      <c r="A55" s="8"/>
      <c r="B55" s="249"/>
      <c r="C55" s="1"/>
      <c r="D55" s="270" t="s">
        <v>21</v>
      </c>
      <c r="E55" s="1"/>
      <c r="F55" s="1"/>
      <c r="G55" s="1"/>
      <c r="H55" s="1"/>
      <c r="I55" s="210" t="s">
        <v>22</v>
      </c>
      <c r="J55" s="1"/>
      <c r="K55" s="1"/>
    </row>
    <row r="56" spans="1:11">
      <c r="A56" s="8">
        <v>18</v>
      </c>
      <c r="B56" s="249" t="s">
        <v>23</v>
      </c>
      <c r="C56" s="150" t="s">
        <v>148</v>
      </c>
      <c r="D56" s="268">
        <f>+D52/52</f>
        <v>0.65506021668477565</v>
      </c>
      <c r="E56" s="1"/>
      <c r="F56" s="1"/>
      <c r="G56" s="1"/>
      <c r="H56" s="1"/>
      <c r="I56" s="170">
        <f>+D52/52</f>
        <v>0.65506021668477565</v>
      </c>
      <c r="J56" s="1"/>
      <c r="K56" s="1"/>
    </row>
    <row r="57" spans="1:11">
      <c r="A57" s="8">
        <v>19</v>
      </c>
      <c r="B57" s="249" t="s">
        <v>24</v>
      </c>
      <c r="C57" s="150" t="s">
        <v>269</v>
      </c>
      <c r="D57" s="268">
        <f>+D52/260</f>
        <v>0.13101204333695513</v>
      </c>
      <c r="E57" s="1" t="s">
        <v>25</v>
      </c>
      <c r="G57" s="1"/>
      <c r="H57" s="1"/>
      <c r="I57" s="170">
        <f>+D52/365</f>
        <v>9.3323647308515986E-2</v>
      </c>
      <c r="J57" s="1"/>
      <c r="K57" s="1"/>
    </row>
    <row r="58" spans="1:11">
      <c r="A58" s="8">
        <v>20</v>
      </c>
      <c r="B58" s="249" t="s">
        <v>26</v>
      </c>
      <c r="C58" s="150" t="s">
        <v>270</v>
      </c>
      <c r="D58" s="268">
        <f>+D52/4160*1000</f>
        <v>8.1882527085596948</v>
      </c>
      <c r="E58" s="1" t="s">
        <v>27</v>
      </c>
      <c r="G58" s="1"/>
      <c r="H58" s="1"/>
      <c r="I58" s="170">
        <f>+D52/8760*1000</f>
        <v>3.8884853045214993</v>
      </c>
      <c r="J58" s="1"/>
      <c r="K58" s="1" t="s">
        <v>2</v>
      </c>
    </row>
    <row r="59" spans="1:11">
      <c r="A59" s="8"/>
      <c r="B59" s="249"/>
      <c r="C59" s="1" t="s">
        <v>28</v>
      </c>
      <c r="D59" s="1"/>
      <c r="E59" s="1" t="s">
        <v>29</v>
      </c>
      <c r="G59" s="1"/>
      <c r="H59" s="1"/>
      <c r="J59" s="1"/>
      <c r="K59" s="1" t="s">
        <v>2</v>
      </c>
    </row>
    <row r="60" spans="1:11">
      <c r="A60" s="8"/>
      <c r="B60" s="249"/>
      <c r="C60" s="1"/>
      <c r="D60" s="1"/>
      <c r="E60" s="1"/>
      <c r="G60" s="1"/>
      <c r="H60" s="1"/>
      <c r="J60" s="1"/>
      <c r="K60" s="1" t="s">
        <v>2</v>
      </c>
    </row>
    <row r="61" spans="1:11">
      <c r="A61" s="8">
        <v>21</v>
      </c>
      <c r="B61" s="249" t="s">
        <v>228</v>
      </c>
      <c r="C61" s="1" t="s">
        <v>226</v>
      </c>
      <c r="D61" s="9">
        <v>0</v>
      </c>
      <c r="E61" s="9" t="s">
        <v>30</v>
      </c>
      <c r="F61" s="9"/>
      <c r="G61" s="9"/>
      <c r="H61" s="9"/>
      <c r="I61" s="271">
        <f>D61</f>
        <v>0</v>
      </c>
      <c r="J61" s="9" t="s">
        <v>30</v>
      </c>
      <c r="K61" s="1"/>
    </row>
    <row r="62" spans="1:11">
      <c r="A62" s="8">
        <v>22</v>
      </c>
      <c r="B62" s="249"/>
      <c r="C62" s="1"/>
      <c r="D62" s="9">
        <v>0</v>
      </c>
      <c r="E62" s="9" t="s">
        <v>31</v>
      </c>
      <c r="F62" s="9"/>
      <c r="G62" s="9"/>
      <c r="H62" s="9"/>
      <c r="I62" s="271">
        <f>D62</f>
        <v>0</v>
      </c>
      <c r="J62" s="9" t="s">
        <v>31</v>
      </c>
      <c r="K62" s="1"/>
    </row>
    <row r="63" spans="1:11">
      <c r="A63" s="8"/>
      <c r="B63" s="249"/>
      <c r="C63" s="1"/>
      <c r="D63" s="9"/>
      <c r="E63" s="9"/>
      <c r="F63" s="9"/>
      <c r="G63" s="9"/>
      <c r="H63" s="9"/>
      <c r="I63" s="9"/>
      <c r="J63" s="9"/>
      <c r="K63" s="1"/>
    </row>
    <row r="64" spans="1:11">
      <c r="A64" s="8"/>
      <c r="B64" s="249"/>
      <c r="C64" s="1"/>
      <c r="D64" s="9"/>
      <c r="E64" s="9"/>
      <c r="F64" s="9"/>
      <c r="G64" s="9"/>
      <c r="H64" s="9"/>
      <c r="I64" s="9"/>
      <c r="J64" s="9"/>
      <c r="K64" s="1"/>
    </row>
    <row r="65" spans="1:11">
      <c r="A65" s="8"/>
      <c r="B65" s="249"/>
      <c r="C65" s="1"/>
      <c r="D65" s="9"/>
      <c r="E65" s="9"/>
      <c r="F65" s="9"/>
      <c r="G65" s="9"/>
      <c r="H65" s="9"/>
      <c r="I65" s="9"/>
      <c r="J65" s="9"/>
      <c r="K65" s="1"/>
    </row>
    <row r="66" spans="1:11">
      <c r="A66" s="8"/>
      <c r="B66" s="249"/>
      <c r="C66" s="1"/>
      <c r="D66" s="9"/>
      <c r="E66" s="9"/>
      <c r="F66" s="9"/>
      <c r="G66" s="9"/>
      <c r="H66" s="9"/>
      <c r="I66" s="9"/>
      <c r="J66" s="9"/>
      <c r="K66" s="1"/>
    </row>
    <row r="67" spans="1:11">
      <c r="A67" s="8"/>
      <c r="B67" s="249"/>
      <c r="C67" s="1"/>
      <c r="D67" s="9"/>
      <c r="E67" s="9"/>
      <c r="F67" s="9"/>
      <c r="G67" s="9"/>
      <c r="H67" s="9"/>
      <c r="I67" s="9"/>
      <c r="J67" s="9"/>
      <c r="K67" s="1"/>
    </row>
    <row r="68" spans="1:11">
      <c r="A68" s="8"/>
      <c r="B68" s="249"/>
      <c r="C68" s="1"/>
      <c r="D68" s="9"/>
      <c r="E68" s="9"/>
      <c r="F68" s="9"/>
      <c r="G68" s="9"/>
      <c r="H68" s="9"/>
      <c r="I68" s="9"/>
      <c r="J68" s="9"/>
      <c r="K68" s="1"/>
    </row>
    <row r="69" spans="1:11">
      <c r="A69" s="8"/>
      <c r="B69" s="249"/>
      <c r="C69" s="1"/>
      <c r="D69" s="9"/>
      <c r="E69" s="9"/>
      <c r="F69" s="9"/>
      <c r="G69" s="9"/>
      <c r="H69" s="9"/>
      <c r="I69" s="9"/>
      <c r="J69" s="9"/>
      <c r="K69" s="1"/>
    </row>
    <row r="70" spans="1:11">
      <c r="A70" s="8"/>
      <c r="B70" s="249"/>
      <c r="C70" s="1"/>
      <c r="D70" s="9"/>
      <c r="E70" s="9"/>
      <c r="F70" s="9"/>
      <c r="G70" s="9"/>
      <c r="H70" s="9"/>
      <c r="I70" s="9"/>
      <c r="J70" s="9"/>
      <c r="K70" s="1"/>
    </row>
    <row r="71" spans="1:11">
      <c r="A71" s="8"/>
      <c r="B71" s="249"/>
      <c r="C71" s="1"/>
      <c r="D71" s="9"/>
      <c r="E71" s="9"/>
      <c r="F71" s="9"/>
      <c r="G71" s="9"/>
      <c r="H71" s="9"/>
      <c r="I71" s="9"/>
      <c r="J71" s="9"/>
      <c r="K71" s="1"/>
    </row>
    <row r="72" spans="1:11">
      <c r="A72" s="8"/>
      <c r="B72" s="249"/>
      <c r="C72" s="1"/>
      <c r="D72" s="9"/>
      <c r="E72" s="9"/>
      <c r="F72" s="9"/>
      <c r="G72" s="9"/>
      <c r="H72" s="9"/>
      <c r="I72" s="9"/>
      <c r="J72" s="9"/>
      <c r="K72" s="1"/>
    </row>
    <row r="73" spans="1:11">
      <c r="A73" s="8"/>
      <c r="B73" s="249"/>
      <c r="C73" s="1"/>
      <c r="D73" s="9"/>
      <c r="E73" s="9"/>
      <c r="F73" s="9"/>
      <c r="G73" s="9"/>
      <c r="H73" s="9"/>
      <c r="I73" s="9"/>
      <c r="J73" s="9"/>
      <c r="K73" s="1"/>
    </row>
    <row r="74" spans="1:11">
      <c r="A74" s="8"/>
      <c r="B74" s="249"/>
      <c r="C74" s="1"/>
      <c r="D74" s="9"/>
      <c r="E74" s="9"/>
      <c r="F74" s="9"/>
      <c r="G74" s="9"/>
      <c r="H74" s="9"/>
      <c r="I74" s="9"/>
      <c r="J74" s="9"/>
      <c r="K74" s="1"/>
    </row>
    <row r="75" spans="1:11">
      <c r="A75" s="8"/>
      <c r="B75" s="249"/>
      <c r="C75" s="1"/>
      <c r="D75" s="9"/>
      <c r="E75" s="9"/>
      <c r="F75" s="9"/>
      <c r="G75" s="9"/>
      <c r="H75" s="9"/>
      <c r="I75" s="9"/>
      <c r="J75" s="9"/>
      <c r="K75" s="1"/>
    </row>
    <row r="76" spans="1:11">
      <c r="A76" s="8"/>
      <c r="B76" s="249"/>
      <c r="C76" s="1"/>
      <c r="D76" s="9"/>
      <c r="E76" s="9"/>
      <c r="F76" s="9"/>
      <c r="G76" s="9"/>
      <c r="H76" s="9"/>
      <c r="I76" s="9"/>
      <c r="J76" s="9"/>
      <c r="K76" s="1"/>
    </row>
    <row r="77" spans="1:11">
      <c r="A77" s="452"/>
      <c r="B77" s="452"/>
      <c r="C77" s="452"/>
      <c r="D77" s="181"/>
      <c r="E77" s="4"/>
      <c r="F77" s="4"/>
      <c r="G77" s="453"/>
      <c r="H77" s="453"/>
      <c r="I77" s="453"/>
      <c r="J77" s="453"/>
      <c r="K77" s="453"/>
    </row>
    <row r="78" spans="1:11">
      <c r="A78" s="452"/>
      <c r="B78" s="452"/>
      <c r="C78" s="452"/>
      <c r="D78" s="181"/>
      <c r="E78" s="4"/>
      <c r="F78" s="4"/>
      <c r="G78" s="248"/>
      <c r="H78" s="248"/>
      <c r="I78" s="248"/>
      <c r="J78" s="248"/>
      <c r="K78" s="248"/>
    </row>
    <row r="79" spans="1:11">
      <c r="B79" s="249"/>
      <c r="C79" s="249"/>
      <c r="D79" s="150"/>
      <c r="E79" s="249"/>
      <c r="F79" s="249"/>
      <c r="G79" s="454"/>
      <c r="H79" s="454"/>
      <c r="I79" s="454"/>
      <c r="J79" s="454"/>
      <c r="K79" s="454"/>
    </row>
    <row r="80" spans="1:11">
      <c r="B80" s="249"/>
      <c r="C80" s="249"/>
      <c r="D80" s="150"/>
      <c r="E80" s="249"/>
      <c r="F80" s="249"/>
      <c r="G80" s="454"/>
      <c r="H80" s="454"/>
      <c r="I80" s="454"/>
      <c r="J80" s="454"/>
      <c r="K80" s="454"/>
    </row>
    <row r="81" spans="1:11">
      <c r="B81" s="249"/>
      <c r="C81" s="249"/>
      <c r="D81" s="150"/>
      <c r="E81" s="249"/>
      <c r="F81" s="249"/>
      <c r="G81" s="249"/>
      <c r="H81" s="1"/>
      <c r="I81" s="454" t="s">
        <v>507</v>
      </c>
      <c r="J81" s="454"/>
      <c r="K81" s="454"/>
    </row>
    <row r="82" spans="1:11">
      <c r="B82" s="249"/>
      <c r="C82" s="249"/>
      <c r="D82" s="150"/>
      <c r="E82" s="249"/>
      <c r="F82" s="249"/>
      <c r="G82" s="249"/>
      <c r="H82" s="1"/>
      <c r="I82" s="1"/>
      <c r="J82" s="454" t="s">
        <v>394</v>
      </c>
      <c r="K82" s="454"/>
    </row>
    <row r="83" spans="1:11">
      <c r="B83" s="249"/>
      <c r="C83" s="249"/>
      <c r="D83" s="150"/>
      <c r="E83" s="249"/>
      <c r="F83" s="249"/>
      <c r="G83" s="249"/>
      <c r="H83" s="1"/>
      <c r="I83" s="1"/>
      <c r="J83" s="1"/>
      <c r="K83" s="250"/>
    </row>
    <row r="84" spans="1:11">
      <c r="B84" s="249" t="s">
        <v>0</v>
      </c>
      <c r="C84" s="249"/>
      <c r="D84" s="150" t="s">
        <v>260</v>
      </c>
      <c r="E84" s="249"/>
      <c r="F84" s="249"/>
      <c r="G84" s="249"/>
      <c r="H84" s="1"/>
      <c r="I84" s="1"/>
      <c r="J84" s="1"/>
      <c r="K84" s="252" t="str">
        <f>K7</f>
        <v>Projected - For the 12 months ended 12/31/22</v>
      </c>
    </row>
    <row r="85" spans="1:11">
      <c r="B85" s="249"/>
      <c r="C85" s="4" t="s">
        <v>2</v>
      </c>
      <c r="D85" s="4" t="s">
        <v>261</v>
      </c>
      <c r="E85" s="4"/>
      <c r="F85" s="4"/>
      <c r="G85" s="4"/>
      <c r="H85" s="1"/>
      <c r="I85" s="1"/>
      <c r="J85" s="1"/>
      <c r="K85" s="1"/>
    </row>
    <row r="86" spans="1:11">
      <c r="B86" s="249"/>
      <c r="C86" s="4"/>
      <c r="D86" s="4"/>
      <c r="E86" s="4"/>
      <c r="F86" s="4"/>
      <c r="G86" s="4"/>
      <c r="H86" s="1"/>
      <c r="I86" s="1"/>
      <c r="J86" s="1"/>
      <c r="K86" s="1"/>
    </row>
    <row r="87" spans="1:11">
      <c r="B87" s="249"/>
      <c r="C87" s="1"/>
      <c r="D87" s="7" t="str">
        <f>D10</f>
        <v>MidAmerican Energy Company</v>
      </c>
      <c r="E87" s="4"/>
      <c r="F87" s="4"/>
      <c r="G87" s="4"/>
      <c r="H87" s="4"/>
      <c r="I87" s="4"/>
      <c r="J87" s="4"/>
      <c r="K87" s="4"/>
    </row>
    <row r="88" spans="1:11">
      <c r="B88" s="8" t="s">
        <v>32</v>
      </c>
      <c r="C88" s="8" t="s">
        <v>33</v>
      </c>
      <c r="D88" s="8" t="s">
        <v>34</v>
      </c>
      <c r="E88" s="4" t="s">
        <v>2</v>
      </c>
      <c r="F88" s="4"/>
      <c r="G88" s="272" t="s">
        <v>35</v>
      </c>
      <c r="H88" s="4"/>
      <c r="I88" s="186" t="s">
        <v>36</v>
      </c>
      <c r="J88" s="4"/>
      <c r="K88" s="8"/>
    </row>
    <row r="89" spans="1:11">
      <c r="B89" s="249"/>
      <c r="C89" s="273" t="s">
        <v>37</v>
      </c>
      <c r="D89" s="4"/>
      <c r="E89" s="4"/>
      <c r="F89" s="4"/>
      <c r="G89" s="8"/>
      <c r="H89" s="4"/>
      <c r="I89" s="2" t="s">
        <v>38</v>
      </c>
      <c r="J89" s="4"/>
      <c r="K89" s="8"/>
    </row>
    <row r="90" spans="1:11">
      <c r="A90" s="8" t="s">
        <v>4</v>
      </c>
      <c r="B90" s="249"/>
      <c r="C90" s="274" t="s">
        <v>39</v>
      </c>
      <c r="D90" s="2" t="s">
        <v>40</v>
      </c>
      <c r="E90" s="275"/>
      <c r="F90" s="2" t="s">
        <v>41</v>
      </c>
      <c r="H90" s="275"/>
      <c r="I90" s="8" t="s">
        <v>42</v>
      </c>
      <c r="J90" s="4"/>
      <c r="K90" s="8"/>
    </row>
    <row r="91" spans="1:11" ht="16.5" thickBot="1">
      <c r="A91" s="256" t="s">
        <v>6</v>
      </c>
      <c r="B91" s="276" t="s">
        <v>43</v>
      </c>
      <c r="C91" s="4"/>
      <c r="D91" s="4"/>
      <c r="E91" s="4"/>
      <c r="F91" s="4"/>
      <c r="G91" s="4"/>
      <c r="H91" s="4"/>
      <c r="I91" s="4"/>
      <c r="J91" s="4"/>
      <c r="K91" s="4"/>
    </row>
    <row r="92" spans="1:11">
      <c r="A92" s="8"/>
      <c r="B92" s="249" t="s">
        <v>437</v>
      </c>
      <c r="C92" s="4"/>
      <c r="D92" s="4"/>
      <c r="E92" s="4"/>
      <c r="F92" s="4"/>
      <c r="G92" s="4"/>
      <c r="H92" s="4"/>
      <c r="I92" s="4"/>
      <c r="J92" s="4"/>
      <c r="K92" s="4"/>
    </row>
    <row r="93" spans="1:11">
      <c r="A93" s="8">
        <v>1</v>
      </c>
      <c r="B93" s="249" t="s">
        <v>44</v>
      </c>
      <c r="C93" s="4" t="s">
        <v>207</v>
      </c>
      <c r="D93" s="4">
        <f>'Plant Balance'!D23-'Plant Balance - ARO'!D23</f>
        <v>16602420246.517685</v>
      </c>
      <c r="E93" s="4"/>
      <c r="F93" s="4" t="s">
        <v>45</v>
      </c>
      <c r="G93" s="277" t="s">
        <v>2</v>
      </c>
      <c r="H93" s="4"/>
      <c r="I93" s="4" t="s">
        <v>2</v>
      </c>
      <c r="J93" s="4"/>
      <c r="K93" s="4"/>
    </row>
    <row r="94" spans="1:11">
      <c r="A94" s="8">
        <v>2</v>
      </c>
      <c r="B94" s="249" t="s">
        <v>46</v>
      </c>
      <c r="C94" s="4" t="s">
        <v>200</v>
      </c>
      <c r="D94" s="4">
        <f>'Plant Balance'!E23-'Plant Balance - ARO'!E23</f>
        <v>2545962176.7568965</v>
      </c>
      <c r="E94" s="4"/>
      <c r="F94" s="4" t="s">
        <v>11</v>
      </c>
      <c r="G94" s="174">
        <f>I245</f>
        <v>1</v>
      </c>
      <c r="H94" s="4"/>
      <c r="I94" s="7">
        <f>+G94*D94</f>
        <v>2545962176.7568965</v>
      </c>
      <c r="J94" s="4"/>
      <c r="K94" s="4"/>
    </row>
    <row r="95" spans="1:11">
      <c r="A95" s="8">
        <v>3</v>
      </c>
      <c r="B95" s="249" t="s">
        <v>47</v>
      </c>
      <c r="C95" s="4" t="s">
        <v>201</v>
      </c>
      <c r="D95" s="4">
        <f>'Plant Balance'!F23-'Plant Balance - ARO'!F23</f>
        <v>4608009682.392065</v>
      </c>
      <c r="E95" s="4"/>
      <c r="F95" s="4" t="s">
        <v>45</v>
      </c>
      <c r="G95" s="277" t="s">
        <v>2</v>
      </c>
      <c r="H95" s="4"/>
      <c r="I95" s="4" t="s">
        <v>2</v>
      </c>
      <c r="J95" s="4"/>
      <c r="K95" s="4"/>
    </row>
    <row r="96" spans="1:11">
      <c r="A96" s="8">
        <v>4</v>
      </c>
      <c r="B96" s="249" t="s">
        <v>48</v>
      </c>
      <c r="C96" s="4" t="s">
        <v>208</v>
      </c>
      <c r="D96" s="4">
        <f>'Plant Balance'!G23</f>
        <v>1117505236</v>
      </c>
      <c r="E96" s="4"/>
      <c r="F96" s="4" t="s">
        <v>49</v>
      </c>
      <c r="G96" s="174">
        <f>I262</f>
        <v>6.2441158820641843E-2</v>
      </c>
      <c r="H96" s="4"/>
      <c r="I96" s="7">
        <f>+G96*D96</f>
        <v>69778321.923974842</v>
      </c>
      <c r="J96" s="4"/>
      <c r="K96" s="4"/>
    </row>
    <row r="97" spans="1:11" ht="16.5" thickBot="1">
      <c r="A97" s="8">
        <v>5</v>
      </c>
      <c r="B97" s="249" t="s">
        <v>50</v>
      </c>
      <c r="C97" s="4" t="s">
        <v>51</v>
      </c>
      <c r="D97" s="262">
        <v>0</v>
      </c>
      <c r="E97" s="4"/>
      <c r="F97" s="4" t="s">
        <v>94</v>
      </c>
      <c r="G97" s="174">
        <f>K266</f>
        <v>5.821266953656222E-2</v>
      </c>
      <c r="H97" s="4"/>
      <c r="I97" s="259">
        <f>+G97*D97</f>
        <v>0</v>
      </c>
      <c r="J97" s="4"/>
      <c r="K97" s="4"/>
    </row>
    <row r="98" spans="1:11">
      <c r="A98" s="8">
        <v>6</v>
      </c>
      <c r="B98" s="249" t="s">
        <v>257</v>
      </c>
      <c r="C98" s="4"/>
      <c r="D98" s="7">
        <f>SUM(D93:D97)</f>
        <v>24873897341.666649</v>
      </c>
      <c r="E98" s="4"/>
      <c r="F98" s="4" t="s">
        <v>52</v>
      </c>
      <c r="G98" s="278">
        <f>IF(I98&gt;0,I98/D98,0)</f>
        <v>0.10516005846414765</v>
      </c>
      <c r="H98" s="4"/>
      <c r="I98" s="7">
        <f>SUM(I93:I97)</f>
        <v>2615740498.6808715</v>
      </c>
      <c r="J98" s="4"/>
      <c r="K98" s="172"/>
    </row>
    <row r="99" spans="1:11">
      <c r="B99" s="249"/>
      <c r="C99" s="4"/>
      <c r="D99" s="4"/>
      <c r="E99" s="4"/>
      <c r="F99" s="4"/>
      <c r="G99" s="172"/>
      <c r="H99" s="4"/>
      <c r="I99" s="4"/>
      <c r="J99" s="4"/>
      <c r="K99" s="172"/>
    </row>
    <row r="100" spans="1:11">
      <c r="B100" s="249" t="s">
        <v>438</v>
      </c>
      <c r="C100" s="4"/>
      <c r="D100" s="4"/>
      <c r="E100" s="4"/>
      <c r="F100" s="4"/>
      <c r="G100" s="4"/>
      <c r="H100" s="4"/>
      <c r="I100" s="4"/>
      <c r="J100" s="4"/>
      <c r="K100" s="4"/>
    </row>
    <row r="101" spans="1:11">
      <c r="A101" s="8">
        <v>7</v>
      </c>
      <c r="B101" s="279" t="str">
        <f>+B93</f>
        <v xml:space="preserve">  Production</v>
      </c>
      <c r="C101" s="4" t="s">
        <v>187</v>
      </c>
      <c r="D101" s="4">
        <f>'Accum Depr'!D23-'Accum Depr - ARO'!D23</f>
        <v>3957765263.5059676</v>
      </c>
      <c r="E101" s="4"/>
      <c r="F101" s="7" t="str">
        <f>+F93</f>
        <v>NA</v>
      </c>
      <c r="G101" s="174" t="str">
        <f>+G93</f>
        <v xml:space="preserve"> </v>
      </c>
      <c r="H101" s="4"/>
      <c r="I101" s="4" t="s">
        <v>2</v>
      </c>
      <c r="J101" s="4"/>
      <c r="K101" s="4"/>
    </row>
    <row r="102" spans="1:11">
      <c r="A102" s="8">
        <v>8</v>
      </c>
      <c r="B102" s="279" t="str">
        <f>+B94</f>
        <v xml:space="preserve">  Transmission</v>
      </c>
      <c r="C102" s="4" t="s">
        <v>188</v>
      </c>
      <c r="D102" s="4">
        <f>'Accum Depr'!E23-'Accum Depr - ARO'!E23</f>
        <v>645168018.33734298</v>
      </c>
      <c r="E102" s="4"/>
      <c r="F102" s="7" t="str">
        <f t="shared" ref="F102:G105" si="1">+F94</f>
        <v>TP</v>
      </c>
      <c r="G102" s="174">
        <f t="shared" si="1"/>
        <v>1</v>
      </c>
      <c r="H102" s="4"/>
      <c r="I102" s="7">
        <f>+G102*D102</f>
        <v>645168018.33734298</v>
      </c>
      <c r="J102" s="4"/>
      <c r="K102" s="4"/>
    </row>
    <row r="103" spans="1:11">
      <c r="A103" s="8">
        <v>9</v>
      </c>
      <c r="B103" s="279" t="str">
        <f>+B95</f>
        <v xml:space="preserve">  Distribution</v>
      </c>
      <c r="C103" s="4" t="s">
        <v>189</v>
      </c>
      <c r="D103" s="4">
        <f>'Accum Depr'!F23-'Accum Depr - ARO'!F23</f>
        <v>1603534311.7619219</v>
      </c>
      <c r="E103" s="4"/>
      <c r="F103" s="7" t="str">
        <f t="shared" si="1"/>
        <v>NA</v>
      </c>
      <c r="G103" s="174" t="str">
        <f t="shared" si="1"/>
        <v xml:space="preserve"> </v>
      </c>
      <c r="H103" s="4"/>
      <c r="I103" s="4" t="s">
        <v>2</v>
      </c>
      <c r="J103" s="4"/>
      <c r="K103" s="4"/>
    </row>
    <row r="104" spans="1:11">
      <c r="A104" s="8">
        <v>10</v>
      </c>
      <c r="B104" s="279" t="str">
        <f>+B96</f>
        <v xml:space="preserve">  General &amp; Intangible</v>
      </c>
      <c r="C104" s="4" t="s">
        <v>428</v>
      </c>
      <c r="D104" s="4">
        <f>'Accum Depr'!G23</f>
        <v>362773853</v>
      </c>
      <c r="E104" s="4"/>
      <c r="F104" s="7" t="str">
        <f t="shared" si="1"/>
        <v>W/S</v>
      </c>
      <c r="G104" s="174">
        <f t="shared" si="1"/>
        <v>6.2441158820641843E-2</v>
      </c>
      <c r="H104" s="4"/>
      <c r="I104" s="7">
        <f>+G104*D104</f>
        <v>22652019.771149177</v>
      </c>
      <c r="J104" s="4"/>
      <c r="K104" s="4"/>
    </row>
    <row r="105" spans="1:11" ht="16.5" thickBot="1">
      <c r="A105" s="8">
        <v>11</v>
      </c>
      <c r="B105" s="279" t="str">
        <f>+B97</f>
        <v xml:space="preserve">  Common</v>
      </c>
      <c r="C105" s="4" t="s">
        <v>51</v>
      </c>
      <c r="D105" s="262">
        <v>0</v>
      </c>
      <c r="E105" s="4"/>
      <c r="F105" s="7" t="str">
        <f t="shared" si="1"/>
        <v>CE</v>
      </c>
      <c r="G105" s="174">
        <f t="shared" si="1"/>
        <v>5.821266953656222E-2</v>
      </c>
      <c r="H105" s="4"/>
      <c r="I105" s="259">
        <f>+G105*D105</f>
        <v>0</v>
      </c>
      <c r="J105" s="4"/>
      <c r="K105" s="4"/>
    </row>
    <row r="106" spans="1:11">
      <c r="A106" s="8">
        <v>12</v>
      </c>
      <c r="B106" s="249" t="s">
        <v>258</v>
      </c>
      <c r="C106" s="4"/>
      <c r="D106" s="7">
        <f>SUM(D101:D105)</f>
        <v>6569241446.6052322</v>
      </c>
      <c r="E106" s="4"/>
      <c r="F106" s="4"/>
      <c r="G106" s="4"/>
      <c r="H106" s="4"/>
      <c r="I106" s="7">
        <f>SUM(I101:I105)</f>
        <v>667820038.10849214</v>
      </c>
      <c r="J106" s="4"/>
      <c r="K106" s="4"/>
    </row>
    <row r="107" spans="1:11">
      <c r="A107" s="8"/>
      <c r="C107" s="4" t="s">
        <v>2</v>
      </c>
      <c r="E107" s="4"/>
      <c r="F107" s="4"/>
      <c r="G107" s="172"/>
      <c r="H107" s="4"/>
      <c r="J107" s="4"/>
      <c r="K107" s="172"/>
    </row>
    <row r="108" spans="1:11">
      <c r="A108" s="8"/>
      <c r="B108" s="249" t="s">
        <v>439</v>
      </c>
      <c r="C108" s="4"/>
      <c r="D108" s="4"/>
      <c r="E108" s="4"/>
      <c r="F108" s="4"/>
      <c r="G108" s="4"/>
      <c r="H108" s="4"/>
      <c r="I108" s="4"/>
      <c r="J108" s="4"/>
      <c r="K108" s="4"/>
    </row>
    <row r="109" spans="1:11">
      <c r="A109" s="8">
        <v>13</v>
      </c>
      <c r="B109" s="279" t="str">
        <f>+B101</f>
        <v xml:space="preserve">  Production</v>
      </c>
      <c r="C109" s="4" t="s">
        <v>229</v>
      </c>
      <c r="D109" s="7">
        <f>D93-D101</f>
        <v>12644654983.011717</v>
      </c>
      <c r="E109" s="4"/>
      <c r="F109" s="4"/>
      <c r="G109" s="172"/>
      <c r="H109" s="4"/>
      <c r="I109" s="4" t="s">
        <v>2</v>
      </c>
      <c r="J109" s="4"/>
      <c r="K109" s="172"/>
    </row>
    <row r="110" spans="1:11">
      <c r="A110" s="8">
        <v>14</v>
      </c>
      <c r="B110" s="279" t="str">
        <f>+B102</f>
        <v xml:space="preserve">  Transmission</v>
      </c>
      <c r="C110" s="4" t="s">
        <v>230</v>
      </c>
      <c r="D110" s="7">
        <f>D94-D102</f>
        <v>1900794158.4195535</v>
      </c>
      <c r="E110" s="4"/>
      <c r="F110" s="4"/>
      <c r="G110" s="277"/>
      <c r="H110" s="4"/>
      <c r="I110" s="7">
        <f>I94-I102</f>
        <v>1900794158.4195535</v>
      </c>
      <c r="J110" s="4"/>
      <c r="K110" s="172"/>
    </row>
    <row r="111" spans="1:11">
      <c r="A111" s="8">
        <v>15</v>
      </c>
      <c r="B111" s="279" t="str">
        <f>+B103</f>
        <v xml:space="preserve">  Distribution</v>
      </c>
      <c r="C111" s="4" t="s">
        <v>231</v>
      </c>
      <c r="D111" s="7">
        <f>D95-D103</f>
        <v>3004475370.6301432</v>
      </c>
      <c r="E111" s="4"/>
      <c r="F111" s="4"/>
      <c r="G111" s="172"/>
      <c r="H111" s="4"/>
      <c r="I111" s="4" t="s">
        <v>2</v>
      </c>
      <c r="J111" s="4"/>
      <c r="K111" s="172"/>
    </row>
    <row r="112" spans="1:11">
      <c r="A112" s="8">
        <v>16</v>
      </c>
      <c r="B112" s="279" t="str">
        <f>+B104</f>
        <v xml:space="preserve">  General &amp; Intangible</v>
      </c>
      <c r="C112" s="4" t="s">
        <v>232</v>
      </c>
      <c r="D112" s="7">
        <f>D96-D104</f>
        <v>754731383</v>
      </c>
      <c r="E112" s="4"/>
      <c r="F112" s="4"/>
      <c r="G112" s="172"/>
      <c r="H112" s="4"/>
      <c r="I112" s="7">
        <f>I96-I104</f>
        <v>47126302.152825668</v>
      </c>
      <c r="J112" s="4"/>
      <c r="K112" s="172"/>
    </row>
    <row r="113" spans="1:11" ht="16.5" thickBot="1">
      <c r="A113" s="8">
        <v>17</v>
      </c>
      <c r="B113" s="279" t="str">
        <f>+B105</f>
        <v xml:space="preserve">  Common</v>
      </c>
      <c r="C113" s="4" t="s">
        <v>233</v>
      </c>
      <c r="D113" s="259">
        <f>D97-D105</f>
        <v>0</v>
      </c>
      <c r="E113" s="4"/>
      <c r="F113" s="4"/>
      <c r="G113" s="172"/>
      <c r="H113" s="4"/>
      <c r="I113" s="259">
        <f>I97-I105</f>
        <v>0</v>
      </c>
      <c r="J113" s="4"/>
      <c r="K113" s="172"/>
    </row>
    <row r="114" spans="1:11">
      <c r="A114" s="8">
        <v>18</v>
      </c>
      <c r="B114" s="249" t="s">
        <v>256</v>
      </c>
      <c r="C114" s="4"/>
      <c r="D114" s="7">
        <f>SUM(D109:D113)</f>
        <v>18304655895.061413</v>
      </c>
      <c r="E114" s="4"/>
      <c r="F114" s="4" t="s">
        <v>53</v>
      </c>
      <c r="G114" s="278">
        <f>IF(I114&gt;0,I114/D114,0)</f>
        <v>0.1064166664339168</v>
      </c>
      <c r="H114" s="4"/>
      <c r="I114" s="7">
        <f>SUM(I109:I113)</f>
        <v>1947920460.5723791</v>
      </c>
      <c r="J114" s="4"/>
      <c r="K114" s="4"/>
    </row>
    <row r="115" spans="1:11">
      <c r="A115" s="8"/>
      <c r="B115" s="249"/>
      <c r="C115" s="4"/>
      <c r="D115" s="4"/>
      <c r="E115" s="4"/>
      <c r="F115" s="4"/>
      <c r="G115" s="172"/>
      <c r="H115" s="4"/>
      <c r="I115" s="4"/>
      <c r="J115" s="4"/>
      <c r="K115" s="4"/>
    </row>
    <row r="116" spans="1:11">
      <c r="A116" s="8" t="s">
        <v>336</v>
      </c>
      <c r="B116" s="249" t="s">
        <v>440</v>
      </c>
      <c r="C116" s="4" t="s">
        <v>335</v>
      </c>
      <c r="D116" s="4">
        <f>CWIP!G23</f>
        <v>0</v>
      </c>
      <c r="E116" s="4"/>
      <c r="F116" s="4" t="s">
        <v>11</v>
      </c>
      <c r="G116" s="174">
        <f>+G94</f>
        <v>1</v>
      </c>
      <c r="H116" s="4"/>
      <c r="I116" s="7">
        <f>D116*G116</f>
        <v>0</v>
      </c>
      <c r="J116" s="4"/>
      <c r="K116" s="4"/>
    </row>
    <row r="117" spans="1:11">
      <c r="A117" s="8"/>
      <c r="C117" s="4"/>
      <c r="E117" s="4"/>
      <c r="H117" s="4"/>
      <c r="J117" s="4"/>
      <c r="K117" s="172"/>
    </row>
    <row r="118" spans="1:11">
      <c r="A118" s="8"/>
      <c r="B118" s="249" t="s">
        <v>234</v>
      </c>
      <c r="C118" s="4"/>
      <c r="D118" s="4"/>
      <c r="E118" s="4"/>
      <c r="F118" s="4"/>
      <c r="G118" s="4"/>
      <c r="H118" s="4"/>
      <c r="I118" s="4"/>
      <c r="J118" s="4"/>
      <c r="K118" s="4"/>
    </row>
    <row r="119" spans="1:11">
      <c r="A119" s="8">
        <v>19</v>
      </c>
      <c r="B119" s="249" t="s">
        <v>546</v>
      </c>
      <c r="C119" s="4" t="s">
        <v>600</v>
      </c>
      <c r="D119" s="4">
        <f>'ADIT Projection Summary'!M48</f>
        <v>-291760579.94508773</v>
      </c>
      <c r="E119" s="4"/>
      <c r="F119" s="4" t="s">
        <v>11</v>
      </c>
      <c r="G119" s="174">
        <f>+G94</f>
        <v>1</v>
      </c>
      <c r="H119" s="4"/>
      <c r="I119" s="7">
        <f>D119*G119</f>
        <v>-291760579.94508773</v>
      </c>
      <c r="J119" s="4"/>
      <c r="K119" s="172"/>
    </row>
    <row r="120" spans="1:11">
      <c r="A120" s="8">
        <v>20</v>
      </c>
      <c r="B120" s="249" t="s">
        <v>576</v>
      </c>
      <c r="C120" s="4"/>
      <c r="D120" s="4">
        <v>0</v>
      </c>
      <c r="E120" s="4"/>
      <c r="F120" s="4" t="s">
        <v>45</v>
      </c>
      <c r="G120" s="277"/>
      <c r="H120" s="4"/>
      <c r="I120" s="7">
        <f>D120*G120</f>
        <v>0</v>
      </c>
      <c r="J120" s="4"/>
      <c r="K120" s="172"/>
    </row>
    <row r="121" spans="1:11">
      <c r="A121" s="8">
        <v>21</v>
      </c>
      <c r="B121" s="249" t="s">
        <v>576</v>
      </c>
      <c r="C121" s="4"/>
      <c r="D121" s="181">
        <v>0</v>
      </c>
      <c r="E121" s="4"/>
      <c r="F121" s="4" t="s">
        <v>45</v>
      </c>
      <c r="G121" s="277"/>
      <c r="H121" s="4"/>
      <c r="I121" s="7">
        <f>D121*G121</f>
        <v>0</v>
      </c>
      <c r="J121" s="4"/>
      <c r="K121" s="172"/>
    </row>
    <row r="122" spans="1:11">
      <c r="A122" s="8">
        <v>22</v>
      </c>
      <c r="B122" s="249" t="s">
        <v>576</v>
      </c>
      <c r="C122" s="4"/>
      <c r="D122" s="181">
        <v>0</v>
      </c>
      <c r="E122" s="4"/>
      <c r="F122" s="4" t="s">
        <v>45</v>
      </c>
      <c r="G122" s="277"/>
      <c r="H122" s="4"/>
      <c r="I122" s="7">
        <f>D122*G122</f>
        <v>0</v>
      </c>
      <c r="J122" s="4"/>
      <c r="K122" s="172"/>
    </row>
    <row r="123" spans="1:11">
      <c r="A123" s="8">
        <v>23</v>
      </c>
      <c r="B123" s="171" t="s">
        <v>446</v>
      </c>
      <c r="C123" s="171" t="s">
        <v>601</v>
      </c>
      <c r="D123" s="181">
        <v>0</v>
      </c>
      <c r="E123" s="4"/>
      <c r="F123" s="4" t="s">
        <v>54</v>
      </c>
      <c r="G123" s="174">
        <f>+G114</f>
        <v>0.1064166664339168</v>
      </c>
      <c r="H123" s="4"/>
      <c r="I123" s="280">
        <f t="shared" ref="I123" si="2">D123*G123</f>
        <v>0</v>
      </c>
      <c r="J123" s="4"/>
      <c r="K123" s="172"/>
    </row>
    <row r="124" spans="1:11">
      <c r="A124" s="8" t="s">
        <v>338</v>
      </c>
      <c r="B124" s="171" t="s">
        <v>357</v>
      </c>
      <c r="C124" s="171" t="s">
        <v>441</v>
      </c>
      <c r="D124" s="181">
        <f>AFUDC!K123*(-1)</f>
        <v>-37949995</v>
      </c>
      <c r="E124" s="4"/>
      <c r="F124" s="4" t="s">
        <v>11</v>
      </c>
      <c r="G124" s="174">
        <f>G94</f>
        <v>1</v>
      </c>
      <c r="H124" s="4"/>
      <c r="I124" s="280">
        <f>D124*G124</f>
        <v>-37949995</v>
      </c>
      <c r="J124" s="4"/>
      <c r="K124" s="172"/>
    </row>
    <row r="125" spans="1:11" ht="16.5" thickBot="1">
      <c r="A125" s="8" t="s">
        <v>339</v>
      </c>
      <c r="B125" s="171" t="s">
        <v>337</v>
      </c>
      <c r="C125" s="171" t="s">
        <v>441</v>
      </c>
      <c r="D125" s="262">
        <v>0</v>
      </c>
      <c r="E125" s="4"/>
      <c r="F125" s="4" t="s">
        <v>11</v>
      </c>
      <c r="G125" s="174">
        <f>G94</f>
        <v>1</v>
      </c>
      <c r="H125" s="4"/>
      <c r="I125" s="259">
        <f>D125*G125</f>
        <v>0</v>
      </c>
      <c r="J125" s="4"/>
      <c r="K125" s="172"/>
    </row>
    <row r="126" spans="1:11">
      <c r="A126" s="8">
        <v>24</v>
      </c>
      <c r="B126" s="249" t="s">
        <v>454</v>
      </c>
      <c r="C126" s="4"/>
      <c r="D126" s="7">
        <f>SUM(D119:D125)</f>
        <v>-329710574.94508773</v>
      </c>
      <c r="E126" s="4"/>
      <c r="F126" s="4"/>
      <c r="G126" s="4"/>
      <c r="H126" s="4"/>
      <c r="I126" s="7">
        <f>SUM(I119:I125)</f>
        <v>-329710574.94508773</v>
      </c>
      <c r="J126" s="4"/>
      <c r="K126" s="4"/>
    </row>
    <row r="127" spans="1:11">
      <c r="A127" s="8"/>
      <c r="C127" s="4"/>
      <c r="E127" s="4"/>
      <c r="F127" s="4"/>
      <c r="G127" s="172"/>
      <c r="H127" s="4"/>
      <c r="J127" s="4"/>
      <c r="K127" s="172"/>
    </row>
    <row r="128" spans="1:11">
      <c r="A128" s="8">
        <v>25</v>
      </c>
      <c r="B128" s="249" t="s">
        <v>55</v>
      </c>
      <c r="C128" s="4" t="s">
        <v>56</v>
      </c>
      <c r="D128" s="4">
        <v>0</v>
      </c>
      <c r="E128" s="4"/>
      <c r="F128" s="7" t="str">
        <f>+F102</f>
        <v>TP</v>
      </c>
      <c r="G128" s="174">
        <f>+G102</f>
        <v>1</v>
      </c>
      <c r="H128" s="4"/>
      <c r="I128" s="7">
        <f>+G128*D128</f>
        <v>0</v>
      </c>
      <c r="J128" s="4"/>
      <c r="K128" s="4"/>
    </row>
    <row r="129" spans="1:11">
      <c r="A129" s="8"/>
      <c r="B129" s="249"/>
      <c r="C129" s="4"/>
      <c r="D129" s="4"/>
      <c r="E129" s="4"/>
      <c r="F129" s="4"/>
      <c r="G129" s="4"/>
      <c r="H129" s="4"/>
      <c r="I129" s="4"/>
      <c r="J129" s="4"/>
      <c r="K129" s="4"/>
    </row>
    <row r="130" spans="1:11">
      <c r="A130" s="8"/>
      <c r="B130" s="249" t="s">
        <v>172</v>
      </c>
      <c r="C130" s="4" t="s">
        <v>2</v>
      </c>
      <c r="D130" s="4"/>
      <c r="E130" s="4"/>
      <c r="F130" s="4"/>
      <c r="G130" s="4"/>
      <c r="H130" s="4"/>
      <c r="I130" s="4"/>
      <c r="J130" s="4"/>
      <c r="K130" s="4"/>
    </row>
    <row r="131" spans="1:11">
      <c r="A131" s="8">
        <v>26</v>
      </c>
      <c r="B131" s="249" t="s">
        <v>173</v>
      </c>
      <c r="C131" s="171" t="s">
        <v>169</v>
      </c>
      <c r="D131" s="7">
        <f>+D175/8</f>
        <v>10026898.425000001</v>
      </c>
      <c r="E131" s="4"/>
      <c r="F131" s="4"/>
      <c r="G131" s="172"/>
      <c r="H131" s="4"/>
      <c r="I131" s="7">
        <f>+I175/8</f>
        <v>2330015.2494907468</v>
      </c>
      <c r="J131" s="1"/>
      <c r="K131" s="172"/>
    </row>
    <row r="132" spans="1:11">
      <c r="A132" s="8">
        <v>27</v>
      </c>
      <c r="B132" s="249" t="s">
        <v>442</v>
      </c>
      <c r="C132" s="4" t="s">
        <v>216</v>
      </c>
      <c r="D132" s="4">
        <f>'Inv Bal'!D24</f>
        <v>12310347.843203256</v>
      </c>
      <c r="E132" s="4"/>
      <c r="F132" s="4" t="s">
        <v>57</v>
      </c>
      <c r="G132" s="174">
        <f>I254</f>
        <v>0.98587128794923973</v>
      </c>
      <c r="H132" s="4"/>
      <c r="I132" s="7">
        <f>+G132*D132</f>
        <v>12136418.48328194</v>
      </c>
      <c r="J132" s="4" t="s">
        <v>2</v>
      </c>
      <c r="K132" s="172"/>
    </row>
    <row r="133" spans="1:11" ht="16.5" thickBot="1">
      <c r="A133" s="8">
        <v>28</v>
      </c>
      <c r="B133" s="249" t="s">
        <v>443</v>
      </c>
      <c r="C133" s="4" t="s">
        <v>199</v>
      </c>
      <c r="D133" s="262">
        <f>Prepay!D24</f>
        <v>56418052.121062964</v>
      </c>
      <c r="E133" s="4"/>
      <c r="F133" s="4" t="s">
        <v>58</v>
      </c>
      <c r="G133" s="174">
        <f>+G98</f>
        <v>0.10516005846414765</v>
      </c>
      <c r="H133" s="4"/>
      <c r="I133" s="259">
        <f>+G133*D133</f>
        <v>5932925.659484311</v>
      </c>
      <c r="J133" s="4"/>
      <c r="K133" s="172"/>
    </row>
    <row r="134" spans="1:11">
      <c r="A134" s="8">
        <v>29</v>
      </c>
      <c r="B134" s="249" t="s">
        <v>255</v>
      </c>
      <c r="C134" s="1"/>
      <c r="D134" s="7">
        <f>D131+D132+D133</f>
        <v>78755298.389266223</v>
      </c>
      <c r="E134" s="1"/>
      <c r="F134" s="1"/>
      <c r="G134" s="1"/>
      <c r="H134" s="1"/>
      <c r="I134" s="7">
        <f>I131+I132+I133</f>
        <v>20399359.392256998</v>
      </c>
      <c r="J134" s="1"/>
      <c r="K134" s="1"/>
    </row>
    <row r="135" spans="1:11" ht="16.5" thickBot="1">
      <c r="C135" s="4"/>
      <c r="D135" s="281"/>
      <c r="E135" s="4"/>
      <c r="F135" s="4"/>
      <c r="G135" s="4"/>
      <c r="H135" s="4"/>
      <c r="I135" s="281"/>
      <c r="J135" s="4"/>
      <c r="K135" s="4"/>
    </row>
    <row r="136" spans="1:11" ht="16.5" thickBot="1">
      <c r="A136" s="8">
        <v>30</v>
      </c>
      <c r="B136" s="249" t="s">
        <v>455</v>
      </c>
      <c r="C136" s="4"/>
      <c r="D136" s="179">
        <f>+D134+D128+D126+D116+D114</f>
        <v>18053700618.505592</v>
      </c>
      <c r="E136" s="4"/>
      <c r="F136" s="4"/>
      <c r="G136" s="172"/>
      <c r="H136" s="4"/>
      <c r="I136" s="179">
        <f>+I134+I128+I126+I116+I114</f>
        <v>1638609245.0195484</v>
      </c>
      <c r="J136" s="4"/>
      <c r="K136" s="172"/>
    </row>
    <row r="137" spans="1:11" ht="16.5" thickTop="1">
      <c r="A137" s="8"/>
      <c r="B137" s="249"/>
      <c r="C137" s="4"/>
      <c r="D137" s="181"/>
      <c r="E137" s="4"/>
      <c r="F137" s="4"/>
      <c r="G137" s="172"/>
      <c r="H137" s="4"/>
      <c r="I137" s="181"/>
      <c r="J137" s="4"/>
      <c r="K137" s="172"/>
    </row>
    <row r="138" spans="1:11">
      <c r="A138" s="8"/>
      <c r="B138" s="249"/>
      <c r="C138" s="4"/>
      <c r="D138" s="181"/>
      <c r="E138" s="4"/>
      <c r="F138" s="4"/>
      <c r="G138" s="172"/>
      <c r="H138" s="4"/>
      <c r="I138" s="181"/>
      <c r="J138" s="4"/>
      <c r="K138" s="172"/>
    </row>
    <row r="139" spans="1:11">
      <c r="A139" s="8"/>
      <c r="B139" s="249"/>
      <c r="C139" s="4"/>
      <c r="D139" s="181"/>
      <c r="E139" s="4"/>
      <c r="F139" s="4"/>
      <c r="G139" s="172"/>
      <c r="H139" s="4"/>
      <c r="I139" s="181"/>
      <c r="J139" s="4"/>
      <c r="K139" s="172"/>
    </row>
    <row r="140" spans="1:11">
      <c r="A140" s="8"/>
      <c r="B140" s="249"/>
      <c r="C140" s="4"/>
      <c r="D140" s="181"/>
      <c r="E140" s="4"/>
      <c r="F140" s="4"/>
      <c r="G140" s="172"/>
      <c r="H140" s="4"/>
      <c r="I140" s="181"/>
      <c r="J140" s="4"/>
      <c r="K140" s="172"/>
    </row>
    <row r="141" spans="1:11">
      <c r="A141" s="8"/>
      <c r="B141" s="249"/>
      <c r="C141" s="4"/>
      <c r="D141" s="181"/>
      <c r="E141" s="4"/>
      <c r="F141" s="4"/>
      <c r="G141" s="172"/>
      <c r="H141" s="4"/>
      <c r="I141" s="181"/>
      <c r="J141" s="4"/>
      <c r="K141" s="172"/>
    </row>
    <row r="142" spans="1:11">
      <c r="A142" s="8"/>
      <c r="B142" s="249"/>
      <c r="C142" s="4"/>
      <c r="D142" s="181"/>
      <c r="E142" s="4"/>
      <c r="F142" s="4"/>
      <c r="G142" s="172"/>
      <c r="H142" s="4"/>
      <c r="I142" s="181"/>
      <c r="J142" s="4"/>
      <c r="K142" s="172"/>
    </row>
    <row r="143" spans="1:11">
      <c r="A143" s="8"/>
      <c r="B143" s="249"/>
      <c r="C143" s="4"/>
      <c r="D143" s="181"/>
      <c r="E143" s="4"/>
      <c r="F143" s="4"/>
      <c r="G143" s="172"/>
      <c r="H143" s="4"/>
      <c r="I143" s="181"/>
      <c r="J143" s="4"/>
      <c r="K143" s="172"/>
    </row>
    <row r="144" spans="1:11">
      <c r="A144" s="8"/>
      <c r="B144" s="249"/>
      <c r="C144" s="4"/>
      <c r="D144" s="181"/>
      <c r="E144" s="4"/>
      <c r="F144" s="4"/>
      <c r="G144" s="172"/>
      <c r="H144" s="4"/>
      <c r="I144" s="181"/>
      <c r="J144" s="4"/>
      <c r="K144" s="172"/>
    </row>
    <row r="145" spans="1:11">
      <c r="A145" s="8"/>
      <c r="B145" s="249"/>
      <c r="C145" s="4"/>
      <c r="D145" s="181"/>
      <c r="E145" s="4"/>
      <c r="F145" s="4"/>
      <c r="G145" s="172"/>
      <c r="H145" s="4"/>
      <c r="I145" s="181"/>
      <c r="J145" s="4"/>
      <c r="K145" s="172"/>
    </row>
    <row r="146" spans="1:11">
      <c r="A146" s="8"/>
      <c r="B146" s="249"/>
      <c r="C146" s="4"/>
      <c r="D146" s="181"/>
      <c r="E146" s="4"/>
      <c r="F146" s="4"/>
      <c r="G146" s="172"/>
      <c r="H146" s="4"/>
      <c r="I146" s="181"/>
      <c r="J146" s="4"/>
      <c r="K146" s="172"/>
    </row>
    <row r="147" spans="1:11">
      <c r="A147" s="8"/>
      <c r="B147" s="249"/>
      <c r="C147" s="4"/>
      <c r="D147" s="181"/>
      <c r="E147" s="4"/>
      <c r="F147" s="4"/>
      <c r="G147" s="172"/>
      <c r="H147" s="4"/>
      <c r="I147" s="181"/>
      <c r="J147" s="4"/>
      <c r="K147" s="172"/>
    </row>
    <row r="148" spans="1:11">
      <c r="A148" s="8"/>
      <c r="B148" s="249"/>
      <c r="C148" s="4"/>
      <c r="D148" s="181"/>
      <c r="E148" s="4"/>
      <c r="F148" s="4"/>
      <c r="G148" s="172"/>
      <c r="H148" s="4"/>
      <c r="I148" s="181"/>
      <c r="J148" s="4"/>
      <c r="K148" s="172"/>
    </row>
    <row r="149" spans="1:11">
      <c r="A149" s="452"/>
      <c r="B149" s="452"/>
      <c r="C149" s="452"/>
      <c r="D149" s="181"/>
      <c r="E149" s="4"/>
      <c r="F149" s="4"/>
      <c r="G149" s="172"/>
      <c r="H149" s="4"/>
      <c r="I149" s="453"/>
      <c r="J149" s="453"/>
      <c r="K149" s="453"/>
    </row>
    <row r="150" spans="1:11">
      <c r="A150" s="452"/>
      <c r="B150" s="452"/>
      <c r="C150" s="4"/>
      <c r="D150" s="181"/>
      <c r="E150" s="4"/>
      <c r="F150" s="4"/>
      <c r="G150" s="172"/>
      <c r="H150" s="4"/>
      <c r="I150" s="181"/>
      <c r="J150" s="4"/>
      <c r="K150" s="248"/>
    </row>
    <row r="151" spans="1:11" ht="32.25" customHeight="1">
      <c r="A151" s="460"/>
      <c r="B151" s="460"/>
      <c r="C151" s="460"/>
      <c r="D151" s="460"/>
      <c r="E151" s="460"/>
      <c r="F151" s="460"/>
      <c r="G151" s="460"/>
      <c r="H151" s="460"/>
      <c r="I151" s="460"/>
      <c r="J151" s="460"/>
      <c r="K151" s="460"/>
    </row>
    <row r="152" spans="1:11">
      <c r="B152" s="249"/>
      <c r="C152" s="249"/>
      <c r="D152" s="150"/>
      <c r="E152" s="249"/>
      <c r="F152" s="454"/>
      <c r="G152" s="459"/>
      <c r="H152" s="459"/>
      <c r="I152" s="459"/>
      <c r="J152" s="459"/>
      <c r="K152" s="459"/>
    </row>
    <row r="153" spans="1:11">
      <c r="B153" s="249"/>
      <c r="C153" s="249"/>
      <c r="D153" s="454"/>
      <c r="E153" s="454"/>
      <c r="F153" s="454"/>
      <c r="G153" s="454"/>
      <c r="H153" s="454"/>
      <c r="I153" s="454"/>
      <c r="J153" s="454"/>
      <c r="K153" s="454"/>
    </row>
    <row r="154" spans="1:11">
      <c r="B154" s="249"/>
      <c r="C154" s="249"/>
      <c r="D154" s="150"/>
      <c r="E154" s="249"/>
      <c r="F154" s="249"/>
      <c r="G154" s="249"/>
      <c r="H154" s="1"/>
      <c r="I154" s="250"/>
      <c r="J154" s="250"/>
      <c r="K154" s="250"/>
    </row>
    <row r="155" spans="1:11">
      <c r="B155" s="249"/>
      <c r="C155" s="249"/>
      <c r="D155" s="150"/>
      <c r="E155" s="249"/>
      <c r="F155" s="249"/>
      <c r="G155" s="249"/>
      <c r="H155" s="1"/>
      <c r="I155" s="454" t="s">
        <v>507</v>
      </c>
      <c r="J155" s="454"/>
      <c r="K155" s="454"/>
    </row>
    <row r="156" spans="1:11">
      <c r="B156" s="249"/>
      <c r="C156" s="249"/>
      <c r="D156" s="150"/>
      <c r="E156" s="249"/>
      <c r="F156" s="249"/>
      <c r="G156" s="249"/>
      <c r="H156" s="1"/>
      <c r="I156" s="1"/>
      <c r="J156" s="454" t="s">
        <v>395</v>
      </c>
      <c r="K156" s="454"/>
    </row>
    <row r="157" spans="1:11">
      <c r="B157" s="249"/>
      <c r="C157" s="249"/>
      <c r="D157" s="150"/>
      <c r="E157" s="249"/>
      <c r="F157" s="249"/>
      <c r="G157" s="249"/>
      <c r="H157" s="1"/>
      <c r="I157" s="1"/>
      <c r="J157" s="1"/>
      <c r="K157" s="250"/>
    </row>
    <row r="158" spans="1:11">
      <c r="B158" s="249" t="s">
        <v>0</v>
      </c>
      <c r="C158" s="249"/>
      <c r="D158" s="150" t="s">
        <v>1</v>
      </c>
      <c r="E158" s="249"/>
      <c r="F158" s="249"/>
      <c r="G158" s="249"/>
      <c r="H158" s="1"/>
      <c r="I158" s="1"/>
      <c r="J158" s="1"/>
      <c r="K158" s="252" t="str">
        <f>K7</f>
        <v>Projected - For the 12 months ended 12/31/22</v>
      </c>
    </row>
    <row r="159" spans="1:11">
      <c r="B159" s="249"/>
      <c r="C159" s="4" t="s">
        <v>2</v>
      </c>
      <c r="D159" s="4" t="s">
        <v>3</v>
      </c>
      <c r="E159" s="4"/>
      <c r="F159" s="4"/>
      <c r="G159" s="4"/>
      <c r="H159" s="1"/>
      <c r="I159" s="1"/>
      <c r="J159" s="1"/>
      <c r="K159" s="1"/>
    </row>
    <row r="160" spans="1:11">
      <c r="B160" s="249"/>
      <c r="C160" s="4"/>
      <c r="D160" s="4"/>
      <c r="E160" s="4"/>
      <c r="F160" s="4"/>
      <c r="G160" s="4"/>
      <c r="H160" s="1"/>
      <c r="I160" s="1"/>
      <c r="J160" s="1"/>
      <c r="K160" s="1"/>
    </row>
    <row r="161" spans="1:11">
      <c r="A161" s="8"/>
      <c r="D161" s="282" t="str">
        <f>D10</f>
        <v>MidAmerican Energy Company</v>
      </c>
      <c r="J161" s="4"/>
      <c r="K161" s="4"/>
    </row>
    <row r="162" spans="1:11">
      <c r="A162" s="8"/>
      <c r="B162" s="8" t="s">
        <v>32</v>
      </c>
      <c r="C162" s="8" t="s">
        <v>33</v>
      </c>
      <c r="D162" s="8" t="s">
        <v>34</v>
      </c>
      <c r="E162" s="4" t="s">
        <v>2</v>
      </c>
      <c r="F162" s="4"/>
      <c r="G162" s="272" t="s">
        <v>35</v>
      </c>
      <c r="H162" s="4"/>
      <c r="I162" s="186" t="s">
        <v>36</v>
      </c>
      <c r="J162" s="4"/>
      <c r="K162" s="4"/>
    </row>
    <row r="163" spans="1:11">
      <c r="A163" s="8" t="s">
        <v>4</v>
      </c>
      <c r="B163" s="249"/>
      <c r="C163" s="273" t="s">
        <v>37</v>
      </c>
      <c r="D163" s="4"/>
      <c r="E163" s="4"/>
      <c r="F163" s="4"/>
      <c r="G163" s="8"/>
      <c r="H163" s="4"/>
      <c r="I163" s="2" t="s">
        <v>38</v>
      </c>
      <c r="J163" s="4"/>
      <c r="K163" s="2"/>
    </row>
    <row r="164" spans="1:11" ht="16.5" thickBot="1">
      <c r="A164" s="256" t="s">
        <v>6</v>
      </c>
      <c r="B164" s="249"/>
      <c r="C164" s="274" t="s">
        <v>39</v>
      </c>
      <c r="D164" s="2" t="s">
        <v>40</v>
      </c>
      <c r="E164" s="275"/>
      <c r="F164" s="2" t="s">
        <v>41</v>
      </c>
      <c r="H164" s="275"/>
      <c r="I164" s="8" t="s">
        <v>42</v>
      </c>
      <c r="J164" s="4"/>
      <c r="K164" s="2"/>
    </row>
    <row r="165" spans="1:11">
      <c r="A165" s="8"/>
      <c r="B165" s="249" t="s">
        <v>429</v>
      </c>
      <c r="C165" s="4"/>
      <c r="D165" s="4"/>
      <c r="E165" s="4"/>
      <c r="F165" s="4"/>
      <c r="G165" s="4"/>
      <c r="H165" s="4"/>
      <c r="I165" s="4"/>
      <c r="J165" s="4"/>
      <c r="K165" s="4"/>
    </row>
    <row r="166" spans="1:11">
      <c r="A166" s="8">
        <v>1</v>
      </c>
      <c r="B166" s="249" t="s">
        <v>59</v>
      </c>
      <c r="C166" s="4" t="s">
        <v>209</v>
      </c>
      <c r="D166" s="4">
        <f>'O&amp;M'!C22</f>
        <v>107340357.31999999</v>
      </c>
      <c r="E166" s="4"/>
      <c r="F166" s="4" t="s">
        <v>57</v>
      </c>
      <c r="G166" s="174">
        <f>I254</f>
        <v>0.98587128794923973</v>
      </c>
      <c r="H166" s="4"/>
      <c r="I166" s="7">
        <f>+G166*D166</f>
        <v>105823776.31999999</v>
      </c>
      <c r="J166" s="1"/>
      <c r="K166" s="4"/>
    </row>
    <row r="167" spans="1:11">
      <c r="A167" s="8" t="s">
        <v>202</v>
      </c>
      <c r="B167" s="249" t="s">
        <v>236</v>
      </c>
      <c r="C167" s="4"/>
      <c r="D167" s="4">
        <f>'Acct 561'!C15+'Acct 561'!C23</f>
        <v>8385000</v>
      </c>
      <c r="E167" s="4"/>
      <c r="F167" s="283"/>
      <c r="G167" s="277">
        <v>1</v>
      </c>
      <c r="H167" s="4"/>
      <c r="I167" s="7">
        <f>+G167*D167</f>
        <v>8385000</v>
      </c>
      <c r="J167" s="1"/>
      <c r="K167" s="4"/>
    </row>
    <row r="168" spans="1:11">
      <c r="A168" s="8">
        <v>2</v>
      </c>
      <c r="B168" s="249" t="s">
        <v>60</v>
      </c>
      <c r="C168" s="4" t="s">
        <v>210</v>
      </c>
      <c r="D168" s="4">
        <f>'Acct 565'!C13</f>
        <v>84065371</v>
      </c>
      <c r="E168" s="4"/>
      <c r="F168" s="4" t="s">
        <v>57</v>
      </c>
      <c r="G168" s="174">
        <f>+G166</f>
        <v>0.98587128794923973</v>
      </c>
      <c r="H168" s="4"/>
      <c r="I168" s="7">
        <f t="shared" ref="I168:I174" si="3">+G168*D168</f>
        <v>82877635.579700664</v>
      </c>
      <c r="J168" s="1"/>
      <c r="K168" s="4"/>
    </row>
    <row r="169" spans="1:11">
      <c r="A169" s="8">
        <v>3</v>
      </c>
      <c r="B169" s="249" t="s">
        <v>61</v>
      </c>
      <c r="C169" s="4" t="s">
        <v>211</v>
      </c>
      <c r="D169" s="4">
        <f>'A&amp;G'!C22</f>
        <v>67476835.080000013</v>
      </c>
      <c r="E169" s="4"/>
      <c r="F169" s="4" t="s">
        <v>49</v>
      </c>
      <c r="G169" s="174">
        <f>+G104</f>
        <v>6.2441158820641843E-2</v>
      </c>
      <c r="H169" s="4"/>
      <c r="I169" s="7">
        <f t="shared" si="3"/>
        <v>4213331.7759445375</v>
      </c>
      <c r="J169" s="4"/>
      <c r="K169" s="4" t="s">
        <v>2</v>
      </c>
    </row>
    <row r="170" spans="1:11">
      <c r="A170" s="8">
        <v>4</v>
      </c>
      <c r="B170" s="249" t="s">
        <v>62</v>
      </c>
      <c r="C170" s="4" t="s">
        <v>304</v>
      </c>
      <c r="D170" s="4">
        <f>'FERC Exp &amp; EPRI'!C10</f>
        <v>2121634</v>
      </c>
      <c r="E170" s="4"/>
      <c r="F170" s="7" t="str">
        <f>+F169</f>
        <v>W/S</v>
      </c>
      <c r="G170" s="174">
        <f>+G169</f>
        <v>6.2441158820641843E-2</v>
      </c>
      <c r="H170" s="4"/>
      <c r="I170" s="7">
        <f t="shared" si="3"/>
        <v>132477.28555327363</v>
      </c>
      <c r="J170" s="4"/>
      <c r="K170" s="4"/>
    </row>
    <row r="171" spans="1:11">
      <c r="A171" s="8">
        <v>5</v>
      </c>
      <c r="B171" s="249" t="s">
        <v>305</v>
      </c>
      <c r="C171" s="4"/>
      <c r="D171" s="4">
        <f>'FERC Exp &amp; EPRI'!C12</f>
        <v>30000</v>
      </c>
      <c r="E171" s="4"/>
      <c r="F171" s="7" t="str">
        <f>+F170</f>
        <v>W/S</v>
      </c>
      <c r="G171" s="174">
        <f>+G170</f>
        <v>6.2441158820641843E-2</v>
      </c>
      <c r="H171" s="4"/>
      <c r="I171" s="7">
        <f t="shared" si="3"/>
        <v>1873.2347646192552</v>
      </c>
      <c r="J171" s="4"/>
      <c r="K171" s="4"/>
    </row>
    <row r="172" spans="1:11">
      <c r="A172" s="8" t="s">
        <v>180</v>
      </c>
      <c r="B172" s="249" t="s">
        <v>237</v>
      </c>
      <c r="C172" s="4"/>
      <c r="D172" s="4">
        <v>0</v>
      </c>
      <c r="E172" s="4"/>
      <c r="F172" s="173" t="str">
        <f>+F166</f>
        <v>TE</v>
      </c>
      <c r="G172" s="174">
        <f>+G166</f>
        <v>0.98587128794923973</v>
      </c>
      <c r="H172" s="4"/>
      <c r="I172" s="7">
        <f>+G172*D172</f>
        <v>0</v>
      </c>
      <c r="J172" s="4"/>
      <c r="K172" s="4"/>
    </row>
    <row r="173" spans="1:11">
      <c r="A173" s="8">
        <v>6</v>
      </c>
      <c r="B173" s="249" t="s">
        <v>50</v>
      </c>
      <c r="C173" s="7" t="str">
        <f>+C105</f>
        <v>356.1</v>
      </c>
      <c r="D173" s="4">
        <v>0</v>
      </c>
      <c r="E173" s="4"/>
      <c r="F173" s="4" t="s">
        <v>94</v>
      </c>
      <c r="G173" s="174">
        <f>+G105</f>
        <v>5.821266953656222E-2</v>
      </c>
      <c r="H173" s="4"/>
      <c r="I173" s="7">
        <f t="shared" si="3"/>
        <v>0</v>
      </c>
      <c r="J173" s="4"/>
      <c r="K173" s="4"/>
    </row>
    <row r="174" spans="1:11" ht="16.5" thickBot="1">
      <c r="A174" s="8">
        <v>7</v>
      </c>
      <c r="B174" s="249" t="s">
        <v>63</v>
      </c>
      <c r="C174" s="4"/>
      <c r="D174" s="262">
        <v>0</v>
      </c>
      <c r="E174" s="4"/>
      <c r="F174" s="4" t="s">
        <v>2</v>
      </c>
      <c r="G174" s="277">
        <v>1</v>
      </c>
      <c r="H174" s="4"/>
      <c r="I174" s="259">
        <f t="shared" si="3"/>
        <v>0</v>
      </c>
      <c r="J174" s="4"/>
      <c r="K174" s="4"/>
    </row>
    <row r="175" spans="1:11">
      <c r="A175" s="8">
        <v>8</v>
      </c>
      <c r="B175" s="249" t="s">
        <v>272</v>
      </c>
      <c r="C175" s="4"/>
      <c r="D175" s="7">
        <f>+D166-D168+D169-D170-D171-D167+D173+D174+D172</f>
        <v>80215187.400000006</v>
      </c>
      <c r="E175" s="4"/>
      <c r="F175" s="4"/>
      <c r="G175" s="4"/>
      <c r="H175" s="4"/>
      <c r="I175" s="7">
        <f>+I166-I168+I169-I170-I171-I167+I173+I174+I172</f>
        <v>18640121.995925974</v>
      </c>
      <c r="J175" s="4"/>
      <c r="K175" s="4"/>
    </row>
    <row r="176" spans="1:11">
      <c r="A176" s="8"/>
      <c r="C176" s="4"/>
      <c r="E176" s="4"/>
      <c r="F176" s="4"/>
      <c r="G176" s="4"/>
      <c r="H176" s="4"/>
      <c r="J176" s="4"/>
      <c r="K176" s="4"/>
    </row>
    <row r="177" spans="1:11">
      <c r="A177" s="8"/>
      <c r="B177" s="249" t="s">
        <v>445</v>
      </c>
      <c r="C177" s="4"/>
      <c r="D177" s="4"/>
      <c r="E177" s="4"/>
      <c r="F177" s="4"/>
      <c r="G177" s="4"/>
      <c r="H177" s="4"/>
      <c r="I177" s="4"/>
      <c r="J177" s="4"/>
      <c r="K177" s="4"/>
    </row>
    <row r="178" spans="1:11">
      <c r="A178" s="8">
        <v>9</v>
      </c>
      <c r="B178" s="279" t="str">
        <f>+B166</f>
        <v xml:space="preserve">  Transmission </v>
      </c>
      <c r="C178" s="4" t="s">
        <v>64</v>
      </c>
      <c r="D178" s="4">
        <f>Depreciation!C12</f>
        <v>53495282</v>
      </c>
      <c r="E178" s="4"/>
      <c r="F178" s="4" t="s">
        <v>11</v>
      </c>
      <c r="G178" s="174">
        <f>+G128</f>
        <v>1</v>
      </c>
      <c r="H178" s="4"/>
      <c r="I178" s="7">
        <f>+G178*D178</f>
        <v>53495282</v>
      </c>
      <c r="J178" s="4"/>
      <c r="K178" s="172"/>
    </row>
    <row r="179" spans="1:11">
      <c r="A179" s="8" t="s">
        <v>340</v>
      </c>
      <c r="B179" s="249" t="s">
        <v>358</v>
      </c>
      <c r="C179" s="4" t="s">
        <v>444</v>
      </c>
      <c r="D179" s="4">
        <f>AFUDC!K128*(-1)</f>
        <v>-658536</v>
      </c>
      <c r="E179" s="4"/>
      <c r="F179" s="4" t="s">
        <v>11</v>
      </c>
      <c r="G179" s="174">
        <f>+G128</f>
        <v>1</v>
      </c>
      <c r="H179" s="4"/>
      <c r="I179" s="7">
        <f t="shared" ref="I179:I180" si="4">+G179*D179</f>
        <v>-658536</v>
      </c>
      <c r="J179" s="4"/>
      <c r="K179" s="172"/>
    </row>
    <row r="180" spans="1:11">
      <c r="A180" s="8" t="s">
        <v>341</v>
      </c>
      <c r="B180" s="249" t="s">
        <v>342</v>
      </c>
      <c r="C180" s="4" t="s">
        <v>444</v>
      </c>
      <c r="D180" s="4">
        <v>0</v>
      </c>
      <c r="E180" s="4"/>
      <c r="F180" s="4" t="s">
        <v>11</v>
      </c>
      <c r="G180" s="174">
        <f>+G128</f>
        <v>1</v>
      </c>
      <c r="H180" s="4"/>
      <c r="I180" s="7">
        <f t="shared" si="4"/>
        <v>0</v>
      </c>
      <c r="J180" s="4"/>
      <c r="K180" s="172"/>
    </row>
    <row r="181" spans="1:11">
      <c r="A181" s="8">
        <v>10</v>
      </c>
      <c r="B181" s="249" t="s">
        <v>430</v>
      </c>
      <c r="C181" s="4" t="s">
        <v>462</v>
      </c>
      <c r="D181" s="4">
        <f>Depreciation!C18</f>
        <v>47815109</v>
      </c>
      <c r="E181" s="4"/>
      <c r="F181" s="4" t="s">
        <v>49</v>
      </c>
      <c r="G181" s="174">
        <f>+G169</f>
        <v>6.2441158820641843E-2</v>
      </c>
      <c r="H181" s="4"/>
      <c r="I181" s="7">
        <f>+G181*D181</f>
        <v>2985630.8150953013</v>
      </c>
      <c r="J181" s="4"/>
      <c r="K181" s="172"/>
    </row>
    <row r="182" spans="1:11" ht="16.5" thickBot="1">
      <c r="A182" s="8">
        <v>11</v>
      </c>
      <c r="B182" s="279" t="str">
        <f>+B173</f>
        <v xml:space="preserve">  Common</v>
      </c>
      <c r="C182" s="4" t="s">
        <v>212</v>
      </c>
      <c r="D182" s="262">
        <v>0</v>
      </c>
      <c r="E182" s="4"/>
      <c r="F182" s="4" t="s">
        <v>94</v>
      </c>
      <c r="G182" s="174">
        <f>+G173</f>
        <v>5.821266953656222E-2</v>
      </c>
      <c r="H182" s="4"/>
      <c r="I182" s="259">
        <f>+G182*D182</f>
        <v>0</v>
      </c>
      <c r="J182" s="4"/>
      <c r="K182" s="172"/>
    </row>
    <row r="183" spans="1:11">
      <c r="A183" s="8">
        <v>12</v>
      </c>
      <c r="B183" s="249" t="s">
        <v>259</v>
      </c>
      <c r="C183" s="4"/>
      <c r="D183" s="7">
        <f>SUM(D178:D182)</f>
        <v>100651855</v>
      </c>
      <c r="E183" s="4"/>
      <c r="F183" s="4"/>
      <c r="G183" s="4"/>
      <c r="H183" s="4"/>
      <c r="I183" s="7">
        <f>SUM(I178:I182)</f>
        <v>55822376.815095298</v>
      </c>
      <c r="J183" s="4"/>
      <c r="K183" s="4"/>
    </row>
    <row r="184" spans="1:11">
      <c r="A184" s="8"/>
      <c r="B184" s="249"/>
      <c r="C184" s="4"/>
      <c r="D184" s="4"/>
      <c r="E184" s="4"/>
      <c r="F184" s="4"/>
      <c r="G184" s="4"/>
      <c r="H184" s="4"/>
      <c r="I184" s="4"/>
      <c r="J184" s="4"/>
      <c r="K184" s="4"/>
    </row>
    <row r="185" spans="1:11">
      <c r="A185" s="8" t="s">
        <v>2</v>
      </c>
      <c r="B185" s="249" t="s">
        <v>238</v>
      </c>
      <c r="D185" s="4"/>
      <c r="E185" s="4"/>
      <c r="F185" s="4"/>
      <c r="G185" s="4"/>
      <c r="H185" s="4"/>
      <c r="I185" s="4"/>
      <c r="J185" s="4"/>
      <c r="K185" s="4"/>
    </row>
    <row r="186" spans="1:11">
      <c r="A186" s="8"/>
      <c r="B186" s="249" t="s">
        <v>65</v>
      </c>
      <c r="E186" s="4"/>
      <c r="F186" s="4"/>
      <c r="H186" s="4"/>
      <c r="J186" s="4"/>
      <c r="K186" s="172"/>
    </row>
    <row r="187" spans="1:11">
      <c r="A187" s="8">
        <v>13</v>
      </c>
      <c r="B187" s="249" t="s">
        <v>66</v>
      </c>
      <c r="C187" s="4" t="s">
        <v>190</v>
      </c>
      <c r="D187" s="4">
        <f>'Other Tax'!C9</f>
        <v>10895804.031002881</v>
      </c>
      <c r="E187" s="4"/>
      <c r="F187" s="4" t="s">
        <v>49</v>
      </c>
      <c r="G187" s="204">
        <f>+G181</f>
        <v>6.2441158820641843E-2</v>
      </c>
      <c r="H187" s="4"/>
      <c r="I187" s="7">
        <f>+G187*D187</f>
        <v>680346.62997844047</v>
      </c>
      <c r="J187" s="4"/>
      <c r="K187" s="172"/>
    </row>
    <row r="188" spans="1:11">
      <c r="A188" s="8">
        <v>14</v>
      </c>
      <c r="B188" s="249" t="s">
        <v>67</v>
      </c>
      <c r="C188" s="7" t="str">
        <f>+C187</f>
        <v>263.i</v>
      </c>
      <c r="D188" s="4">
        <v>0</v>
      </c>
      <c r="E188" s="4"/>
      <c r="F188" s="7" t="str">
        <f>+F187</f>
        <v>W/S</v>
      </c>
      <c r="G188" s="204">
        <f>+G187</f>
        <v>6.2441158820641843E-2</v>
      </c>
      <c r="H188" s="4"/>
      <c r="I188" s="7">
        <f>+G188*D188</f>
        <v>0</v>
      </c>
      <c r="J188" s="4"/>
      <c r="K188" s="172"/>
    </row>
    <row r="189" spans="1:11">
      <c r="A189" s="8">
        <v>15</v>
      </c>
      <c r="B189" s="249" t="s">
        <v>68</v>
      </c>
      <c r="C189" s="4" t="s">
        <v>2</v>
      </c>
      <c r="E189" s="4"/>
      <c r="F189" s="4"/>
      <c r="H189" s="4"/>
      <c r="J189" s="4"/>
      <c r="K189" s="172"/>
    </row>
    <row r="190" spans="1:11">
      <c r="A190" s="8">
        <v>16</v>
      </c>
      <c r="B190" s="249" t="s">
        <v>69</v>
      </c>
      <c r="C190" s="4" t="s">
        <v>190</v>
      </c>
      <c r="D190" s="4">
        <f>'Other Tax'!C13</f>
        <v>128310770.31410556</v>
      </c>
      <c r="E190" s="4"/>
      <c r="F190" s="4" t="s">
        <v>58</v>
      </c>
      <c r="G190" s="204">
        <f>+G98</f>
        <v>0.10516005846414765</v>
      </c>
      <c r="H190" s="4"/>
      <c r="I190" s="7">
        <f>+G190*D190</f>
        <v>13493168.10781116</v>
      </c>
      <c r="J190" s="4"/>
      <c r="K190" s="172"/>
    </row>
    <row r="191" spans="1:11">
      <c r="A191" s="8">
        <v>17</v>
      </c>
      <c r="B191" s="249" t="s">
        <v>70</v>
      </c>
      <c r="C191" s="4" t="s">
        <v>190</v>
      </c>
      <c r="D191" s="4">
        <v>0</v>
      </c>
      <c r="E191" s="4"/>
      <c r="F191" s="7" t="str">
        <f>+F119</f>
        <v>TP</v>
      </c>
      <c r="G191" s="175" t="s">
        <v>181</v>
      </c>
      <c r="H191" s="4"/>
      <c r="I191" s="4">
        <v>0</v>
      </c>
      <c r="J191" s="4"/>
      <c r="K191" s="172"/>
    </row>
    <row r="192" spans="1:11">
      <c r="A192" s="8">
        <v>18</v>
      </c>
      <c r="B192" s="249" t="s">
        <v>71</v>
      </c>
      <c r="C192" s="7" t="str">
        <f>+C191</f>
        <v>263.i</v>
      </c>
      <c r="D192" s="4">
        <f>'Other Tax'!C17</f>
        <v>975511.6547644221</v>
      </c>
      <c r="E192" s="4"/>
      <c r="F192" s="7" t="str">
        <f>+F190</f>
        <v>GP</v>
      </c>
      <c r="G192" s="204">
        <f>+G190</f>
        <v>0.10516005846414765</v>
      </c>
      <c r="H192" s="4"/>
      <c r="I192" s="7">
        <f>+G192*D192</f>
        <v>102584.86264748404</v>
      </c>
      <c r="J192" s="4"/>
      <c r="K192" s="172"/>
    </row>
    <row r="193" spans="1:13" ht="16.5" thickBot="1">
      <c r="A193" s="8">
        <v>19</v>
      </c>
      <c r="B193" s="249" t="s">
        <v>72</v>
      </c>
      <c r="C193" s="4"/>
      <c r="D193" s="262">
        <v>0</v>
      </c>
      <c r="E193" s="4"/>
      <c r="F193" s="4" t="s">
        <v>58</v>
      </c>
      <c r="G193" s="204">
        <f>+G190</f>
        <v>0.10516005846414765</v>
      </c>
      <c r="H193" s="4"/>
      <c r="I193" s="259">
        <f>+G193*D193</f>
        <v>0</v>
      </c>
      <c r="J193" s="4"/>
      <c r="K193" s="172"/>
      <c r="M193" s="180"/>
    </row>
    <row r="194" spans="1:13">
      <c r="A194" s="8">
        <v>20</v>
      </c>
      <c r="B194" s="249" t="s">
        <v>73</v>
      </c>
      <c r="C194" s="4"/>
      <c r="D194" s="7">
        <f>SUM(D187:D193)</f>
        <v>140182085.99987286</v>
      </c>
      <c r="E194" s="4"/>
      <c r="F194" s="4"/>
      <c r="G194" s="261"/>
      <c r="H194" s="4"/>
      <c r="I194" s="7">
        <f>SUM(I187:I193)</f>
        <v>14276099.600437084</v>
      </c>
      <c r="J194" s="4"/>
      <c r="K194" s="4"/>
    </row>
    <row r="195" spans="1:13">
      <c r="A195" s="8"/>
      <c r="B195" s="249"/>
      <c r="C195" s="4"/>
      <c r="D195" s="4"/>
      <c r="E195" s="4"/>
      <c r="F195" s="4"/>
      <c r="G195" s="261"/>
      <c r="H195" s="4"/>
      <c r="I195" s="4"/>
      <c r="J195" s="4"/>
      <c r="K195" s="4"/>
    </row>
    <row r="196" spans="1:13">
      <c r="A196" s="8" t="s">
        <v>2</v>
      </c>
      <c r="B196" s="249" t="s">
        <v>74</v>
      </c>
      <c r="C196" s="4" t="s">
        <v>239</v>
      </c>
      <c r="D196" s="4"/>
      <c r="E196" s="4"/>
      <c r="G196" s="284"/>
      <c r="H196" s="4"/>
      <c r="J196" s="4"/>
    </row>
    <row r="197" spans="1:13">
      <c r="A197" s="8">
        <v>21</v>
      </c>
      <c r="B197" s="285" t="s">
        <v>161</v>
      </c>
      <c r="C197" s="4"/>
      <c r="D197" s="176">
        <f>IF(D331&gt;0,1-(((1-D332)*(1-D331))/(1-D332*D331*D333)),0)</f>
        <v>0.2794168961073914</v>
      </c>
      <c r="E197" s="4"/>
      <c r="G197" s="284"/>
      <c r="H197" s="4"/>
      <c r="J197" s="4"/>
    </row>
    <row r="198" spans="1:13">
      <c r="A198" s="8">
        <v>22</v>
      </c>
      <c r="B198" s="171" t="s">
        <v>162</v>
      </c>
      <c r="C198" s="4"/>
      <c r="D198" s="176">
        <f>IF(I285&gt;0,(D197/(1-D197))*(1-I282/I285),0)</f>
        <v>0.29177100723644378</v>
      </c>
      <c r="E198" s="4"/>
      <c r="G198" s="284"/>
      <c r="H198" s="4"/>
      <c r="J198" s="4"/>
    </row>
    <row r="199" spans="1:13">
      <c r="A199" s="8"/>
      <c r="B199" s="249" t="s">
        <v>227</v>
      </c>
      <c r="C199" s="4"/>
      <c r="D199" s="4"/>
      <c r="E199" s="4"/>
      <c r="G199" s="284"/>
      <c r="H199" s="4"/>
      <c r="J199" s="4"/>
    </row>
    <row r="200" spans="1:13">
      <c r="A200" s="8"/>
      <c r="B200" s="249" t="s">
        <v>165</v>
      </c>
      <c r="C200" s="4"/>
      <c r="D200" s="4"/>
      <c r="E200" s="4"/>
      <c r="G200" s="284"/>
      <c r="H200" s="4"/>
      <c r="J200" s="4"/>
    </row>
    <row r="201" spans="1:13">
      <c r="A201" s="8">
        <v>23</v>
      </c>
      <c r="B201" s="285" t="s">
        <v>164</v>
      </c>
      <c r="C201" s="4"/>
      <c r="D201" s="177">
        <f>IF(D197&gt;0,1/(1-D197),0)</f>
        <v>1.3877649844937718</v>
      </c>
      <c r="E201" s="4"/>
      <c r="G201" s="284"/>
      <c r="H201" s="4"/>
      <c r="J201" s="4"/>
    </row>
    <row r="202" spans="1:13">
      <c r="A202" s="8">
        <v>24</v>
      </c>
      <c r="B202" s="249" t="s">
        <v>163</v>
      </c>
      <c r="C202" s="4"/>
      <c r="D202" s="4">
        <f>'Amort Inves Tax Credit'!C11*(-1)</f>
        <v>-2969537</v>
      </c>
      <c r="E202" s="4"/>
      <c r="G202" s="284"/>
      <c r="H202" s="4"/>
      <c r="J202" s="4"/>
    </row>
    <row r="203" spans="1:13">
      <c r="A203" s="8" t="s">
        <v>641</v>
      </c>
      <c r="B203" s="286" t="s">
        <v>642</v>
      </c>
      <c r="C203" s="4"/>
      <c r="D203" s="4">
        <f>'Summ EADIT_Equity AFUDC '!G16</f>
        <v>39462.040836610344</v>
      </c>
      <c r="E203" s="4"/>
      <c r="G203" s="284"/>
      <c r="H203" s="4"/>
      <c r="J203" s="4"/>
    </row>
    <row r="204" spans="1:13">
      <c r="A204" s="8" t="s">
        <v>643</v>
      </c>
      <c r="B204" s="286" t="s">
        <v>644</v>
      </c>
      <c r="C204" s="4"/>
      <c r="D204" s="4">
        <f>'Summ EADIT_Equity AFUDC '!G35</f>
        <v>384332.74340534664</v>
      </c>
      <c r="E204" s="4"/>
      <c r="G204" s="284"/>
      <c r="H204" s="4"/>
      <c r="J204" s="4"/>
    </row>
    <row r="205" spans="1:13">
      <c r="A205" s="8">
        <v>25</v>
      </c>
      <c r="B205" s="285" t="s">
        <v>166</v>
      </c>
      <c r="C205" s="287"/>
      <c r="D205" s="7">
        <f>D198*D211</f>
        <v>405218411.7626006</v>
      </c>
      <c r="E205" s="4"/>
      <c r="F205" s="4" t="s">
        <v>45</v>
      </c>
      <c r="G205" s="261"/>
      <c r="H205" s="4"/>
      <c r="I205" s="7">
        <f>D198*I211</f>
        <v>36778865.99524758</v>
      </c>
      <c r="J205" s="4"/>
      <c r="K205" s="178" t="s">
        <v>2</v>
      </c>
    </row>
    <row r="206" spans="1:13">
      <c r="A206" s="8">
        <v>26</v>
      </c>
      <c r="B206" s="171" t="s">
        <v>168</v>
      </c>
      <c r="C206" s="287"/>
      <c r="D206" s="280">
        <f>D201*D202</f>
        <v>-4121019.4687586818</v>
      </c>
      <c r="E206" s="4"/>
      <c r="F206" s="171" t="s">
        <v>54</v>
      </c>
      <c r="G206" s="204">
        <f>G114</f>
        <v>0.1064166664339168</v>
      </c>
      <c r="H206" s="4"/>
      <c r="I206" s="280">
        <f>G206*D206</f>
        <v>-438545.15417456964</v>
      </c>
      <c r="J206" s="4"/>
      <c r="K206" s="178"/>
    </row>
    <row r="207" spans="1:13">
      <c r="A207" s="8" t="s">
        <v>645</v>
      </c>
      <c r="B207" s="286" t="s">
        <v>646</v>
      </c>
      <c r="C207" s="287"/>
      <c r="D207" s="280">
        <f>D201*D203</f>
        <v>54764.038489711143</v>
      </c>
      <c r="E207" s="4"/>
      <c r="F207" s="171" t="s">
        <v>11</v>
      </c>
      <c r="G207" s="204">
        <f>I245</f>
        <v>1</v>
      </c>
      <c r="H207" s="4"/>
      <c r="I207" s="280">
        <f t="shared" ref="I207:I208" si="5">G207*D207</f>
        <v>54764.038489711143</v>
      </c>
      <c r="J207" s="4"/>
      <c r="K207" s="178"/>
    </row>
    <row r="208" spans="1:13" ht="16.5" thickBot="1">
      <c r="A208" s="8" t="s">
        <v>647</v>
      </c>
      <c r="B208" s="286" t="s">
        <v>648</v>
      </c>
      <c r="C208" s="287"/>
      <c r="D208" s="259">
        <f>D201*D204</f>
        <v>533363.52369236969</v>
      </c>
      <c r="E208" s="4"/>
      <c r="F208" s="171" t="s">
        <v>11</v>
      </c>
      <c r="G208" s="204">
        <f>I245</f>
        <v>1</v>
      </c>
      <c r="H208" s="4"/>
      <c r="I208" s="259">
        <f t="shared" si="5"/>
        <v>533363.52369236969</v>
      </c>
      <c r="J208" s="4"/>
      <c r="K208" s="178"/>
    </row>
    <row r="209" spans="1:11">
      <c r="A209" s="8">
        <v>27</v>
      </c>
      <c r="B209" s="285" t="s">
        <v>149</v>
      </c>
      <c r="C209" s="171" t="s">
        <v>655</v>
      </c>
      <c r="D209" s="224">
        <f>+D205+D206+D207+D208</f>
        <v>401685519.85602397</v>
      </c>
      <c r="E209" s="4"/>
      <c r="F209" s="4" t="s">
        <v>2</v>
      </c>
      <c r="G209" s="261" t="s">
        <v>2</v>
      </c>
      <c r="H209" s="4"/>
      <c r="I209" s="224">
        <f>+I205+I206+I207+I208</f>
        <v>36928448.403255098</v>
      </c>
      <c r="J209" s="4"/>
      <c r="K209" s="4"/>
    </row>
    <row r="210" spans="1:11">
      <c r="A210" s="8" t="s">
        <v>2</v>
      </c>
      <c r="C210" s="288"/>
      <c r="D210" s="4"/>
      <c r="E210" s="4"/>
      <c r="F210" s="4"/>
      <c r="G210" s="261"/>
      <c r="H210" s="4"/>
      <c r="I210" s="4"/>
      <c r="J210" s="4"/>
      <c r="K210" s="4"/>
    </row>
    <row r="211" spans="1:11">
      <c r="A211" s="8">
        <v>28</v>
      </c>
      <c r="B211" s="249" t="s">
        <v>75</v>
      </c>
      <c r="C211" s="172"/>
      <c r="D211" s="7">
        <f>+$I285*D136</f>
        <v>1388823432.460587</v>
      </c>
      <c r="E211" s="4"/>
      <c r="F211" s="4" t="s">
        <v>45</v>
      </c>
      <c r="G211" s="284"/>
      <c r="H211" s="4"/>
      <c r="I211" s="7">
        <f>+$I285*I136</f>
        <v>126053874.72732314</v>
      </c>
      <c r="J211" s="4"/>
    </row>
    <row r="212" spans="1:11">
      <c r="A212" s="8"/>
      <c r="B212" s="285" t="s">
        <v>223</v>
      </c>
      <c r="D212" s="4"/>
      <c r="E212" s="4"/>
      <c r="F212" s="4"/>
      <c r="G212" s="284"/>
      <c r="H212" s="4"/>
      <c r="I212" s="4"/>
      <c r="J212" s="4"/>
      <c r="K212" s="172"/>
    </row>
    <row r="213" spans="1:11">
      <c r="A213" s="8"/>
      <c r="B213" s="249"/>
      <c r="D213" s="181"/>
      <c r="E213" s="4"/>
      <c r="F213" s="4"/>
      <c r="G213" s="284"/>
      <c r="H213" s="4"/>
      <c r="I213" s="181"/>
      <c r="J213" s="4"/>
      <c r="K213" s="172"/>
    </row>
    <row r="214" spans="1:11">
      <c r="A214" s="8">
        <v>29</v>
      </c>
      <c r="B214" s="249" t="s">
        <v>167</v>
      </c>
      <c r="C214" s="4"/>
      <c r="D214" s="280">
        <f>+D211+D209+D194+D183+D175</f>
        <v>2111558080.7164841</v>
      </c>
      <c r="E214" s="4"/>
      <c r="F214" s="4"/>
      <c r="G214" s="4"/>
      <c r="H214" s="4"/>
      <c r="I214" s="280">
        <f>+I211+I209+I194+I183+I175</f>
        <v>251720921.54203659</v>
      </c>
      <c r="J214" s="1"/>
      <c r="K214" s="1"/>
    </row>
    <row r="215" spans="1:11" ht="15.75" customHeight="1">
      <c r="A215" s="8">
        <v>30</v>
      </c>
      <c r="B215" s="249" t="s">
        <v>273</v>
      </c>
      <c r="C215" s="4"/>
      <c r="D215" s="181"/>
      <c r="E215" s="4"/>
      <c r="F215" s="4"/>
      <c r="G215" s="4"/>
      <c r="H215" s="4"/>
      <c r="I215" s="181"/>
      <c r="J215" s="1"/>
      <c r="K215" s="1"/>
    </row>
    <row r="216" spans="1:11">
      <c r="A216" s="8"/>
      <c r="B216" s="461" t="s">
        <v>222</v>
      </c>
      <c r="C216" s="461"/>
      <c r="J216" s="1"/>
      <c r="K216" s="1"/>
    </row>
    <row r="217" spans="1:11">
      <c r="A217" s="8"/>
      <c r="B217" s="249" t="s">
        <v>221</v>
      </c>
      <c r="C217" s="4"/>
      <c r="D217" s="181">
        <v>1023741</v>
      </c>
      <c r="E217" s="4"/>
      <c r="F217" s="4"/>
      <c r="G217" s="4"/>
      <c r="H217" s="4"/>
      <c r="I217" s="181">
        <f>D217</f>
        <v>1023741</v>
      </c>
      <c r="J217" s="1"/>
      <c r="K217" s="1"/>
    </row>
    <row r="218" spans="1:11">
      <c r="A218" s="8" t="s">
        <v>420</v>
      </c>
      <c r="B218" s="249" t="s">
        <v>508</v>
      </c>
      <c r="C218" s="4"/>
      <c r="D218" s="181"/>
      <c r="E218" s="4"/>
      <c r="F218" s="4"/>
      <c r="G218" s="4"/>
      <c r="H218" s="4"/>
      <c r="I218" s="181"/>
      <c r="J218" s="1"/>
      <c r="K218" s="1"/>
    </row>
    <row r="219" spans="1:11">
      <c r="A219" s="8"/>
      <c r="B219" s="249" t="s">
        <v>222</v>
      </c>
      <c r="C219" s="4"/>
      <c r="D219" s="181"/>
      <c r="E219" s="4"/>
      <c r="F219" s="4"/>
      <c r="G219" s="4"/>
      <c r="H219" s="4"/>
      <c r="I219" s="181"/>
      <c r="J219" s="1"/>
      <c r="K219" s="1"/>
    </row>
    <row r="220" spans="1:11" ht="16.5" thickBot="1">
      <c r="A220" s="8"/>
      <c r="B220" s="249" t="s">
        <v>421</v>
      </c>
      <c r="C220" s="4"/>
      <c r="D220" s="262">
        <v>57184322</v>
      </c>
      <c r="E220" s="4"/>
      <c r="F220" s="4"/>
      <c r="G220" s="4"/>
      <c r="H220" s="4"/>
      <c r="I220" s="262">
        <f>D220</f>
        <v>57184322</v>
      </c>
      <c r="J220" s="1"/>
      <c r="K220" s="1"/>
    </row>
    <row r="221" spans="1:11" ht="16.5" thickBot="1">
      <c r="A221" s="8">
        <v>31</v>
      </c>
      <c r="B221" s="171" t="s">
        <v>220</v>
      </c>
      <c r="C221" s="4"/>
      <c r="D221" s="179">
        <f>D214-D217-D220</f>
        <v>2053350017.7164841</v>
      </c>
      <c r="E221" s="4"/>
      <c r="F221" s="4"/>
      <c r="G221" s="4"/>
      <c r="H221" s="4"/>
      <c r="I221" s="179">
        <f>I214-I217-I220</f>
        <v>193512858.54203659</v>
      </c>
      <c r="J221" s="1"/>
      <c r="K221" s="4"/>
    </row>
    <row r="222" spans="1:11" ht="16.5" thickTop="1">
      <c r="A222" s="8"/>
      <c r="B222" s="249" t="s">
        <v>463</v>
      </c>
      <c r="C222" s="4"/>
      <c r="D222" s="181"/>
      <c r="E222" s="4"/>
      <c r="F222" s="4"/>
      <c r="G222" s="4"/>
      <c r="H222" s="4"/>
      <c r="I222" s="181"/>
      <c r="J222" s="1"/>
      <c r="K222" s="1"/>
    </row>
    <row r="223" spans="1:11">
      <c r="A223" s="8"/>
      <c r="B223" s="249"/>
      <c r="C223" s="4"/>
      <c r="D223" s="181"/>
      <c r="E223" s="4"/>
      <c r="F223" s="4"/>
      <c r="G223" s="4"/>
      <c r="H223" s="4"/>
      <c r="I223" s="181"/>
      <c r="J223" s="1"/>
      <c r="K223" s="1"/>
    </row>
    <row r="224" spans="1:11">
      <c r="A224" s="8"/>
      <c r="B224" s="249"/>
      <c r="C224" s="4"/>
      <c r="D224" s="181"/>
      <c r="E224" s="4"/>
      <c r="F224" s="4"/>
      <c r="G224" s="4"/>
      <c r="H224" s="4"/>
      <c r="I224" s="181"/>
      <c r="J224" s="1"/>
      <c r="K224" s="1"/>
    </row>
    <row r="225" spans="1:11">
      <c r="A225" s="8"/>
      <c r="B225" s="249"/>
      <c r="C225" s="4"/>
      <c r="D225" s="181"/>
      <c r="E225" s="4"/>
      <c r="F225" s="4"/>
      <c r="G225" s="4"/>
      <c r="H225" s="4"/>
      <c r="I225" s="181"/>
      <c r="J225" s="1"/>
      <c r="K225" s="1"/>
    </row>
    <row r="226" spans="1:11">
      <c r="A226" s="452"/>
      <c r="B226" s="452"/>
      <c r="C226" s="452"/>
      <c r="D226" s="4"/>
      <c r="E226" s="4"/>
      <c r="F226" s="172"/>
      <c r="G226" s="453"/>
      <c r="H226" s="453"/>
      <c r="I226" s="453"/>
      <c r="J226" s="453"/>
      <c r="K226" s="453"/>
    </row>
    <row r="227" spans="1:11">
      <c r="A227" s="452"/>
      <c r="B227" s="452"/>
      <c r="C227" s="181"/>
      <c r="D227" s="4"/>
      <c r="E227" s="4"/>
      <c r="F227" s="172"/>
      <c r="G227" s="4"/>
      <c r="H227" s="4"/>
      <c r="I227" s="172"/>
      <c r="J227" s="248"/>
    </row>
    <row r="228" spans="1:11">
      <c r="B228" s="249"/>
      <c r="C228" s="249"/>
      <c r="D228" s="150"/>
      <c r="E228" s="249"/>
      <c r="F228" s="249"/>
      <c r="G228" s="454"/>
      <c r="H228" s="459"/>
      <c r="I228" s="459"/>
      <c r="J228" s="459"/>
      <c r="K228" s="459"/>
    </row>
    <row r="229" spans="1:11">
      <c r="B229" s="249"/>
      <c r="C229" s="249"/>
      <c r="D229" s="150"/>
      <c r="E229" s="249"/>
      <c r="F229" s="454"/>
      <c r="G229" s="454"/>
      <c r="H229" s="454"/>
      <c r="I229" s="454"/>
      <c r="J229" s="454"/>
      <c r="K229" s="454"/>
    </row>
    <row r="230" spans="1:11">
      <c r="B230" s="249"/>
      <c r="C230" s="249"/>
      <c r="D230" s="150"/>
      <c r="E230" s="249"/>
      <c r="F230" s="249"/>
      <c r="G230" s="249"/>
      <c r="H230" s="1"/>
      <c r="I230" s="454" t="s">
        <v>507</v>
      </c>
      <c r="J230" s="454"/>
      <c r="K230" s="454"/>
    </row>
    <row r="231" spans="1:11">
      <c r="B231" s="249"/>
      <c r="C231" s="249"/>
      <c r="D231" s="150"/>
      <c r="E231" s="249"/>
      <c r="F231" s="249"/>
      <c r="G231" s="249"/>
      <c r="H231" s="1"/>
      <c r="I231" s="1"/>
      <c r="J231" s="454" t="s">
        <v>396</v>
      </c>
      <c r="K231" s="454"/>
    </row>
    <row r="232" spans="1:11">
      <c r="B232" s="249"/>
      <c r="C232" s="249"/>
      <c r="D232" s="150"/>
      <c r="E232" s="249"/>
      <c r="F232" s="249"/>
      <c r="G232" s="249"/>
      <c r="H232" s="1"/>
      <c r="I232" s="1"/>
      <c r="J232" s="250"/>
      <c r="K232" s="250"/>
    </row>
    <row r="233" spans="1:11">
      <c r="B233" s="249" t="s">
        <v>0</v>
      </c>
      <c r="C233" s="249"/>
      <c r="D233" s="150" t="s">
        <v>1</v>
      </c>
      <c r="E233" s="249"/>
      <c r="F233" s="249"/>
      <c r="G233" s="456" t="str">
        <f>K7</f>
        <v>Projected - For the 12 months ended 12/31/22</v>
      </c>
      <c r="H233" s="456"/>
      <c r="I233" s="456"/>
      <c r="J233" s="456"/>
      <c r="K233" s="456"/>
    </row>
    <row r="234" spans="1:11">
      <c r="B234" s="249"/>
      <c r="C234" s="4" t="s">
        <v>2</v>
      </c>
      <c r="D234" s="4" t="s">
        <v>3</v>
      </c>
      <c r="E234" s="4"/>
      <c r="F234" s="4"/>
      <c r="G234" s="4"/>
      <c r="H234" s="1"/>
      <c r="I234" s="1"/>
      <c r="J234" s="1"/>
      <c r="K234" s="1"/>
    </row>
    <row r="235" spans="1:11" ht="9" customHeight="1">
      <c r="A235" s="8"/>
      <c r="J235" s="4"/>
      <c r="K235" s="4"/>
    </row>
    <row r="236" spans="1:11">
      <c r="A236" s="8"/>
      <c r="D236" s="282" t="str">
        <f>D10</f>
        <v>MidAmerican Energy Company</v>
      </c>
      <c r="J236" s="4"/>
      <c r="K236" s="4"/>
    </row>
    <row r="237" spans="1:11">
      <c r="A237" s="8"/>
      <c r="C237" s="276" t="s">
        <v>76</v>
      </c>
      <c r="E237" s="1"/>
      <c r="F237" s="1"/>
      <c r="G237" s="1"/>
      <c r="H237" s="1"/>
      <c r="I237" s="1"/>
      <c r="J237" s="4"/>
      <c r="K237" s="4"/>
    </row>
    <row r="238" spans="1:11">
      <c r="A238" s="8" t="s">
        <v>4</v>
      </c>
      <c r="B238" s="276"/>
      <c r="C238" s="1"/>
      <c r="D238" s="1"/>
      <c r="E238" s="1"/>
      <c r="F238" s="1"/>
      <c r="G238" s="1"/>
      <c r="H238" s="1"/>
      <c r="I238" s="1"/>
      <c r="J238" s="4"/>
      <c r="K238" s="4"/>
    </row>
    <row r="239" spans="1:11" ht="16.5" thickBot="1">
      <c r="A239" s="256" t="s">
        <v>6</v>
      </c>
      <c r="B239" s="249" t="s">
        <v>79</v>
      </c>
      <c r="C239" s="1"/>
      <c r="D239" s="1"/>
      <c r="E239" s="1"/>
      <c r="F239" s="1"/>
      <c r="G239" s="1"/>
      <c r="J239" s="4"/>
      <c r="K239" s="4"/>
    </row>
    <row r="240" spans="1:11">
      <c r="A240" s="8">
        <v>1</v>
      </c>
      <c r="B240" s="1" t="s">
        <v>241</v>
      </c>
      <c r="C240" s="1"/>
      <c r="D240" s="4"/>
      <c r="E240" s="4"/>
      <c r="F240" s="4"/>
      <c r="G240" s="4"/>
      <c r="H240" s="4"/>
      <c r="I240" s="7">
        <f>D94</f>
        <v>2545962176.7568965</v>
      </c>
      <c r="J240" s="4"/>
      <c r="K240" s="4"/>
    </row>
    <row r="241" spans="1:20">
      <c r="A241" s="8">
        <v>2</v>
      </c>
      <c r="B241" s="1" t="s">
        <v>240</v>
      </c>
      <c r="D241" s="180"/>
      <c r="I241" s="4">
        <v>0</v>
      </c>
      <c r="J241" s="4"/>
      <c r="K241" s="4"/>
    </row>
    <row r="242" spans="1:20" ht="16.5" thickBot="1">
      <c r="A242" s="8">
        <v>3</v>
      </c>
      <c r="B242" s="3" t="s">
        <v>242</v>
      </c>
      <c r="C242" s="3"/>
      <c r="D242" s="181"/>
      <c r="E242" s="4"/>
      <c r="F242" s="4"/>
      <c r="G242" s="182"/>
      <c r="H242" s="4"/>
      <c r="I242" s="262">
        <v>0</v>
      </c>
      <c r="J242" s="4"/>
      <c r="K242" s="4"/>
    </row>
    <row r="243" spans="1:20">
      <c r="A243" s="8">
        <v>4</v>
      </c>
      <c r="B243" s="1" t="s">
        <v>186</v>
      </c>
      <c r="C243" s="1"/>
      <c r="D243" s="181"/>
      <c r="E243" s="4"/>
      <c r="F243" s="4"/>
      <c r="G243" s="182"/>
      <c r="H243" s="4"/>
      <c r="I243" s="7">
        <f>I240-I241-I242</f>
        <v>2545962176.7568965</v>
      </c>
      <c r="J243" s="4"/>
      <c r="K243" s="4"/>
    </row>
    <row r="244" spans="1:20" ht="9" customHeight="1">
      <c r="A244" s="8"/>
      <c r="C244" s="1"/>
      <c r="D244" s="181"/>
      <c r="E244" s="4"/>
      <c r="F244" s="4"/>
      <c r="G244" s="182"/>
      <c r="H244" s="4"/>
      <c r="J244" s="4"/>
      <c r="K244" s="4"/>
      <c r="N244" s="180"/>
      <c r="O244" s="180"/>
      <c r="P244" s="180"/>
      <c r="Q244" s="180"/>
      <c r="R244" s="180"/>
      <c r="S244" s="180"/>
      <c r="T244" s="180"/>
    </row>
    <row r="245" spans="1:20">
      <c r="A245" s="8">
        <v>5</v>
      </c>
      <c r="B245" s="1" t="s">
        <v>243</v>
      </c>
      <c r="C245" s="183"/>
      <c r="D245" s="184"/>
      <c r="E245" s="185"/>
      <c r="F245" s="185"/>
      <c r="G245" s="186"/>
      <c r="H245" s="4" t="s">
        <v>80</v>
      </c>
      <c r="I245" s="187">
        <f>IF(I240&gt;0,I243/I240,0)</f>
        <v>1</v>
      </c>
      <c r="J245" s="4"/>
      <c r="K245" s="4"/>
      <c r="N245" s="188"/>
      <c r="O245" s="188"/>
      <c r="P245" s="188"/>
      <c r="Q245" s="180"/>
      <c r="R245" s="180"/>
      <c r="S245" s="180"/>
      <c r="T245" s="180"/>
    </row>
    <row r="246" spans="1:20" ht="9" customHeight="1">
      <c r="A246" s="8"/>
      <c r="D246" s="180"/>
      <c r="J246" s="4"/>
      <c r="K246" s="4"/>
      <c r="N246" s="189"/>
      <c r="O246" s="190"/>
      <c r="P246" s="191"/>
      <c r="Q246" s="189"/>
      <c r="R246" s="190"/>
      <c r="S246" s="190"/>
      <c r="T246" s="180"/>
    </row>
    <row r="247" spans="1:20">
      <c r="A247" s="8"/>
      <c r="B247" s="249" t="s">
        <v>77</v>
      </c>
      <c r="D247" s="180"/>
      <c r="J247" s="4"/>
      <c r="K247" s="4"/>
      <c r="N247" s="457"/>
      <c r="O247" s="458"/>
      <c r="P247" s="458"/>
      <c r="Q247" s="458"/>
      <c r="R247" s="458"/>
      <c r="S247" s="458"/>
      <c r="T247" s="180"/>
    </row>
    <row r="248" spans="1:20">
      <c r="A248" s="8">
        <v>6</v>
      </c>
      <c r="B248" s="171" t="s">
        <v>244</v>
      </c>
      <c r="D248" s="122"/>
      <c r="E248" s="1"/>
      <c r="F248" s="1"/>
      <c r="G248" s="8"/>
      <c r="H248" s="1"/>
      <c r="I248" s="7">
        <f>D166</f>
        <v>107340357.31999999</v>
      </c>
      <c r="J248" s="4"/>
      <c r="K248" s="4"/>
      <c r="N248" s="192"/>
      <c r="O248" s="190"/>
      <c r="P248" s="191"/>
      <c r="Q248" s="189"/>
      <c r="R248" s="190"/>
      <c r="S248" s="190"/>
      <c r="T248" s="180"/>
    </row>
    <row r="249" spans="1:20" ht="16.5" thickBot="1">
      <c r="A249" s="8">
        <v>7</v>
      </c>
      <c r="B249" s="3" t="s">
        <v>245</v>
      </c>
      <c r="C249" s="3"/>
      <c r="D249" s="181"/>
      <c r="E249" s="181"/>
      <c r="F249" s="4"/>
      <c r="G249" s="4"/>
      <c r="H249" s="4"/>
      <c r="I249" s="262">
        <f>'Acct 561'!C9+'Acct 561'!C11+'Acct 561'!C13</f>
        <v>1516581</v>
      </c>
      <c r="J249" s="4"/>
      <c r="K249" s="4"/>
      <c r="N249" s="193"/>
      <c r="O249" s="194"/>
      <c r="P249" s="191"/>
      <c r="Q249" s="189"/>
      <c r="R249" s="190"/>
      <c r="S249" s="190"/>
      <c r="T249" s="180"/>
    </row>
    <row r="250" spans="1:20">
      <c r="A250" s="8">
        <v>8</v>
      </c>
      <c r="B250" s="1" t="s">
        <v>246</v>
      </c>
      <c r="C250" s="183"/>
      <c r="D250" s="184"/>
      <c r="E250" s="185"/>
      <c r="F250" s="185"/>
      <c r="G250" s="186"/>
      <c r="H250" s="185"/>
      <c r="I250" s="7">
        <f>+I248-I249</f>
        <v>105823776.31999999</v>
      </c>
      <c r="N250" s="195"/>
      <c r="O250" s="196"/>
      <c r="P250" s="197"/>
      <c r="Q250" s="197"/>
      <c r="R250" s="192"/>
      <c r="S250" s="192"/>
      <c r="T250" s="180"/>
    </row>
    <row r="251" spans="1:20">
      <c r="A251" s="8"/>
      <c r="B251" s="1"/>
      <c r="C251" s="1"/>
      <c r="D251" s="181"/>
      <c r="E251" s="4"/>
      <c r="F251" s="4"/>
      <c r="G251" s="4"/>
      <c r="N251" s="195"/>
      <c r="O251" s="196"/>
      <c r="P251" s="192"/>
      <c r="Q251" s="192"/>
      <c r="R251" s="192"/>
      <c r="S251" s="192"/>
      <c r="T251" s="180"/>
    </row>
    <row r="252" spans="1:20">
      <c r="A252" s="8">
        <v>9</v>
      </c>
      <c r="B252" s="1" t="s">
        <v>247</v>
      </c>
      <c r="C252" s="1"/>
      <c r="D252" s="181"/>
      <c r="E252" s="4"/>
      <c r="F252" s="4"/>
      <c r="G252" s="4"/>
      <c r="H252" s="4"/>
      <c r="I252" s="174">
        <f>IF(I248&gt;0,I250/I248,0)</f>
        <v>0.98587128794923973</v>
      </c>
      <c r="N252" s="189"/>
      <c r="O252" s="198"/>
      <c r="P252" s="199"/>
      <c r="Q252" s="199"/>
      <c r="R252" s="190"/>
      <c r="S252" s="190"/>
      <c r="T252" s="180"/>
    </row>
    <row r="253" spans="1:20">
      <c r="A253" s="8">
        <v>10</v>
      </c>
      <c r="B253" s="1" t="s">
        <v>248</v>
      </c>
      <c r="C253" s="1"/>
      <c r="D253" s="4"/>
      <c r="E253" s="4"/>
      <c r="F253" s="4"/>
      <c r="G253" s="4"/>
      <c r="H253" s="1" t="s">
        <v>11</v>
      </c>
      <c r="I253" s="200">
        <f>I245</f>
        <v>1</v>
      </c>
      <c r="N253" s="193"/>
      <c r="O253" s="199"/>
      <c r="P253" s="192"/>
      <c r="Q253" s="199"/>
      <c r="R253" s="190"/>
      <c r="S253" s="190"/>
      <c r="T253" s="180"/>
    </row>
    <row r="254" spans="1:20">
      <c r="A254" s="8">
        <v>11</v>
      </c>
      <c r="B254" s="1" t="s">
        <v>249</v>
      </c>
      <c r="C254" s="1"/>
      <c r="D254" s="1"/>
      <c r="E254" s="1"/>
      <c r="F254" s="1"/>
      <c r="G254" s="1"/>
      <c r="H254" s="1" t="s">
        <v>78</v>
      </c>
      <c r="I254" s="201">
        <f>+I253*I252</f>
        <v>0.98587128794923973</v>
      </c>
      <c r="N254" s="193"/>
      <c r="O254" s="199"/>
      <c r="P254" s="192"/>
      <c r="Q254" s="199"/>
      <c r="R254" s="190"/>
      <c r="S254" s="190"/>
      <c r="T254" s="180"/>
    </row>
    <row r="255" spans="1:20">
      <c r="A255" s="8"/>
      <c r="C255" s="1"/>
      <c r="D255" s="4"/>
      <c r="E255" s="4"/>
      <c r="F255" s="4"/>
      <c r="G255" s="182"/>
      <c r="H255" s="4"/>
      <c r="N255" s="193"/>
      <c r="O255" s="199"/>
      <c r="P255" s="192"/>
      <c r="Q255" s="202"/>
      <c r="R255" s="190"/>
      <c r="S255" s="190"/>
      <c r="T255" s="180"/>
    </row>
    <row r="256" spans="1:20">
      <c r="A256" s="8" t="s">
        <v>2</v>
      </c>
      <c r="B256" s="249" t="s">
        <v>81</v>
      </c>
      <c r="C256" s="4"/>
      <c r="D256" s="4"/>
      <c r="E256" s="4"/>
      <c r="F256" s="4"/>
      <c r="G256" s="4"/>
      <c r="H256" s="4"/>
      <c r="I256" s="4"/>
      <c r="J256" s="4"/>
      <c r="K256" s="4"/>
      <c r="N256" s="195"/>
      <c r="O256" s="196"/>
      <c r="P256" s="191"/>
      <c r="Q256" s="189"/>
      <c r="R256" s="190"/>
      <c r="S256" s="190"/>
      <c r="T256" s="180"/>
    </row>
    <row r="257" spans="1:20" ht="16.5" thickBot="1">
      <c r="A257" s="8" t="s">
        <v>2</v>
      </c>
      <c r="B257" s="249"/>
      <c r="C257" s="262" t="s">
        <v>82</v>
      </c>
      <c r="D257" s="289" t="s">
        <v>83</v>
      </c>
      <c r="E257" s="289" t="s">
        <v>11</v>
      </c>
      <c r="F257" s="4"/>
      <c r="G257" s="289" t="s">
        <v>84</v>
      </c>
      <c r="H257" s="4"/>
      <c r="I257" s="4"/>
      <c r="J257" s="4"/>
      <c r="K257" s="4"/>
      <c r="N257" s="203"/>
      <c r="O257" s="196"/>
      <c r="P257" s="191"/>
      <c r="Q257" s="189"/>
      <c r="R257" s="190"/>
      <c r="S257" s="190"/>
      <c r="T257" s="180"/>
    </row>
    <row r="258" spans="1:20">
      <c r="A258" s="8">
        <v>12</v>
      </c>
      <c r="B258" s="249" t="s">
        <v>44</v>
      </c>
      <c r="C258" s="4" t="s">
        <v>213</v>
      </c>
      <c r="D258" s="4">
        <f>'Labor Ratios'!C11</f>
        <v>56299338</v>
      </c>
      <c r="E258" s="290">
        <v>0</v>
      </c>
      <c r="F258" s="290"/>
      <c r="G258" s="7">
        <f>D258*E258</f>
        <v>0</v>
      </c>
      <c r="H258" s="4"/>
      <c r="I258" s="4"/>
      <c r="J258" s="4"/>
      <c r="K258" s="4"/>
      <c r="N258" s="180"/>
      <c r="O258" s="180"/>
      <c r="P258" s="180"/>
      <c r="Q258" s="180"/>
      <c r="R258" s="180"/>
      <c r="S258" s="180"/>
      <c r="T258" s="180"/>
    </row>
    <row r="259" spans="1:20">
      <c r="A259" s="8">
        <v>13</v>
      </c>
      <c r="B259" s="249" t="s">
        <v>46</v>
      </c>
      <c r="C259" s="4" t="s">
        <v>214</v>
      </c>
      <c r="D259" s="4">
        <f>'Labor Ratios'!C13</f>
        <v>7733425</v>
      </c>
      <c r="E259" s="291">
        <f>+I245</f>
        <v>1</v>
      </c>
      <c r="F259" s="290"/>
      <c r="G259" s="7">
        <f>D259*E259</f>
        <v>7733425</v>
      </c>
      <c r="H259" s="4"/>
      <c r="I259" s="4"/>
      <c r="J259" s="4"/>
      <c r="K259" s="4"/>
      <c r="N259" s="180"/>
      <c r="O259" s="180"/>
      <c r="P259" s="180"/>
      <c r="Q259" s="180"/>
      <c r="R259" s="180"/>
      <c r="S259" s="180"/>
      <c r="T259" s="180"/>
    </row>
    <row r="260" spans="1:20">
      <c r="A260" s="8">
        <v>14</v>
      </c>
      <c r="B260" s="249" t="s">
        <v>47</v>
      </c>
      <c r="C260" s="4" t="s">
        <v>215</v>
      </c>
      <c r="D260" s="4">
        <f>'Labor Ratios'!C15</f>
        <v>38494407</v>
      </c>
      <c r="E260" s="290">
        <v>0</v>
      </c>
      <c r="F260" s="290"/>
      <c r="G260" s="7">
        <f>D260*E260</f>
        <v>0</v>
      </c>
      <c r="H260" s="4"/>
      <c r="I260" s="292" t="s">
        <v>85</v>
      </c>
      <c r="J260" s="4"/>
      <c r="K260" s="4"/>
    </row>
    <row r="261" spans="1:20" ht="16.5" thickBot="1">
      <c r="A261" s="8">
        <v>15</v>
      </c>
      <c r="B261" s="249" t="s">
        <v>86</v>
      </c>
      <c r="C261" s="4" t="s">
        <v>250</v>
      </c>
      <c r="D261" s="262">
        <f>'Labor Ratios'!C20</f>
        <v>21324231</v>
      </c>
      <c r="E261" s="290">
        <v>0</v>
      </c>
      <c r="F261" s="290"/>
      <c r="G261" s="259">
        <f>D261*E261</f>
        <v>0</v>
      </c>
      <c r="H261" s="4"/>
      <c r="I261" s="256" t="s">
        <v>87</v>
      </c>
      <c r="J261" s="4"/>
      <c r="K261" s="4"/>
    </row>
    <row r="262" spans="1:20">
      <c r="A262" s="8">
        <v>16</v>
      </c>
      <c r="B262" s="249" t="s">
        <v>178</v>
      </c>
      <c r="C262" s="4"/>
      <c r="D262" s="7">
        <f>SUM(D258:D261)</f>
        <v>123851401</v>
      </c>
      <c r="E262" s="4"/>
      <c r="F262" s="4"/>
      <c r="G262" s="7">
        <f>SUM(G258:G261)</f>
        <v>7733425</v>
      </c>
      <c r="H262" s="8" t="s">
        <v>88</v>
      </c>
      <c r="I262" s="174">
        <f>IF(G262&gt;0,G262/D262,0)</f>
        <v>6.2441158820641843E-2</v>
      </c>
      <c r="J262" s="182" t="s">
        <v>88</v>
      </c>
      <c r="K262" s="4" t="s">
        <v>170</v>
      </c>
    </row>
    <row r="263" spans="1:20" ht="9" customHeight="1">
      <c r="A263" s="8"/>
      <c r="B263" s="249"/>
      <c r="C263" s="4"/>
      <c r="D263" s="4"/>
      <c r="E263" s="4"/>
      <c r="F263" s="4"/>
      <c r="G263" s="4"/>
      <c r="H263" s="4"/>
      <c r="I263" s="4"/>
      <c r="J263" s="4"/>
      <c r="K263" s="4"/>
    </row>
    <row r="264" spans="1:20">
      <c r="A264" s="8"/>
      <c r="B264" s="249" t="s">
        <v>251</v>
      </c>
      <c r="C264" s="4"/>
      <c r="D264" s="273" t="s">
        <v>83</v>
      </c>
      <c r="E264" s="4"/>
      <c r="F264" s="4"/>
      <c r="G264" s="182" t="s">
        <v>89</v>
      </c>
      <c r="H264" s="284" t="s">
        <v>2</v>
      </c>
      <c r="I264" s="278" t="str">
        <f>+I260</f>
        <v>W&amp;S Allocator</v>
      </c>
      <c r="J264" s="4"/>
      <c r="K264" s="4"/>
    </row>
    <row r="265" spans="1:20">
      <c r="A265" s="8">
        <v>17</v>
      </c>
      <c r="B265" s="249" t="s">
        <v>90</v>
      </c>
      <c r="C265" s="4" t="s">
        <v>91</v>
      </c>
      <c r="D265" s="4">
        <f>'Plant Balance'!D23+'Plant Balance'!E23+'Plant Balance'!F23</f>
        <v>24327822784.88665</v>
      </c>
      <c r="E265" s="4"/>
      <c r="G265" s="8" t="s">
        <v>92</v>
      </c>
      <c r="H265" s="284"/>
      <c r="I265" s="8" t="s">
        <v>93</v>
      </c>
      <c r="J265" s="4"/>
      <c r="K265" s="8" t="s">
        <v>94</v>
      </c>
    </row>
    <row r="266" spans="1:20">
      <c r="A266" s="8">
        <v>18</v>
      </c>
      <c r="B266" s="249" t="s">
        <v>95</v>
      </c>
      <c r="C266" s="4" t="s">
        <v>191</v>
      </c>
      <c r="D266" s="4">
        <f>'Plant Balance'!H23</f>
        <v>1767140019</v>
      </c>
      <c r="E266" s="4"/>
      <c r="G266" s="204">
        <f>IF(D268&gt;0,D265/D268,0)</f>
        <v>0.93228041625195202</v>
      </c>
      <c r="H266" s="182" t="s">
        <v>96</v>
      </c>
      <c r="I266" s="204">
        <f>I262</f>
        <v>6.2441158820641843E-2</v>
      </c>
      <c r="J266" s="284" t="s">
        <v>88</v>
      </c>
      <c r="K266" s="204">
        <f>I266*G266</f>
        <v>5.821266953656222E-2</v>
      </c>
    </row>
    <row r="267" spans="1:20" ht="16.5" thickBot="1">
      <c r="A267" s="8">
        <v>19</v>
      </c>
      <c r="B267" s="11" t="s">
        <v>97</v>
      </c>
      <c r="C267" s="262" t="s">
        <v>192</v>
      </c>
      <c r="D267" s="262">
        <v>0</v>
      </c>
      <c r="E267" s="4"/>
      <c r="F267" s="4"/>
      <c r="G267" s="4" t="s">
        <v>2</v>
      </c>
      <c r="H267" s="4"/>
      <c r="I267" s="4"/>
      <c r="J267" s="4"/>
      <c r="K267" s="4"/>
    </row>
    <row r="268" spans="1:20">
      <c r="A268" s="8">
        <v>20</v>
      </c>
      <c r="B268" s="249" t="s">
        <v>150</v>
      </c>
      <c r="C268" s="4"/>
      <c r="D268" s="7">
        <f>D265+D266+D267</f>
        <v>26094962803.88665</v>
      </c>
      <c r="E268" s="4"/>
      <c r="F268" s="4"/>
      <c r="G268" s="4"/>
      <c r="H268" s="4"/>
      <c r="I268" s="4"/>
      <c r="J268" s="4"/>
      <c r="K268" s="4"/>
    </row>
    <row r="269" spans="1:20" ht="9" customHeight="1">
      <c r="A269" s="8"/>
      <c r="B269" s="249"/>
      <c r="C269" s="4"/>
      <c r="E269" s="4"/>
      <c r="F269" s="4"/>
      <c r="G269" s="4"/>
      <c r="H269" s="4"/>
      <c r="I269" s="4"/>
      <c r="J269" s="4"/>
      <c r="K269" s="4"/>
    </row>
    <row r="270" spans="1:20" ht="16.5" thickBot="1">
      <c r="A270" s="8"/>
      <c r="B270" s="249" t="s">
        <v>98</v>
      </c>
      <c r="C270" s="4"/>
      <c r="D270" s="4"/>
      <c r="E270" s="4"/>
      <c r="F270" s="4"/>
      <c r="G270" s="4"/>
      <c r="H270" s="4"/>
      <c r="I270" s="289" t="s">
        <v>83</v>
      </c>
      <c r="J270" s="4"/>
      <c r="K270" s="4"/>
    </row>
    <row r="271" spans="1:20">
      <c r="A271" s="8">
        <v>21</v>
      </c>
      <c r="B271" s="1"/>
      <c r="C271" s="4" t="s">
        <v>195</v>
      </c>
      <c r="D271" s="4"/>
      <c r="E271" s="4"/>
      <c r="F271" s="4"/>
      <c r="G271" s="4"/>
      <c r="H271" s="4"/>
      <c r="I271" s="293">
        <f>'Cost of Debt'!D12</f>
        <v>329200619</v>
      </c>
      <c r="J271" s="4"/>
      <c r="K271" s="4"/>
    </row>
    <row r="272" spans="1:20" ht="9" customHeight="1">
      <c r="A272" s="8"/>
      <c r="B272" s="249"/>
      <c r="C272" s="4"/>
      <c r="D272" s="4"/>
      <c r="E272" s="4"/>
      <c r="F272" s="4"/>
      <c r="G272" s="4"/>
      <c r="H272" s="4"/>
      <c r="I272" s="4"/>
      <c r="J272" s="4"/>
      <c r="K272" s="4"/>
    </row>
    <row r="273" spans="1:11">
      <c r="A273" s="8">
        <v>22</v>
      </c>
      <c r="B273" s="249"/>
      <c r="C273" s="4" t="s">
        <v>99</v>
      </c>
      <c r="D273" s="4"/>
      <c r="E273" s="4"/>
      <c r="F273" s="4"/>
      <c r="G273" s="4"/>
      <c r="H273" s="4"/>
      <c r="I273" s="294">
        <v>0</v>
      </c>
      <c r="J273" s="4"/>
      <c r="K273" s="4"/>
    </row>
    <row r="274" spans="1:11" ht="9" customHeight="1">
      <c r="A274" s="8"/>
      <c r="B274" s="249"/>
      <c r="C274" s="4"/>
      <c r="D274" s="4"/>
      <c r="E274" s="4"/>
      <c r="F274" s="4"/>
      <c r="G274" s="4"/>
      <c r="H274" s="4"/>
      <c r="I274" s="4"/>
      <c r="J274" s="4"/>
      <c r="K274" s="4"/>
    </row>
    <row r="275" spans="1:11">
      <c r="A275" s="8"/>
      <c r="B275" s="249" t="s">
        <v>100</v>
      </c>
      <c r="C275" s="4"/>
      <c r="D275" s="4"/>
      <c r="E275" s="4"/>
      <c r="F275" s="4"/>
      <c r="G275" s="4"/>
      <c r="H275" s="4"/>
      <c r="I275" s="4"/>
      <c r="J275" s="4"/>
      <c r="K275" s="4"/>
    </row>
    <row r="276" spans="1:11">
      <c r="A276" s="8">
        <v>23</v>
      </c>
      <c r="B276" s="249"/>
      <c r="C276" s="4" t="s">
        <v>196</v>
      </c>
      <c r="D276" s="1"/>
      <c r="E276" s="4"/>
      <c r="F276" s="4"/>
      <c r="G276" s="4"/>
      <c r="H276" s="4"/>
      <c r="I276" s="4">
        <f>'Common Equity'!C11</f>
        <v>9511369467</v>
      </c>
      <c r="J276" s="4"/>
      <c r="K276" s="4"/>
    </row>
    <row r="277" spans="1:11">
      <c r="A277" s="8">
        <v>24</v>
      </c>
      <c r="B277" s="249"/>
      <c r="C277" s="4" t="s">
        <v>179</v>
      </c>
      <c r="D277" s="4"/>
      <c r="E277" s="4"/>
      <c r="F277" s="4"/>
      <c r="G277" s="4"/>
      <c r="H277" s="4"/>
      <c r="I277" s="7">
        <f>-D283</f>
        <v>0</v>
      </c>
      <c r="J277" s="4"/>
      <c r="K277" s="4"/>
    </row>
    <row r="278" spans="1:11" ht="16.5" thickBot="1">
      <c r="A278" s="8">
        <v>25</v>
      </c>
      <c r="B278" s="249"/>
      <c r="C278" s="4" t="s">
        <v>197</v>
      </c>
      <c r="D278" s="4"/>
      <c r="E278" s="4"/>
      <c r="F278" s="4"/>
      <c r="G278" s="4"/>
      <c r="H278" s="4"/>
      <c r="I278" s="262">
        <f>'Acct 216.1'!C10</f>
        <v>0</v>
      </c>
      <c r="J278" s="4"/>
      <c r="K278" s="4"/>
    </row>
    <row r="279" spans="1:11">
      <c r="A279" s="8">
        <v>26</v>
      </c>
      <c r="B279" s="1"/>
      <c r="C279" s="4" t="s">
        <v>101</v>
      </c>
      <c r="D279" s="1" t="s">
        <v>102</v>
      </c>
      <c r="E279" s="1"/>
      <c r="F279" s="1"/>
      <c r="G279" s="1"/>
      <c r="H279" s="1"/>
      <c r="I279" s="7">
        <f>+I276+I277+I278</f>
        <v>9511369467</v>
      </c>
      <c r="J279" s="4"/>
      <c r="K279" s="4"/>
    </row>
    <row r="280" spans="1:11">
      <c r="A280" s="8"/>
      <c r="B280" s="249"/>
      <c r="C280" s="4"/>
      <c r="D280" s="4"/>
      <c r="E280" s="4"/>
      <c r="F280" s="4"/>
      <c r="G280" s="182" t="s">
        <v>103</v>
      </c>
      <c r="H280" s="4"/>
      <c r="I280" s="4"/>
      <c r="J280" s="4"/>
      <c r="K280" s="4"/>
    </row>
    <row r="281" spans="1:11" ht="16.5" thickBot="1">
      <c r="A281" s="8"/>
      <c r="B281" s="249"/>
      <c r="C281" s="4"/>
      <c r="D281" s="256" t="s">
        <v>83</v>
      </c>
      <c r="E281" s="256" t="s">
        <v>104</v>
      </c>
      <c r="F281" s="4"/>
      <c r="G281" s="256" t="s">
        <v>105</v>
      </c>
      <c r="H281" s="4"/>
      <c r="I281" s="256" t="s">
        <v>106</v>
      </c>
      <c r="J281" s="4"/>
      <c r="K281" s="4"/>
    </row>
    <row r="282" spans="1:11">
      <c r="A282" s="8">
        <v>27</v>
      </c>
      <c r="B282" s="249" t="s">
        <v>198</v>
      </c>
      <c r="D282" s="4">
        <f>'Cost of Debt'!C11</f>
        <v>7775026131</v>
      </c>
      <c r="E282" s="295">
        <f>IF($D$285&gt;0,D282/$D$285,0)</f>
        <v>0.44977717228104824</v>
      </c>
      <c r="F282" s="296"/>
      <c r="G282" s="297">
        <f>IF(D282&gt;0,I271/D282,0)</f>
        <v>4.2340773323890968E-2</v>
      </c>
      <c r="I282" s="297">
        <f>G282*E282</f>
        <v>1.904391329781252E-2</v>
      </c>
      <c r="J282" s="298" t="s">
        <v>107</v>
      </c>
    </row>
    <row r="283" spans="1:11">
      <c r="A283" s="8">
        <v>28</v>
      </c>
      <c r="B283" s="249" t="s">
        <v>252</v>
      </c>
      <c r="D283" s="4">
        <v>0</v>
      </c>
      <c r="E283" s="295">
        <f>IF($D$285&gt;0,D283/$D$285,0)</f>
        <v>0</v>
      </c>
      <c r="F283" s="296"/>
      <c r="G283" s="297">
        <f>IF(D283&gt;0,I273/D283,0)</f>
        <v>0</v>
      </c>
      <c r="I283" s="297">
        <f>G283*E283</f>
        <v>0</v>
      </c>
      <c r="J283" s="4"/>
    </row>
    <row r="284" spans="1:11" ht="16.5" thickBot="1">
      <c r="A284" s="8">
        <v>29</v>
      </c>
      <c r="B284" s="249" t="s">
        <v>108</v>
      </c>
      <c r="D284" s="259">
        <f>I279</f>
        <v>9511369467</v>
      </c>
      <c r="E284" s="295">
        <f>IF($D$285&gt;0,D284/$D$285,0)</f>
        <v>0.5502228277189517</v>
      </c>
      <c r="F284" s="296"/>
      <c r="G284" s="296">
        <v>0.1052</v>
      </c>
      <c r="I284" s="299">
        <f>G284*E284</f>
        <v>5.788344147603372E-2</v>
      </c>
      <c r="J284" s="4"/>
    </row>
    <row r="285" spans="1:11">
      <c r="A285" s="8">
        <v>30</v>
      </c>
      <c r="B285" s="249" t="s">
        <v>174</v>
      </c>
      <c r="D285" s="7">
        <f>D284+D283+D282</f>
        <v>17286395598</v>
      </c>
      <c r="E285" s="4" t="s">
        <v>2</v>
      </c>
      <c r="F285" s="4"/>
      <c r="G285" s="4"/>
      <c r="H285" s="4"/>
      <c r="I285" s="297">
        <f>SUM(I282:I284)</f>
        <v>7.692735477384624E-2</v>
      </c>
      <c r="J285" s="298" t="s">
        <v>109</v>
      </c>
    </row>
    <row r="286" spans="1:11" ht="9" customHeight="1">
      <c r="E286" s="4"/>
      <c r="F286" s="4"/>
      <c r="G286" s="4"/>
      <c r="H286" s="4"/>
    </row>
    <row r="287" spans="1:11">
      <c r="A287" s="8"/>
      <c r="B287" s="249" t="s">
        <v>110</v>
      </c>
      <c r="C287" s="1"/>
      <c r="D287" s="1"/>
      <c r="E287" s="1"/>
      <c r="F287" s="1"/>
      <c r="G287" s="1"/>
      <c r="H287" s="1"/>
      <c r="I287" s="1"/>
      <c r="J287" s="1"/>
      <c r="K287" s="1"/>
    </row>
    <row r="288" spans="1:11" ht="9" customHeight="1">
      <c r="A288" s="8"/>
      <c r="B288" s="249"/>
      <c r="C288" s="249"/>
      <c r="D288" s="249"/>
      <c r="E288" s="249"/>
      <c r="F288" s="249"/>
      <c r="G288" s="249"/>
      <c r="H288" s="249"/>
      <c r="J288" s="300"/>
    </row>
    <row r="289" spans="1:11" ht="16.5" thickBot="1">
      <c r="A289" s="8"/>
      <c r="B289" s="249" t="s">
        <v>111</v>
      </c>
      <c r="C289" s="1"/>
      <c r="D289" s="1" t="s">
        <v>112</v>
      </c>
      <c r="E289" s="1" t="s">
        <v>113</v>
      </c>
      <c r="F289" s="1"/>
      <c r="G289" s="301" t="s">
        <v>2</v>
      </c>
      <c r="H289" s="302"/>
      <c r="I289" s="256" t="s">
        <v>151</v>
      </c>
    </row>
    <row r="290" spans="1:11">
      <c r="A290" s="8">
        <v>31</v>
      </c>
      <c r="B290" s="171" t="s">
        <v>141</v>
      </c>
      <c r="C290" s="1"/>
      <c r="D290" s="1"/>
      <c r="F290" s="1"/>
      <c r="H290" s="302"/>
      <c r="I290" s="303">
        <v>0</v>
      </c>
      <c r="J290" s="304"/>
    </row>
    <row r="291" spans="1:11" ht="16.5" thickBot="1">
      <c r="A291" s="8">
        <v>32</v>
      </c>
      <c r="B291" s="281" t="s">
        <v>176</v>
      </c>
      <c r="C291" s="3"/>
      <c r="D291" s="180"/>
      <c r="E291" s="122"/>
      <c r="F291" s="122"/>
      <c r="G291" s="122"/>
      <c r="H291" s="1"/>
      <c r="I291" s="305">
        <v>0</v>
      </c>
      <c r="J291" s="304"/>
    </row>
    <row r="292" spans="1:11">
      <c r="A292" s="8">
        <v>33</v>
      </c>
      <c r="B292" s="171" t="s">
        <v>114</v>
      </c>
      <c r="C292" s="1"/>
      <c r="E292" s="1"/>
      <c r="F292" s="1"/>
      <c r="G292" s="1"/>
      <c r="H292" s="1"/>
      <c r="I292" s="5">
        <f>+I290-I291</f>
        <v>0</v>
      </c>
      <c r="J292" s="304"/>
    </row>
    <row r="293" spans="1:11" ht="9" customHeight="1">
      <c r="A293" s="8"/>
      <c r="B293" s="171" t="s">
        <v>2</v>
      </c>
      <c r="C293" s="1"/>
      <c r="E293" s="1"/>
      <c r="F293" s="1"/>
      <c r="G293" s="9"/>
      <c r="H293" s="1"/>
      <c r="I293" s="205" t="s">
        <v>2</v>
      </c>
      <c r="K293" s="206"/>
    </row>
    <row r="294" spans="1:11">
      <c r="A294" s="8">
        <v>34</v>
      </c>
      <c r="B294" s="249" t="s">
        <v>253</v>
      </c>
      <c r="C294" s="1"/>
      <c r="E294" s="1"/>
      <c r="F294" s="1"/>
      <c r="G294" s="269"/>
      <c r="H294" s="1"/>
      <c r="I294" s="205">
        <f>'454 rents'!P12</f>
        <v>292000</v>
      </c>
      <c r="K294" s="206"/>
    </row>
    <row r="295" spans="1:11" ht="9" customHeight="1">
      <c r="A295" s="8"/>
      <c r="C295" s="1"/>
      <c r="D295" s="1"/>
      <c r="E295" s="1"/>
      <c r="F295" s="1"/>
      <c r="G295" s="1"/>
      <c r="H295" s="1"/>
      <c r="I295" s="205"/>
      <c r="K295" s="206"/>
    </row>
    <row r="296" spans="1:11">
      <c r="B296" s="249" t="s">
        <v>254</v>
      </c>
      <c r="C296" s="1"/>
      <c r="D296" s="1" t="s">
        <v>193</v>
      </c>
      <c r="E296" s="1"/>
      <c r="F296" s="1"/>
      <c r="G296" s="1"/>
      <c r="H296" s="1"/>
      <c r="K296" s="207"/>
    </row>
    <row r="297" spans="1:11">
      <c r="A297" s="8">
        <v>35</v>
      </c>
      <c r="B297" s="249" t="s">
        <v>115</v>
      </c>
      <c r="C297" s="4"/>
      <c r="D297" s="4"/>
      <c r="E297" s="4"/>
      <c r="F297" s="4"/>
      <c r="G297" s="4"/>
      <c r="H297" s="4"/>
      <c r="I297" s="208">
        <f>'trans for others'!K7</f>
        <v>92970433</v>
      </c>
      <c r="J297" s="4"/>
      <c r="K297" s="207"/>
    </row>
    <row r="298" spans="1:11">
      <c r="A298" s="8">
        <v>36</v>
      </c>
      <c r="B298" s="121" t="s">
        <v>175</v>
      </c>
      <c r="C298" s="122"/>
      <c r="D298" s="122"/>
      <c r="E298" s="122"/>
      <c r="F298" s="122"/>
      <c r="G298" s="122"/>
      <c r="H298" s="1"/>
      <c r="I298" s="208">
        <f>'trans for others'!J39</f>
        <v>1360772</v>
      </c>
      <c r="K298" s="248"/>
    </row>
    <row r="299" spans="1:11">
      <c r="A299" s="8" t="s">
        <v>217</v>
      </c>
      <c r="B299" s="121" t="s">
        <v>509</v>
      </c>
      <c r="C299" s="122"/>
      <c r="D299" s="122"/>
      <c r="E299" s="122"/>
      <c r="F299" s="122"/>
      <c r="G299" s="122"/>
      <c r="H299" s="1"/>
      <c r="I299" s="208">
        <f>'trans for others'!K43</f>
        <v>1023741</v>
      </c>
      <c r="K299" s="248"/>
    </row>
    <row r="300" spans="1:11" ht="16.5" thickBot="1">
      <c r="A300" s="8" t="s">
        <v>422</v>
      </c>
      <c r="B300" s="11" t="s">
        <v>510</v>
      </c>
      <c r="C300" s="3"/>
      <c r="D300" s="122"/>
      <c r="E300" s="122"/>
      <c r="F300" s="122"/>
      <c r="G300" s="122"/>
      <c r="H300" s="1"/>
      <c r="I300" s="306">
        <f>'trans for others'!K45</f>
        <v>57184322</v>
      </c>
      <c r="K300" s="248"/>
    </row>
    <row r="301" spans="1:11">
      <c r="A301" s="8">
        <v>37</v>
      </c>
      <c r="B301" s="307" t="s">
        <v>423</v>
      </c>
      <c r="C301" s="8"/>
      <c r="D301" s="4"/>
      <c r="E301" s="4"/>
      <c r="F301" s="4"/>
      <c r="G301" s="4"/>
      <c r="H301" s="1"/>
      <c r="I301" s="6">
        <f>+I297-I298-I299-I300</f>
        <v>33401598</v>
      </c>
      <c r="J301" s="4"/>
      <c r="K301" s="4"/>
    </row>
    <row r="302" spans="1:11">
      <c r="A302" s="8"/>
      <c r="B302" s="307"/>
      <c r="C302" s="8"/>
      <c r="D302" s="4"/>
      <c r="E302" s="4"/>
      <c r="F302" s="4"/>
      <c r="G302" s="4"/>
      <c r="H302" s="1"/>
      <c r="I302" s="208"/>
      <c r="J302" s="4"/>
      <c r="K302" s="4"/>
    </row>
    <row r="303" spans="1:11">
      <c r="A303" s="8"/>
      <c r="B303" s="307"/>
      <c r="C303" s="8"/>
      <c r="D303" s="4"/>
      <c r="E303" s="4"/>
      <c r="F303" s="4"/>
      <c r="G303" s="4"/>
      <c r="H303" s="1"/>
      <c r="I303" s="208"/>
      <c r="J303" s="4"/>
      <c r="K303" s="4"/>
    </row>
    <row r="304" spans="1:11">
      <c r="A304" s="8"/>
      <c r="B304" s="307"/>
      <c r="C304" s="8"/>
      <c r="D304" s="4"/>
      <c r="E304" s="4"/>
      <c r="F304" s="4"/>
      <c r="G304" s="4"/>
      <c r="H304" s="1"/>
      <c r="I304" s="208"/>
      <c r="J304" s="4"/>
      <c r="K304" s="4"/>
    </row>
    <row r="305" spans="1:11">
      <c r="A305" s="452"/>
      <c r="B305" s="452"/>
      <c r="C305" s="452"/>
      <c r="D305" s="4"/>
      <c r="E305" s="4"/>
      <c r="F305" s="172"/>
      <c r="G305" s="453"/>
      <c r="H305" s="453"/>
      <c r="I305" s="453"/>
      <c r="J305" s="453"/>
      <c r="K305" s="453"/>
    </row>
    <row r="306" spans="1:11">
      <c r="B306" s="249"/>
      <c r="C306" s="249"/>
      <c r="D306" s="150"/>
      <c r="E306" s="249"/>
      <c r="F306" s="249"/>
      <c r="G306" s="454"/>
      <c r="H306" s="459"/>
      <c r="I306" s="459"/>
      <c r="J306" s="459"/>
      <c r="K306" s="459"/>
    </row>
    <row r="307" spans="1:11">
      <c r="B307" s="249"/>
      <c r="C307" s="249"/>
      <c r="D307" s="150"/>
      <c r="E307" s="249"/>
      <c r="F307" s="249"/>
      <c r="G307" s="454"/>
      <c r="H307" s="454"/>
      <c r="I307" s="454"/>
      <c r="J307" s="454"/>
      <c r="K307" s="454"/>
    </row>
    <row r="308" spans="1:11">
      <c r="B308" s="249"/>
      <c r="C308" s="249"/>
      <c r="D308" s="150"/>
      <c r="E308" s="249"/>
      <c r="F308" s="249"/>
      <c r="G308" s="249"/>
      <c r="H308" s="1"/>
      <c r="I308" s="454" t="s">
        <v>507</v>
      </c>
      <c r="J308" s="454"/>
      <c r="K308" s="454"/>
    </row>
    <row r="309" spans="1:11">
      <c r="B309" s="249"/>
      <c r="C309" s="249"/>
      <c r="D309" s="150"/>
      <c r="E309" s="249"/>
      <c r="F309" s="249"/>
      <c r="G309" s="249"/>
      <c r="H309" s="1"/>
      <c r="I309" s="1"/>
      <c r="J309" s="454" t="s">
        <v>397</v>
      </c>
      <c r="K309" s="454"/>
    </row>
    <row r="310" spans="1:11">
      <c r="B310" s="249"/>
      <c r="C310" s="249"/>
      <c r="D310" s="150"/>
      <c r="E310" s="249"/>
      <c r="F310" s="249"/>
      <c r="G310" s="249"/>
      <c r="H310" s="1"/>
      <c r="I310" s="1"/>
      <c r="J310" s="1"/>
      <c r="K310" s="250"/>
    </row>
    <row r="311" spans="1:11">
      <c r="B311" s="249" t="s">
        <v>0</v>
      </c>
      <c r="C311" s="249"/>
      <c r="D311" s="150" t="s">
        <v>1</v>
      </c>
      <c r="E311" s="249"/>
      <c r="F311" s="249"/>
      <c r="G311" s="249"/>
      <c r="H311" s="1"/>
      <c r="I311" s="1"/>
      <c r="J311" s="1"/>
      <c r="K311" s="252" t="str">
        <f>K7</f>
        <v>Projected - For the 12 months ended 12/31/22</v>
      </c>
    </row>
    <row r="312" spans="1:11">
      <c r="B312" s="249"/>
      <c r="C312" s="4" t="s">
        <v>2</v>
      </c>
      <c r="D312" s="4" t="s">
        <v>3</v>
      </c>
      <c r="E312" s="4"/>
      <c r="F312" s="4"/>
      <c r="G312" s="4"/>
      <c r="H312" s="1"/>
      <c r="I312" s="1"/>
      <c r="J312" s="1"/>
      <c r="K312" s="1"/>
    </row>
    <row r="313" spans="1:11">
      <c r="A313" s="8"/>
      <c r="B313" s="307"/>
      <c r="C313" s="8"/>
      <c r="D313" s="4"/>
      <c r="E313" s="4"/>
      <c r="F313" s="4"/>
      <c r="G313" s="4"/>
      <c r="H313" s="1"/>
      <c r="I313" s="308"/>
      <c r="K313" s="4"/>
    </row>
    <row r="314" spans="1:11">
      <c r="A314" s="8"/>
      <c r="B314" s="307"/>
      <c r="C314" s="8"/>
      <c r="D314" s="7" t="str">
        <f>D10</f>
        <v>MidAmerican Energy Company</v>
      </c>
      <c r="E314" s="4"/>
      <c r="F314" s="4"/>
      <c r="G314" s="4"/>
      <c r="H314" s="1"/>
      <c r="I314" s="308"/>
      <c r="K314" s="4"/>
    </row>
    <row r="315" spans="1:11">
      <c r="A315" s="8"/>
      <c r="B315" s="307"/>
      <c r="C315" s="8"/>
      <c r="D315" s="4"/>
      <c r="E315" s="4"/>
      <c r="F315" s="4"/>
      <c r="G315" s="4"/>
      <c r="H315" s="1"/>
      <c r="I315" s="308"/>
      <c r="K315" s="4"/>
    </row>
    <row r="316" spans="1:11">
      <c r="A316" s="8"/>
      <c r="B316" s="249" t="s">
        <v>225</v>
      </c>
      <c r="C316" s="8"/>
      <c r="D316" s="4"/>
      <c r="E316" s="4"/>
      <c r="F316" s="4"/>
      <c r="G316" s="4"/>
      <c r="H316" s="1"/>
      <c r="I316" s="4"/>
      <c r="J316" s="1"/>
      <c r="K316" s="4"/>
    </row>
    <row r="317" spans="1:11">
      <c r="A317" s="8"/>
      <c r="B317" s="309" t="s">
        <v>224</v>
      </c>
      <c r="C317" s="8"/>
      <c r="D317" s="4"/>
      <c r="E317" s="4"/>
      <c r="F317" s="4"/>
      <c r="G317" s="4"/>
      <c r="H317" s="1"/>
      <c r="I317" s="4"/>
      <c r="J317" s="1"/>
      <c r="K317" s="4"/>
    </row>
    <row r="318" spans="1:11">
      <c r="A318" s="8" t="s">
        <v>116</v>
      </c>
      <c r="B318" s="249"/>
      <c r="C318" s="1"/>
      <c r="D318" s="4"/>
      <c r="E318" s="4"/>
      <c r="F318" s="4"/>
      <c r="G318" s="4"/>
      <c r="H318" s="1"/>
      <c r="I318" s="4"/>
      <c r="J318" s="1"/>
      <c r="K318" s="4"/>
    </row>
    <row r="319" spans="1:11" ht="16.5" thickBot="1">
      <c r="A319" s="256" t="s">
        <v>117</v>
      </c>
      <c r="B319" s="249"/>
      <c r="C319" s="1"/>
      <c r="D319" s="4"/>
      <c r="E319" s="4"/>
      <c r="F319" s="4"/>
      <c r="G319" s="4"/>
      <c r="H319" s="1"/>
      <c r="I319" s="4"/>
      <c r="J319" s="1"/>
      <c r="K319" s="4"/>
    </row>
    <row r="320" spans="1:11">
      <c r="A320" s="310" t="s">
        <v>118</v>
      </c>
      <c r="B320" s="455" t="s">
        <v>276</v>
      </c>
      <c r="C320" s="455"/>
      <c r="D320" s="455"/>
      <c r="E320" s="455"/>
      <c r="F320" s="455"/>
      <c r="G320" s="455"/>
      <c r="H320" s="455"/>
      <c r="I320" s="455"/>
      <c r="J320" s="455"/>
      <c r="K320" s="455"/>
    </row>
    <row r="321" spans="1:11">
      <c r="A321" s="310" t="s">
        <v>119</v>
      </c>
      <c r="B321" s="455" t="s">
        <v>277</v>
      </c>
      <c r="C321" s="455"/>
      <c r="D321" s="455"/>
      <c r="E321" s="455"/>
      <c r="F321" s="455"/>
      <c r="G321" s="455"/>
      <c r="H321" s="455"/>
      <c r="I321" s="455"/>
      <c r="J321" s="455"/>
      <c r="K321" s="455"/>
    </row>
    <row r="322" spans="1:11">
      <c r="A322" s="310" t="s">
        <v>120</v>
      </c>
      <c r="B322" s="455" t="s">
        <v>278</v>
      </c>
      <c r="C322" s="455"/>
      <c r="D322" s="455"/>
      <c r="E322" s="455"/>
      <c r="F322" s="455"/>
      <c r="G322" s="455"/>
      <c r="H322" s="455"/>
      <c r="I322" s="455"/>
      <c r="J322" s="455"/>
      <c r="K322" s="455"/>
    </row>
    <row r="323" spans="1:11">
      <c r="A323" s="310" t="s">
        <v>121</v>
      </c>
      <c r="B323" s="455" t="s">
        <v>278</v>
      </c>
      <c r="C323" s="455"/>
      <c r="D323" s="455"/>
      <c r="E323" s="455"/>
      <c r="F323" s="455"/>
      <c r="G323" s="455"/>
      <c r="H323" s="455"/>
      <c r="I323" s="455"/>
      <c r="J323" s="455"/>
      <c r="K323" s="455"/>
    </row>
    <row r="324" spans="1:11">
      <c r="A324" s="310" t="s">
        <v>122</v>
      </c>
      <c r="B324" s="455" t="s">
        <v>182</v>
      </c>
      <c r="C324" s="455"/>
      <c r="D324" s="455"/>
      <c r="E324" s="455"/>
      <c r="F324" s="455"/>
      <c r="G324" s="455"/>
      <c r="H324" s="455"/>
      <c r="I324" s="455"/>
      <c r="J324" s="455"/>
      <c r="K324" s="455"/>
    </row>
    <row r="325" spans="1:11" ht="99.75" customHeight="1">
      <c r="A325" s="310" t="s">
        <v>123</v>
      </c>
      <c r="B325" s="455" t="s">
        <v>588</v>
      </c>
      <c r="C325" s="455"/>
      <c r="D325" s="455"/>
      <c r="E325" s="455"/>
      <c r="F325" s="455"/>
      <c r="G325" s="455"/>
      <c r="H325" s="455"/>
      <c r="I325" s="455"/>
      <c r="J325" s="455"/>
      <c r="K325" s="455"/>
    </row>
    <row r="326" spans="1:11">
      <c r="A326" s="310" t="s">
        <v>124</v>
      </c>
      <c r="B326" s="455" t="s">
        <v>125</v>
      </c>
      <c r="C326" s="455"/>
      <c r="D326" s="455"/>
      <c r="E326" s="455"/>
      <c r="F326" s="455"/>
      <c r="G326" s="455"/>
      <c r="H326" s="455"/>
      <c r="I326" s="455"/>
      <c r="J326" s="455"/>
      <c r="K326" s="455"/>
    </row>
    <row r="327" spans="1:11" ht="32.25" customHeight="1">
      <c r="A327" s="310" t="s">
        <v>126</v>
      </c>
      <c r="B327" s="455" t="s">
        <v>263</v>
      </c>
      <c r="C327" s="455"/>
      <c r="D327" s="455"/>
      <c r="E327" s="455"/>
      <c r="F327" s="455"/>
      <c r="G327" s="455"/>
      <c r="H327" s="455"/>
      <c r="I327" s="455"/>
      <c r="J327" s="455"/>
      <c r="K327" s="455"/>
    </row>
    <row r="328" spans="1:11" ht="32.25" customHeight="1">
      <c r="A328" s="310" t="s">
        <v>127</v>
      </c>
      <c r="B328" s="455" t="s">
        <v>264</v>
      </c>
      <c r="C328" s="455"/>
      <c r="D328" s="455"/>
      <c r="E328" s="455"/>
      <c r="F328" s="455"/>
      <c r="G328" s="455"/>
      <c r="H328" s="455"/>
      <c r="I328" s="455"/>
      <c r="J328" s="455"/>
      <c r="K328" s="455"/>
    </row>
    <row r="329" spans="1:11" ht="50.25" customHeight="1">
      <c r="A329" s="310" t="s">
        <v>128</v>
      </c>
      <c r="B329" s="455" t="s">
        <v>431</v>
      </c>
      <c r="C329" s="455"/>
      <c r="D329" s="455"/>
      <c r="E329" s="455"/>
      <c r="F329" s="455"/>
      <c r="G329" s="455"/>
      <c r="H329" s="455"/>
      <c r="I329" s="455"/>
      <c r="J329" s="455"/>
      <c r="K329" s="455"/>
    </row>
    <row r="330" spans="1:11" ht="78.75" customHeight="1">
      <c r="A330" s="310" t="s">
        <v>129</v>
      </c>
      <c r="B330" s="455" t="s">
        <v>265</v>
      </c>
      <c r="C330" s="455"/>
      <c r="D330" s="455"/>
      <c r="E330" s="455"/>
      <c r="F330" s="455"/>
      <c r="G330" s="455"/>
      <c r="H330" s="455"/>
      <c r="I330" s="455"/>
      <c r="J330" s="455"/>
      <c r="K330" s="455"/>
    </row>
    <row r="331" spans="1:11">
      <c r="A331" s="310" t="s">
        <v>2</v>
      </c>
      <c r="B331" s="10" t="s">
        <v>262</v>
      </c>
      <c r="C331" s="251" t="s">
        <v>156</v>
      </c>
      <c r="D331" s="311">
        <f>'footnote k tax'!C8</f>
        <v>0.21</v>
      </c>
      <c r="E331" s="251"/>
      <c r="F331" s="251"/>
      <c r="G331" s="251"/>
      <c r="H331" s="251"/>
      <c r="I331" s="251"/>
      <c r="J331" s="251"/>
      <c r="K331" s="251"/>
    </row>
    <row r="332" spans="1:11">
      <c r="A332" s="310"/>
      <c r="B332" s="251"/>
      <c r="C332" s="251" t="s">
        <v>157</v>
      </c>
      <c r="D332" s="311">
        <f>'footnote k tax'!C9</f>
        <v>8.7869488743533494E-2</v>
      </c>
      <c r="E332" s="455" t="s">
        <v>158</v>
      </c>
      <c r="F332" s="455"/>
      <c r="G332" s="455"/>
      <c r="H332" s="455"/>
      <c r="I332" s="455"/>
      <c r="J332" s="455"/>
      <c r="K332" s="455"/>
    </row>
    <row r="333" spans="1:11">
      <c r="A333" s="310"/>
      <c r="B333" s="251"/>
      <c r="C333" s="251" t="s">
        <v>159</v>
      </c>
      <c r="D333" s="311">
        <f>'footnote k tax'!C10</f>
        <v>0</v>
      </c>
      <c r="E333" s="455" t="s">
        <v>160</v>
      </c>
      <c r="F333" s="455"/>
      <c r="G333" s="455"/>
      <c r="H333" s="455"/>
      <c r="I333" s="455"/>
      <c r="J333" s="455"/>
      <c r="K333" s="455"/>
    </row>
    <row r="334" spans="1:11">
      <c r="A334" s="310" t="s">
        <v>130</v>
      </c>
      <c r="B334" s="455" t="s">
        <v>204</v>
      </c>
      <c r="C334" s="455"/>
      <c r="D334" s="455"/>
      <c r="E334" s="455"/>
      <c r="F334" s="455"/>
      <c r="G334" s="455"/>
      <c r="H334" s="455"/>
      <c r="I334" s="455"/>
      <c r="J334" s="455"/>
      <c r="K334" s="455"/>
    </row>
    <row r="335" spans="1:11" ht="32.25" customHeight="1">
      <c r="A335" s="310" t="s">
        <v>131</v>
      </c>
      <c r="B335" s="455" t="s">
        <v>266</v>
      </c>
      <c r="C335" s="455"/>
      <c r="D335" s="455"/>
      <c r="E335" s="455"/>
      <c r="F335" s="455"/>
      <c r="G335" s="455"/>
      <c r="H335" s="455"/>
      <c r="I335" s="455"/>
      <c r="J335" s="455"/>
      <c r="K335" s="455"/>
    </row>
    <row r="336" spans="1:11" ht="48" customHeight="1">
      <c r="A336" s="310" t="s">
        <v>132</v>
      </c>
      <c r="B336" s="455" t="s">
        <v>271</v>
      </c>
      <c r="C336" s="455"/>
      <c r="D336" s="455"/>
      <c r="E336" s="455"/>
      <c r="F336" s="455"/>
      <c r="G336" s="455"/>
      <c r="H336" s="455"/>
      <c r="I336" s="455"/>
      <c r="J336" s="455"/>
      <c r="K336" s="455"/>
    </row>
    <row r="337" spans="1:11">
      <c r="A337" s="310" t="s">
        <v>133</v>
      </c>
      <c r="B337" s="455" t="s">
        <v>177</v>
      </c>
      <c r="C337" s="455"/>
      <c r="D337" s="455"/>
      <c r="E337" s="455"/>
      <c r="F337" s="455"/>
      <c r="G337" s="455"/>
      <c r="H337" s="455"/>
      <c r="I337" s="455"/>
      <c r="J337" s="455"/>
      <c r="K337" s="455"/>
    </row>
    <row r="338" spans="1:11" ht="53.25" customHeight="1">
      <c r="A338" s="310" t="s">
        <v>134</v>
      </c>
      <c r="B338" s="455" t="s">
        <v>589</v>
      </c>
      <c r="C338" s="455"/>
      <c r="D338" s="455"/>
      <c r="E338" s="455"/>
      <c r="F338" s="455"/>
      <c r="G338" s="455"/>
      <c r="H338" s="455"/>
      <c r="I338" s="455"/>
      <c r="J338" s="455"/>
      <c r="K338" s="455"/>
    </row>
    <row r="339" spans="1:11" ht="32.25" customHeight="1">
      <c r="A339" s="310" t="s">
        <v>135</v>
      </c>
      <c r="B339" s="455" t="s">
        <v>267</v>
      </c>
      <c r="C339" s="455"/>
      <c r="D339" s="455"/>
      <c r="E339" s="455"/>
      <c r="F339" s="455"/>
      <c r="G339" s="455"/>
      <c r="H339" s="455"/>
      <c r="I339" s="455"/>
      <c r="J339" s="455"/>
      <c r="K339" s="455"/>
    </row>
    <row r="340" spans="1:11">
      <c r="A340" s="310" t="s">
        <v>136</v>
      </c>
      <c r="B340" s="455" t="s">
        <v>137</v>
      </c>
      <c r="C340" s="455"/>
      <c r="D340" s="455"/>
      <c r="E340" s="455"/>
      <c r="F340" s="455"/>
      <c r="G340" s="455"/>
      <c r="H340" s="455"/>
      <c r="I340" s="455"/>
      <c r="J340" s="455"/>
      <c r="K340" s="455"/>
    </row>
    <row r="341" spans="1:11" ht="48" customHeight="1">
      <c r="A341" s="310" t="s">
        <v>183</v>
      </c>
      <c r="B341" s="455" t="s">
        <v>274</v>
      </c>
      <c r="C341" s="455"/>
      <c r="D341" s="455"/>
      <c r="E341" s="455"/>
      <c r="F341" s="455"/>
      <c r="G341" s="455"/>
      <c r="H341" s="455"/>
      <c r="I341" s="455"/>
      <c r="J341" s="455"/>
      <c r="K341" s="455"/>
    </row>
    <row r="342" spans="1:11" ht="63.75" customHeight="1">
      <c r="A342" s="209" t="s">
        <v>185</v>
      </c>
      <c r="B342" s="455" t="s">
        <v>275</v>
      </c>
      <c r="C342" s="455"/>
      <c r="D342" s="455"/>
      <c r="E342" s="455"/>
      <c r="F342" s="455"/>
      <c r="G342" s="455"/>
      <c r="H342" s="455"/>
      <c r="I342" s="455"/>
      <c r="J342" s="455"/>
      <c r="K342" s="455"/>
    </row>
    <row r="343" spans="1:11">
      <c r="A343" s="209" t="s">
        <v>194</v>
      </c>
      <c r="B343" s="455" t="s">
        <v>205</v>
      </c>
      <c r="C343" s="455"/>
      <c r="D343" s="455"/>
      <c r="E343" s="455"/>
      <c r="F343" s="455"/>
      <c r="G343" s="455"/>
      <c r="H343" s="455"/>
      <c r="I343" s="455"/>
      <c r="J343" s="455"/>
      <c r="K343" s="455"/>
    </row>
    <row r="344" spans="1:11">
      <c r="A344" s="209" t="s">
        <v>206</v>
      </c>
      <c r="B344" s="455" t="s">
        <v>432</v>
      </c>
      <c r="C344" s="455"/>
      <c r="D344" s="455"/>
      <c r="E344" s="455"/>
      <c r="F344" s="455"/>
      <c r="G344" s="455"/>
      <c r="H344" s="455"/>
      <c r="I344" s="455"/>
      <c r="J344" s="455"/>
      <c r="K344" s="455"/>
    </row>
    <row r="345" spans="1:11">
      <c r="A345" s="209" t="s">
        <v>218</v>
      </c>
      <c r="B345" s="455" t="s">
        <v>711</v>
      </c>
      <c r="C345" s="455"/>
      <c r="D345" s="455"/>
      <c r="E345" s="455"/>
      <c r="F345" s="455"/>
      <c r="G345" s="455"/>
      <c r="H345" s="455"/>
      <c r="I345" s="455"/>
      <c r="J345" s="455"/>
      <c r="K345" s="455"/>
    </row>
    <row r="346" spans="1:11" ht="32.25" customHeight="1">
      <c r="A346" s="209" t="s">
        <v>219</v>
      </c>
      <c r="B346" s="455" t="s">
        <v>712</v>
      </c>
      <c r="C346" s="455"/>
      <c r="D346" s="455"/>
      <c r="E346" s="455"/>
      <c r="F346" s="455"/>
      <c r="G346" s="455"/>
      <c r="H346" s="455"/>
      <c r="I346" s="455"/>
      <c r="J346" s="455"/>
      <c r="K346" s="455"/>
    </row>
    <row r="347" spans="1:11">
      <c r="A347" s="210" t="s">
        <v>318</v>
      </c>
      <c r="B347" s="147" t="s">
        <v>319</v>
      </c>
      <c r="C347" s="1"/>
      <c r="D347" s="1"/>
      <c r="E347" s="1"/>
      <c r="F347" s="1"/>
      <c r="G347" s="1"/>
      <c r="H347" s="1"/>
      <c r="I347" s="1"/>
      <c r="J347" s="1"/>
      <c r="K347" s="1"/>
    </row>
    <row r="348" spans="1:11">
      <c r="A348" s="210"/>
      <c r="B348" s="1" t="s">
        <v>320</v>
      </c>
      <c r="C348" s="1"/>
      <c r="D348" s="1"/>
      <c r="E348" s="1"/>
      <c r="F348" s="1"/>
      <c r="G348" s="1"/>
      <c r="H348" s="1"/>
      <c r="I348" s="1"/>
      <c r="J348" s="1"/>
      <c r="K348" s="1"/>
    </row>
    <row r="349" spans="1:11">
      <c r="A349" s="210"/>
      <c r="B349" s="1" t="s">
        <v>321</v>
      </c>
      <c r="C349" s="1"/>
      <c r="D349" s="1"/>
      <c r="E349" s="1"/>
      <c r="F349" s="1"/>
      <c r="G349" s="1"/>
      <c r="H349" s="1"/>
      <c r="I349" s="1"/>
      <c r="J349" s="1"/>
      <c r="K349" s="1"/>
    </row>
    <row r="350" spans="1:11">
      <c r="A350" s="210"/>
      <c r="B350" s="1" t="s">
        <v>322</v>
      </c>
      <c r="C350" s="1"/>
      <c r="D350" s="1"/>
      <c r="E350" s="1"/>
      <c r="F350" s="1"/>
      <c r="G350" s="1"/>
      <c r="H350" s="1"/>
      <c r="I350" s="1"/>
      <c r="J350" s="1"/>
      <c r="K350" s="1"/>
    </row>
    <row r="351" spans="1:11">
      <c r="A351" s="210" t="s">
        <v>381</v>
      </c>
      <c r="B351" s="171" t="s">
        <v>709</v>
      </c>
      <c r="C351" s="1"/>
      <c r="D351" s="1"/>
      <c r="E351" s="1"/>
      <c r="F351" s="1"/>
      <c r="G351" s="1"/>
      <c r="H351" s="1"/>
      <c r="I351" s="1"/>
      <c r="J351" s="1"/>
      <c r="K351" s="1"/>
    </row>
    <row r="352" spans="1:11">
      <c r="A352" s="210" t="s">
        <v>383</v>
      </c>
      <c r="B352" s="171" t="s">
        <v>710</v>
      </c>
      <c r="C352" s="1"/>
      <c r="D352" s="1"/>
      <c r="E352" s="1"/>
      <c r="F352" s="1"/>
      <c r="G352" s="1"/>
      <c r="H352" s="1"/>
      <c r="I352" s="1"/>
      <c r="J352" s="1"/>
      <c r="K352" s="1"/>
    </row>
    <row r="353" spans="1:11">
      <c r="A353" s="211"/>
      <c r="B353" s="171" t="s">
        <v>590</v>
      </c>
      <c r="C353" s="1"/>
      <c r="D353" s="1"/>
      <c r="E353" s="1"/>
      <c r="F353" s="1"/>
      <c r="G353" s="1"/>
      <c r="H353" s="1"/>
      <c r="I353" s="1"/>
      <c r="J353" s="1"/>
      <c r="K353" s="1"/>
    </row>
    <row r="354" spans="1:11">
      <c r="A354" s="210"/>
      <c r="B354" s="1"/>
      <c r="C354" s="1"/>
      <c r="D354" s="1"/>
      <c r="E354" s="1"/>
      <c r="F354" s="1"/>
      <c r="G354" s="1"/>
      <c r="H354" s="1"/>
      <c r="I354" s="1"/>
      <c r="J354" s="1"/>
      <c r="K354" s="1"/>
    </row>
    <row r="355" spans="1:11">
      <c r="A355" s="452"/>
      <c r="B355" s="452"/>
      <c r="C355" s="452"/>
      <c r="D355" s="4"/>
      <c r="E355" s="4"/>
      <c r="F355" s="172"/>
      <c r="G355" s="453"/>
      <c r="H355" s="453"/>
      <c r="I355" s="453"/>
      <c r="J355" s="453"/>
      <c r="K355" s="453"/>
    </row>
    <row r="356" spans="1:11">
      <c r="B356" s="249"/>
      <c r="C356" s="249"/>
      <c r="D356" s="150"/>
      <c r="E356" s="249"/>
      <c r="F356" s="249"/>
      <c r="G356" s="249"/>
      <c r="H356" s="1"/>
      <c r="I356" s="454" t="s">
        <v>507</v>
      </c>
      <c r="J356" s="454"/>
      <c r="K356" s="454"/>
    </row>
    <row r="357" spans="1:11">
      <c r="B357" s="249"/>
      <c r="C357" s="249"/>
      <c r="D357" s="150"/>
      <c r="E357" s="249"/>
      <c r="F357" s="249"/>
      <c r="G357" s="249"/>
      <c r="H357" s="1"/>
      <c r="I357" s="1"/>
      <c r="J357" s="454" t="s">
        <v>398</v>
      </c>
      <c r="K357" s="454"/>
    </row>
    <row r="358" spans="1:11">
      <c r="A358" s="249"/>
      <c r="B358" s="249"/>
      <c r="C358" s="249"/>
      <c r="D358" s="4"/>
      <c r="E358" s="4"/>
      <c r="F358" s="172"/>
      <c r="G358" s="4"/>
      <c r="H358" s="4"/>
      <c r="I358" s="172"/>
      <c r="J358" s="248"/>
    </row>
    <row r="359" spans="1:11">
      <c r="A359" s="249"/>
      <c r="B359" s="249"/>
      <c r="C359" s="249"/>
      <c r="D359" s="4"/>
      <c r="E359" s="4"/>
      <c r="F359" s="172"/>
      <c r="G359" s="4"/>
      <c r="H359" s="4"/>
      <c r="I359" s="172"/>
      <c r="J359" s="248"/>
    </row>
    <row r="360" spans="1:11">
      <c r="A360" s="249"/>
      <c r="B360" s="249"/>
      <c r="C360" s="249"/>
      <c r="D360" s="4"/>
      <c r="E360" s="4"/>
      <c r="F360" s="172"/>
      <c r="G360" s="4"/>
      <c r="H360" s="4"/>
      <c r="I360" s="172"/>
      <c r="J360" s="248"/>
    </row>
    <row r="361" spans="1:11">
      <c r="A361" s="249"/>
      <c r="B361" s="249"/>
      <c r="C361" s="249"/>
      <c r="D361" s="4"/>
      <c r="E361" s="4"/>
      <c r="F361" s="172"/>
      <c r="G361" s="4"/>
      <c r="H361" s="4"/>
      <c r="I361" s="172"/>
      <c r="J361" s="248"/>
    </row>
    <row r="362" spans="1:11">
      <c r="A362" s="8" t="s">
        <v>385</v>
      </c>
      <c r="B362" s="249" t="s">
        <v>433</v>
      </c>
      <c r="C362" s="249"/>
      <c r="D362" s="4"/>
      <c r="E362" s="4"/>
      <c r="F362" s="172"/>
      <c r="G362" s="4"/>
      <c r="H362" s="4"/>
      <c r="I362" s="172"/>
      <c r="J362" s="248"/>
    </row>
    <row r="363" spans="1:11">
      <c r="A363" s="8"/>
      <c r="B363" s="249"/>
      <c r="C363" s="249"/>
      <c r="D363" s="4"/>
      <c r="E363" s="4"/>
      <c r="F363" s="172"/>
      <c r="G363" s="4"/>
      <c r="H363" s="4"/>
      <c r="I363" s="172"/>
      <c r="J363" s="248"/>
    </row>
    <row r="364" spans="1:11">
      <c r="A364" s="8" t="s">
        <v>386</v>
      </c>
      <c r="B364" s="249" t="s">
        <v>511</v>
      </c>
      <c r="C364" s="249"/>
      <c r="D364" s="4"/>
      <c r="E364" s="4"/>
      <c r="F364" s="172"/>
      <c r="G364" s="4"/>
      <c r="H364" s="4"/>
      <c r="I364" s="172"/>
      <c r="J364" s="248"/>
    </row>
    <row r="365" spans="1:11">
      <c r="A365" s="249"/>
      <c r="B365" s="249"/>
      <c r="C365" s="249"/>
      <c r="D365" s="4"/>
      <c r="E365" s="4"/>
      <c r="F365" s="172"/>
      <c r="G365" s="4"/>
      <c r="H365" s="4"/>
      <c r="I365" s="172"/>
      <c r="J365" s="248"/>
    </row>
    <row r="366" spans="1:11">
      <c r="A366" s="210" t="s">
        <v>418</v>
      </c>
      <c r="B366" s="1" t="s">
        <v>591</v>
      </c>
      <c r="C366" s="249"/>
      <c r="D366" s="4"/>
      <c r="E366" s="4"/>
      <c r="F366" s="172"/>
      <c r="G366" s="4"/>
      <c r="H366" s="4"/>
      <c r="I366" s="172"/>
      <c r="J366" s="248"/>
    </row>
    <row r="367" spans="1:11">
      <c r="A367" s="249"/>
      <c r="B367" s="1" t="s">
        <v>592</v>
      </c>
      <c r="C367" s="249"/>
      <c r="D367" s="4"/>
      <c r="E367" s="4"/>
      <c r="F367" s="172"/>
      <c r="G367" s="4"/>
      <c r="H367" s="4"/>
      <c r="I367" s="172"/>
      <c r="J367" s="248"/>
    </row>
    <row r="368" spans="1:11">
      <c r="A368" s="249"/>
      <c r="B368" s="1" t="s">
        <v>593</v>
      </c>
      <c r="C368" s="249"/>
      <c r="D368" s="4"/>
      <c r="E368" s="4"/>
      <c r="F368" s="172"/>
      <c r="G368" s="4"/>
      <c r="H368" s="4"/>
      <c r="I368" s="172"/>
      <c r="J368" s="248"/>
    </row>
    <row r="369" spans="1:11">
      <c r="A369" s="249"/>
      <c r="B369" s="1" t="s">
        <v>382</v>
      </c>
      <c r="C369" s="1"/>
      <c r="D369" s="1"/>
      <c r="E369" s="1"/>
      <c r="F369" s="1"/>
      <c r="G369" s="1"/>
      <c r="H369" s="1"/>
      <c r="I369" s="1"/>
      <c r="J369" s="1"/>
      <c r="K369" s="1"/>
    </row>
    <row r="370" spans="1:11">
      <c r="A370" s="210" t="s">
        <v>419</v>
      </c>
      <c r="B370" s="1" t="s">
        <v>384</v>
      </c>
      <c r="C370" s="1"/>
      <c r="D370" s="1"/>
      <c r="E370" s="1"/>
      <c r="F370" s="1"/>
      <c r="G370" s="1"/>
      <c r="H370" s="1"/>
      <c r="I370" s="1"/>
      <c r="J370" s="1"/>
      <c r="K370" s="1"/>
    </row>
    <row r="371" spans="1:11">
      <c r="A371" s="210" t="s">
        <v>434</v>
      </c>
      <c r="B371" s="1" t="s">
        <v>594</v>
      </c>
      <c r="C371" s="1"/>
      <c r="D371" s="1"/>
      <c r="E371" s="1"/>
      <c r="F371" s="1"/>
      <c r="G371" s="1"/>
      <c r="H371" s="1"/>
      <c r="I371" s="1"/>
      <c r="J371" s="1"/>
      <c r="K371" s="1"/>
    </row>
    <row r="372" spans="1:11">
      <c r="A372" s="210" t="s">
        <v>435</v>
      </c>
      <c r="B372" s="1" t="s">
        <v>387</v>
      </c>
      <c r="C372" s="1"/>
      <c r="D372" s="1"/>
      <c r="E372" s="1"/>
      <c r="F372" s="1"/>
      <c r="G372" s="1"/>
      <c r="H372" s="1"/>
      <c r="I372" s="1"/>
      <c r="J372" s="1"/>
      <c r="K372" s="1"/>
    </row>
    <row r="373" spans="1:11">
      <c r="A373" s="210"/>
      <c r="B373" s="1" t="s">
        <v>595</v>
      </c>
      <c r="C373" s="1" t="s">
        <v>388</v>
      </c>
      <c r="D373" s="257">
        <f>'2020 Attach O True-Up'!G16</f>
        <v>4195917</v>
      </c>
      <c r="E373" s="1"/>
      <c r="F373" s="1"/>
      <c r="G373" s="1"/>
      <c r="H373" s="1"/>
      <c r="I373" s="1"/>
      <c r="J373" s="1"/>
      <c r="K373" s="1"/>
    </row>
    <row r="374" spans="1:11">
      <c r="A374" s="210"/>
      <c r="B374" s="1" t="s">
        <v>390</v>
      </c>
      <c r="C374" s="1" t="s">
        <v>388</v>
      </c>
      <c r="D374" s="312">
        <f>'2020 Attach O True-Up'!G17</f>
        <v>4279421</v>
      </c>
      <c r="E374" s="1"/>
      <c r="F374" s="1"/>
      <c r="G374" s="1"/>
      <c r="H374" s="1"/>
      <c r="I374" s="1"/>
      <c r="J374" s="1"/>
      <c r="K374" s="1"/>
    </row>
    <row r="375" spans="1:11">
      <c r="A375" s="210"/>
      <c r="B375" s="1" t="s">
        <v>389</v>
      </c>
      <c r="C375" s="1"/>
      <c r="D375" s="313">
        <f>D374-D373</f>
        <v>83504</v>
      </c>
      <c r="E375" s="1"/>
      <c r="F375" s="1"/>
      <c r="G375" s="1"/>
      <c r="H375" s="1"/>
      <c r="I375" s="1"/>
      <c r="J375" s="1"/>
      <c r="K375" s="1"/>
    </row>
    <row r="376" spans="1:11">
      <c r="A376" s="210"/>
      <c r="B376" s="1" t="s">
        <v>391</v>
      </c>
      <c r="C376" s="1" t="s">
        <v>392</v>
      </c>
      <c r="D376" s="314">
        <f>'2020 Attach O True-Up'!G20</f>
        <v>27.495126187750284</v>
      </c>
      <c r="E376" s="1"/>
      <c r="F376" s="1"/>
      <c r="G376" s="1"/>
      <c r="H376" s="1"/>
      <c r="I376" s="1"/>
      <c r="J376" s="1"/>
      <c r="K376" s="1"/>
    </row>
    <row r="377" spans="1:11">
      <c r="A377" s="210"/>
      <c r="B377" s="1" t="s">
        <v>393</v>
      </c>
      <c r="C377" s="1"/>
      <c r="D377" s="315">
        <f>D375*D376</f>
        <v>2295953.0171818999</v>
      </c>
      <c r="E377" s="1"/>
      <c r="F377" s="1"/>
      <c r="G377" s="1"/>
      <c r="H377" s="1"/>
      <c r="I377" s="1"/>
      <c r="J377" s="1"/>
      <c r="K377" s="1"/>
    </row>
    <row r="378" spans="1:11" ht="46.5" customHeight="1">
      <c r="A378" s="316" t="s">
        <v>649</v>
      </c>
      <c r="B378" s="451" t="s">
        <v>650</v>
      </c>
      <c r="C378" s="451"/>
      <c r="D378" s="451"/>
      <c r="E378" s="451"/>
      <c r="F378" s="451"/>
      <c r="G378" s="451"/>
      <c r="H378" s="451"/>
      <c r="I378" s="451"/>
      <c r="J378" s="1"/>
      <c r="K378" s="1"/>
    </row>
    <row r="379" spans="1:11" ht="82.5" customHeight="1">
      <c r="A379" s="316" t="s">
        <v>651</v>
      </c>
      <c r="B379" s="451" t="s">
        <v>652</v>
      </c>
      <c r="C379" s="451"/>
      <c r="D379" s="451"/>
      <c r="E379" s="451"/>
      <c r="F379" s="451"/>
      <c r="G379" s="451"/>
      <c r="H379" s="451"/>
      <c r="I379" s="451"/>
      <c r="J379" s="1"/>
      <c r="K379" s="1"/>
    </row>
    <row r="380" spans="1:11" ht="75" customHeight="1">
      <c r="A380" s="316" t="s">
        <v>672</v>
      </c>
      <c r="B380" s="451" t="s">
        <v>673</v>
      </c>
      <c r="C380" s="451"/>
      <c r="D380" s="451"/>
      <c r="E380" s="451"/>
      <c r="F380" s="451"/>
      <c r="G380" s="451"/>
      <c r="H380" s="451"/>
      <c r="I380" s="451"/>
      <c r="J380" s="1"/>
      <c r="K380" s="1"/>
    </row>
    <row r="381" spans="1:11" ht="74.25" customHeight="1">
      <c r="A381" s="316" t="s">
        <v>674</v>
      </c>
      <c r="B381" s="451" t="s">
        <v>675</v>
      </c>
      <c r="C381" s="451"/>
      <c r="D381" s="451"/>
      <c r="E381" s="451"/>
      <c r="F381" s="451"/>
      <c r="G381" s="451"/>
      <c r="H381" s="451"/>
      <c r="I381" s="451"/>
      <c r="J381" s="1"/>
      <c r="K381" s="1"/>
    </row>
    <row r="382" spans="1:11">
      <c r="A382" s="316"/>
      <c r="B382" s="1"/>
      <c r="C382" s="1"/>
      <c r="D382" s="317"/>
      <c r="E382" s="1"/>
      <c r="F382" s="1"/>
      <c r="G382" s="1"/>
      <c r="H382" s="1"/>
      <c r="I382" s="1"/>
      <c r="J382" s="1"/>
      <c r="K382" s="1"/>
    </row>
    <row r="383" spans="1:11">
      <c r="A383" s="210"/>
      <c r="B383" s="1"/>
      <c r="C383" s="1"/>
      <c r="D383" s="317"/>
      <c r="E383" s="1"/>
      <c r="F383" s="1"/>
      <c r="G383" s="1"/>
      <c r="H383" s="1"/>
      <c r="I383" s="1"/>
      <c r="J383" s="1"/>
      <c r="K383" s="1"/>
    </row>
    <row r="384" spans="1:11">
      <c r="A384" s="210"/>
      <c r="B384" s="1"/>
      <c r="C384" s="1"/>
      <c r="D384" s="317"/>
      <c r="E384" s="1"/>
      <c r="F384" s="1"/>
      <c r="G384" s="1"/>
      <c r="H384" s="1"/>
      <c r="I384" s="1"/>
      <c r="J384" s="1"/>
      <c r="K384" s="1"/>
    </row>
    <row r="385" spans="1:11">
      <c r="A385" s="210"/>
      <c r="B385" s="1"/>
      <c r="C385" s="1"/>
      <c r="D385" s="317"/>
      <c r="E385" s="1"/>
      <c r="F385" s="1"/>
      <c r="G385" s="1"/>
      <c r="H385" s="1"/>
      <c r="I385" s="1"/>
      <c r="J385" s="1"/>
      <c r="K385" s="1"/>
    </row>
    <row r="386" spans="1:11">
      <c r="A386" s="210"/>
      <c r="B386" s="1"/>
      <c r="C386" s="1"/>
      <c r="D386" s="317"/>
      <c r="E386" s="1"/>
      <c r="F386" s="1"/>
      <c r="G386" s="1"/>
      <c r="H386" s="1"/>
      <c r="I386" s="1"/>
      <c r="J386" s="1"/>
      <c r="K386" s="1"/>
    </row>
    <row r="387" spans="1:11">
      <c r="A387" s="210"/>
      <c r="B387" s="1"/>
      <c r="C387" s="1"/>
      <c r="D387" s="317"/>
      <c r="E387" s="1"/>
      <c r="F387" s="1"/>
      <c r="G387" s="1"/>
      <c r="H387" s="1"/>
      <c r="I387" s="1"/>
      <c r="J387" s="1"/>
      <c r="K387" s="1"/>
    </row>
    <row r="388" spans="1:11">
      <c r="A388" s="210"/>
      <c r="B388" s="1"/>
      <c r="C388" s="1"/>
      <c r="D388" s="317"/>
      <c r="E388" s="1"/>
      <c r="F388" s="1"/>
      <c r="G388" s="1"/>
      <c r="H388" s="1"/>
      <c r="I388" s="1"/>
      <c r="J388" s="1"/>
      <c r="K388" s="1"/>
    </row>
    <row r="389" spans="1:11">
      <c r="A389" s="210"/>
      <c r="B389" s="1"/>
      <c r="C389" s="1"/>
      <c r="D389" s="317"/>
      <c r="E389" s="1"/>
      <c r="F389" s="1"/>
      <c r="G389" s="1"/>
      <c r="H389" s="1"/>
      <c r="I389" s="1"/>
      <c r="J389" s="1"/>
      <c r="K389" s="1"/>
    </row>
    <row r="390" spans="1:11">
      <c r="A390" s="210"/>
      <c r="B390" s="1"/>
      <c r="C390" s="1"/>
      <c r="D390" s="317"/>
      <c r="E390" s="1"/>
      <c r="F390" s="1"/>
      <c r="G390" s="1"/>
      <c r="H390" s="1"/>
      <c r="I390" s="1"/>
      <c r="J390" s="1"/>
      <c r="K390" s="1"/>
    </row>
    <row r="391" spans="1:11">
      <c r="A391" s="210"/>
      <c r="B391" s="1"/>
      <c r="C391" s="1"/>
      <c r="D391" s="317"/>
      <c r="E391" s="1"/>
      <c r="F391" s="1"/>
      <c r="G391" s="1"/>
      <c r="H391" s="1"/>
      <c r="I391" s="1"/>
      <c r="J391" s="1"/>
      <c r="K391" s="1"/>
    </row>
    <row r="392" spans="1:11">
      <c r="A392" s="210"/>
      <c r="B392" s="1"/>
      <c r="C392" s="1"/>
      <c r="D392" s="317"/>
      <c r="E392" s="1"/>
      <c r="F392" s="1"/>
      <c r="G392" s="1"/>
      <c r="H392" s="1"/>
      <c r="I392" s="1"/>
      <c r="J392" s="1"/>
      <c r="K392" s="1"/>
    </row>
    <row r="393" spans="1:11">
      <c r="A393" s="210"/>
      <c r="B393" s="1"/>
      <c r="C393" s="1"/>
      <c r="D393" s="317"/>
      <c r="E393" s="1"/>
      <c r="F393" s="1"/>
      <c r="G393" s="1"/>
      <c r="H393" s="1"/>
      <c r="I393" s="1"/>
      <c r="J393" s="1"/>
      <c r="K393" s="1"/>
    </row>
    <row r="394" spans="1:11">
      <c r="A394" s="210"/>
      <c r="B394" s="1"/>
      <c r="C394" s="1"/>
      <c r="D394" s="317"/>
      <c r="E394" s="1"/>
      <c r="F394" s="1"/>
      <c r="G394" s="1"/>
      <c r="H394" s="1"/>
      <c r="I394" s="1"/>
      <c r="J394" s="1"/>
      <c r="K394" s="1"/>
    </row>
    <row r="395" spans="1:11">
      <c r="A395" s="210"/>
      <c r="B395" s="1"/>
      <c r="C395" s="1"/>
      <c r="D395" s="317"/>
      <c r="E395" s="1"/>
      <c r="F395" s="1"/>
      <c r="G395" s="1"/>
      <c r="H395" s="1"/>
      <c r="I395" s="1"/>
      <c r="J395" s="1"/>
      <c r="K395" s="1"/>
    </row>
    <row r="396" spans="1:11">
      <c r="A396" s="210"/>
      <c r="B396" s="1"/>
      <c r="C396" s="1"/>
      <c r="D396" s="317"/>
      <c r="E396" s="1"/>
      <c r="F396" s="1"/>
      <c r="G396" s="1"/>
      <c r="H396" s="1"/>
      <c r="I396" s="1"/>
      <c r="J396" s="1"/>
      <c r="K396" s="1"/>
    </row>
    <row r="397" spans="1:11">
      <c r="A397" s="210"/>
      <c r="B397" s="1"/>
      <c r="C397" s="1"/>
      <c r="D397" s="317"/>
      <c r="E397" s="1"/>
      <c r="F397" s="1"/>
      <c r="G397" s="1"/>
      <c r="H397" s="1"/>
      <c r="I397" s="1"/>
      <c r="J397" s="1"/>
      <c r="K397" s="1"/>
    </row>
    <row r="398" spans="1:11">
      <c r="A398" s="210"/>
      <c r="B398" s="1"/>
      <c r="C398" s="1"/>
      <c r="D398" s="317"/>
      <c r="E398" s="1"/>
      <c r="F398" s="1"/>
      <c r="G398" s="1"/>
      <c r="H398" s="1"/>
      <c r="I398" s="1"/>
      <c r="J398" s="1"/>
      <c r="K398" s="1"/>
    </row>
    <row r="399" spans="1:11">
      <c r="A399" s="210"/>
      <c r="B399" s="1"/>
      <c r="C399" s="1"/>
      <c r="D399" s="317"/>
      <c r="E399" s="1"/>
      <c r="F399" s="1"/>
      <c r="G399" s="1"/>
      <c r="H399" s="1"/>
      <c r="I399" s="1"/>
      <c r="J399" s="1"/>
      <c r="K399" s="1"/>
    </row>
    <row r="400" spans="1:11">
      <c r="A400" s="210"/>
      <c r="B400" s="1"/>
      <c r="C400" s="1"/>
      <c r="D400" s="317"/>
      <c r="E400" s="1"/>
      <c r="F400" s="1"/>
      <c r="G400" s="1"/>
      <c r="H400" s="1"/>
      <c r="I400" s="1"/>
      <c r="J400" s="1"/>
      <c r="K400" s="1"/>
    </row>
    <row r="401" spans="1:11">
      <c r="A401" s="210"/>
      <c r="B401" s="1"/>
      <c r="C401" s="1"/>
      <c r="D401" s="317"/>
      <c r="E401" s="1"/>
      <c r="F401" s="1"/>
      <c r="G401" s="1"/>
      <c r="H401" s="1"/>
      <c r="I401" s="1"/>
      <c r="J401" s="1"/>
      <c r="K401" s="1"/>
    </row>
    <row r="402" spans="1:11">
      <c r="A402" s="210"/>
      <c r="B402" s="1"/>
      <c r="C402" s="1"/>
      <c r="D402" s="317"/>
      <c r="E402" s="1"/>
      <c r="F402" s="1"/>
      <c r="G402" s="1"/>
      <c r="H402" s="1"/>
      <c r="I402" s="1"/>
      <c r="J402" s="1"/>
      <c r="K402" s="1"/>
    </row>
    <row r="403" spans="1:11">
      <c r="A403" s="210"/>
      <c r="B403" s="1"/>
      <c r="C403" s="1"/>
      <c r="D403" s="317"/>
      <c r="E403" s="1"/>
      <c r="F403" s="1"/>
      <c r="G403" s="1"/>
      <c r="H403" s="1"/>
      <c r="I403" s="1"/>
      <c r="J403" s="1"/>
      <c r="K403" s="1"/>
    </row>
    <row r="404" spans="1:11">
      <c r="A404" s="210"/>
      <c r="B404" s="1"/>
      <c r="C404" s="1"/>
      <c r="D404" s="317"/>
      <c r="E404" s="1"/>
      <c r="F404" s="1"/>
      <c r="G404" s="1"/>
      <c r="H404" s="1"/>
      <c r="I404" s="1"/>
      <c r="J404" s="1"/>
      <c r="K404" s="1"/>
    </row>
    <row r="405" spans="1:11">
      <c r="A405" s="210"/>
      <c r="B405" s="1"/>
      <c r="C405" s="1"/>
      <c r="D405" s="317"/>
      <c r="E405" s="1"/>
      <c r="F405" s="1"/>
      <c r="G405" s="1"/>
      <c r="H405" s="1"/>
      <c r="I405" s="1"/>
      <c r="J405" s="1"/>
      <c r="K405" s="1"/>
    </row>
    <row r="406" spans="1:11">
      <c r="A406" s="210"/>
      <c r="B406" s="1"/>
      <c r="C406" s="1"/>
      <c r="D406" s="317"/>
      <c r="E406" s="1"/>
      <c r="F406" s="1"/>
      <c r="G406" s="1"/>
      <c r="H406" s="1"/>
      <c r="I406" s="1"/>
      <c r="J406" s="1"/>
      <c r="K406" s="1"/>
    </row>
    <row r="407" spans="1:11">
      <c r="A407" s="210"/>
      <c r="B407" s="1"/>
      <c r="C407" s="1"/>
      <c r="D407" s="317"/>
      <c r="E407" s="1"/>
      <c r="F407" s="1"/>
      <c r="G407" s="1"/>
      <c r="H407" s="1"/>
      <c r="I407" s="1"/>
      <c r="J407" s="1"/>
      <c r="K407" s="1"/>
    </row>
    <row r="408" spans="1:11">
      <c r="A408" s="210"/>
      <c r="B408" s="1"/>
      <c r="C408" s="1"/>
      <c r="D408" s="317"/>
      <c r="E408" s="1"/>
      <c r="F408" s="1"/>
      <c r="G408" s="1"/>
      <c r="H408" s="1"/>
      <c r="I408" s="1"/>
      <c r="J408" s="1"/>
      <c r="K408" s="1"/>
    </row>
    <row r="409" spans="1:11">
      <c r="A409" s="210"/>
      <c r="B409" s="1"/>
      <c r="C409" s="1"/>
      <c r="D409" s="317"/>
      <c r="E409" s="1"/>
      <c r="F409" s="1"/>
      <c r="G409" s="1"/>
      <c r="H409" s="1"/>
      <c r="I409" s="1"/>
      <c r="J409" s="1"/>
      <c r="K409" s="1"/>
    </row>
    <row r="410" spans="1:11">
      <c r="A410" s="210"/>
      <c r="B410" s="1"/>
      <c r="C410" s="1"/>
      <c r="D410" s="317"/>
      <c r="E410" s="1"/>
      <c r="F410" s="1"/>
      <c r="G410" s="1"/>
      <c r="H410" s="1"/>
      <c r="I410" s="1"/>
      <c r="J410" s="1"/>
      <c r="K410" s="1"/>
    </row>
    <row r="411" spans="1:11">
      <c r="A411" s="210"/>
      <c r="B411" s="1"/>
      <c r="C411" s="1"/>
      <c r="D411" s="317"/>
      <c r="E411" s="1"/>
      <c r="F411" s="1"/>
      <c r="G411" s="1"/>
      <c r="H411" s="1"/>
      <c r="I411" s="1"/>
      <c r="J411" s="1"/>
      <c r="K411" s="1"/>
    </row>
    <row r="412" spans="1:11">
      <c r="A412" s="210"/>
      <c r="B412" s="1"/>
      <c r="C412" s="1"/>
      <c r="D412" s="317"/>
      <c r="E412" s="1"/>
      <c r="F412" s="1"/>
      <c r="G412" s="1"/>
      <c r="H412" s="1"/>
      <c r="I412" s="1"/>
      <c r="J412" s="1"/>
      <c r="K412" s="1"/>
    </row>
    <row r="413" spans="1:11">
      <c r="A413" s="210"/>
      <c r="B413" s="1"/>
      <c r="C413" s="1"/>
      <c r="D413" s="317"/>
      <c r="E413" s="1"/>
      <c r="F413" s="1"/>
      <c r="G413" s="1"/>
      <c r="H413" s="1"/>
      <c r="I413" s="1"/>
      <c r="J413" s="1"/>
      <c r="K413" s="1"/>
    </row>
    <row r="414" spans="1:11">
      <c r="A414" s="210"/>
      <c r="B414" s="1"/>
      <c r="C414" s="1"/>
      <c r="D414" s="317"/>
      <c r="E414" s="1"/>
      <c r="F414" s="1"/>
      <c r="G414" s="1"/>
      <c r="H414" s="1"/>
      <c r="I414" s="1"/>
      <c r="J414" s="1"/>
      <c r="K414" s="1"/>
    </row>
    <row r="415" spans="1:11">
      <c r="A415" s="210"/>
      <c r="B415" s="1"/>
      <c r="C415" s="1"/>
      <c r="D415" s="317"/>
      <c r="E415" s="1"/>
      <c r="F415" s="1"/>
      <c r="G415" s="1"/>
      <c r="H415" s="1"/>
      <c r="I415" s="1"/>
      <c r="J415" s="1"/>
      <c r="K415" s="1"/>
    </row>
    <row r="416" spans="1:11">
      <c r="A416" s="210"/>
      <c r="B416" s="1"/>
      <c r="C416" s="1"/>
      <c r="D416" s="317"/>
      <c r="E416" s="1"/>
      <c r="F416" s="1"/>
      <c r="G416" s="1"/>
      <c r="H416" s="1"/>
      <c r="I416" s="1"/>
      <c r="J416" s="1"/>
      <c r="K416" s="1"/>
    </row>
    <row r="425" spans="1:11">
      <c r="A425" s="452"/>
      <c r="B425" s="452"/>
      <c r="C425" s="452"/>
      <c r="D425" s="4"/>
      <c r="E425" s="4"/>
      <c r="F425" s="172"/>
      <c r="G425" s="453"/>
      <c r="H425" s="453"/>
      <c r="I425" s="453"/>
      <c r="J425" s="453"/>
      <c r="K425" s="453"/>
    </row>
  </sheetData>
  <sheetProtection formatCells="0" formatColumns="0"/>
  <mergeCells count="70">
    <mergeCell ref="A78:C78"/>
    <mergeCell ref="G1:K1"/>
    <mergeCell ref="G2:K2"/>
    <mergeCell ref="I4:K4"/>
    <mergeCell ref="A77:C77"/>
    <mergeCell ref="G77:K77"/>
    <mergeCell ref="G79:K79"/>
    <mergeCell ref="G80:K80"/>
    <mergeCell ref="I81:K81"/>
    <mergeCell ref="J82:K82"/>
    <mergeCell ref="A149:C149"/>
    <mergeCell ref="I149:K149"/>
    <mergeCell ref="F229:K229"/>
    <mergeCell ref="A150:B150"/>
    <mergeCell ref="A151:K151"/>
    <mergeCell ref="F152:K152"/>
    <mergeCell ref="D153:K153"/>
    <mergeCell ref="I155:K155"/>
    <mergeCell ref="J156:K156"/>
    <mergeCell ref="B216:C216"/>
    <mergeCell ref="A226:C226"/>
    <mergeCell ref="G226:K226"/>
    <mergeCell ref="A227:B227"/>
    <mergeCell ref="G228:K228"/>
    <mergeCell ref="B321:K321"/>
    <mergeCell ref="I230:K230"/>
    <mergeCell ref="J231:K231"/>
    <mergeCell ref="G233:K233"/>
    <mergeCell ref="N247:S247"/>
    <mergeCell ref="A305:C305"/>
    <mergeCell ref="G305:K305"/>
    <mergeCell ref="G306:K306"/>
    <mergeCell ref="G307:K307"/>
    <mergeCell ref="I308:K308"/>
    <mergeCell ref="J309:K309"/>
    <mergeCell ref="B320:K320"/>
    <mergeCell ref="B334:K334"/>
    <mergeCell ref="B322:K322"/>
    <mergeCell ref="B323:K323"/>
    <mergeCell ref="B324:K324"/>
    <mergeCell ref="B325:K325"/>
    <mergeCell ref="B326:K326"/>
    <mergeCell ref="B327:K327"/>
    <mergeCell ref="B328:K328"/>
    <mergeCell ref="B329:K329"/>
    <mergeCell ref="B330:K330"/>
    <mergeCell ref="E332:K332"/>
    <mergeCell ref="E333:K333"/>
    <mergeCell ref="B346:K346"/>
    <mergeCell ref="B335:K335"/>
    <mergeCell ref="B336:K336"/>
    <mergeCell ref="B337:K337"/>
    <mergeCell ref="B338:K338"/>
    <mergeCell ref="B339:K339"/>
    <mergeCell ref="B340:K340"/>
    <mergeCell ref="B341:K341"/>
    <mergeCell ref="B342:K342"/>
    <mergeCell ref="B343:K343"/>
    <mergeCell ref="B344:K344"/>
    <mergeCell ref="B345:K345"/>
    <mergeCell ref="B380:I380"/>
    <mergeCell ref="B381:I381"/>
    <mergeCell ref="A425:C425"/>
    <mergeCell ref="G425:K425"/>
    <mergeCell ref="A355:C355"/>
    <mergeCell ref="G355:K355"/>
    <mergeCell ref="I356:K356"/>
    <mergeCell ref="J357:K357"/>
    <mergeCell ref="B378:I378"/>
    <mergeCell ref="B379:I379"/>
  </mergeCells>
  <printOptions horizontalCentered="1" verticalCentered="1"/>
  <pageMargins left="0.75" right="0.75" top="1" bottom="1" header="0.5" footer="0.5"/>
  <pageSetup scale="53" fitToHeight="6" orientation="portrait" horizontalDpi="300" verticalDpi="300" r:id="rId1"/>
  <headerFooter alignWithMargins="0">
    <oddFooter>&amp;RV36
EFF 08.01.20</oddFooter>
  </headerFooter>
  <rowBreaks count="5" manualBreakCount="5">
    <brk id="78" max="16383" man="1"/>
    <brk id="151" max="16383" man="1"/>
    <brk id="227" max="16383" man="1"/>
    <brk id="305" max="16383" man="1"/>
    <brk id="355"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5"/>
  <sheetViews>
    <sheetView workbookViewId="0">
      <selection activeCell="E21" sqref="E21"/>
    </sheetView>
  </sheetViews>
  <sheetFormatPr defaultRowHeight="15"/>
  <cols>
    <col min="1" max="1" width="6.77734375" customWidth="1"/>
    <col min="2" max="2" width="16.44140625" customWidth="1"/>
    <col min="3" max="3" width="16" bestFit="1" customWidth="1"/>
    <col min="4" max="4" width="12.44140625" bestFit="1" customWidth="1"/>
    <col min="5" max="5" width="13.5546875" bestFit="1" customWidth="1"/>
    <col min="6" max="6" width="14.5546875" bestFit="1" customWidth="1"/>
    <col min="8" max="20" width="11.88671875" bestFit="1" customWidth="1"/>
  </cols>
  <sheetData>
    <row r="1" spans="1:20" ht="15.75">
      <c r="A1" s="39" t="s">
        <v>279</v>
      </c>
    </row>
    <row r="2" spans="1:20" ht="15.75">
      <c r="A2" s="39" t="s">
        <v>359</v>
      </c>
    </row>
    <row r="3" spans="1:20" ht="15.75">
      <c r="A3" s="39" t="str">
        <f>'Plant Balance'!A3</f>
        <v>For the 13 Months Ended December 31, 2022</v>
      </c>
    </row>
    <row r="5" spans="1:20">
      <c r="B5" s="41" t="s">
        <v>350</v>
      </c>
      <c r="C5" s="41" t="s">
        <v>351</v>
      </c>
      <c r="D5" s="41" t="s">
        <v>356</v>
      </c>
      <c r="E5" s="41" t="s">
        <v>352</v>
      </c>
      <c r="F5" s="41" t="s">
        <v>353</v>
      </c>
    </row>
    <row r="7" spans="1:20" ht="15.75">
      <c r="A7" s="42" t="s">
        <v>4</v>
      </c>
      <c r="B7" s="67"/>
      <c r="C7" s="469" t="s">
        <v>361</v>
      </c>
      <c r="D7" s="469"/>
      <c r="E7" s="469"/>
      <c r="F7" s="470"/>
    </row>
    <row r="8" spans="1:20" ht="15.75">
      <c r="A8" s="43" t="s">
        <v>6</v>
      </c>
      <c r="B8" s="68" t="s">
        <v>344</v>
      </c>
      <c r="C8" s="48" t="s">
        <v>345</v>
      </c>
      <c r="D8" s="48" t="s">
        <v>38</v>
      </c>
      <c r="E8" s="48" t="s">
        <v>346</v>
      </c>
      <c r="F8" s="49" t="s">
        <v>360</v>
      </c>
    </row>
    <row r="9" spans="1:20">
      <c r="A9" s="62">
        <v>1</v>
      </c>
      <c r="B9" s="65">
        <f>'Plant Balance'!B9</f>
        <v>44531</v>
      </c>
      <c r="C9" s="132">
        <v>153723618.79758939</v>
      </c>
      <c r="D9" s="132">
        <v>12302068.615988301</v>
      </c>
      <c r="E9" s="132">
        <v>22838919.622976299</v>
      </c>
      <c r="F9" s="70">
        <f>SUM(C9:E9)</f>
        <v>188864607.03655401</v>
      </c>
      <c r="H9" s="132"/>
      <c r="I9" s="132"/>
      <c r="J9" s="132"/>
      <c r="K9" s="132"/>
      <c r="L9" s="132"/>
      <c r="M9" s="132"/>
      <c r="N9" s="132"/>
      <c r="O9" s="132"/>
      <c r="P9" s="132"/>
      <c r="Q9" s="132"/>
      <c r="R9" s="132"/>
      <c r="S9" s="132"/>
      <c r="T9" s="132"/>
    </row>
    <row r="10" spans="1:20">
      <c r="A10" s="63">
        <v>2</v>
      </c>
      <c r="B10" s="66">
        <f>'Plant Balance'!B10</f>
        <v>44562</v>
      </c>
      <c r="C10" s="132">
        <v>153490532.87385711</v>
      </c>
      <c r="D10" s="132">
        <v>12311037.778804502</v>
      </c>
      <c r="E10" s="132">
        <v>23188467.083427802</v>
      </c>
      <c r="F10" s="72">
        <f t="shared" ref="F10:F21" si="0">SUM(C10:E10)</f>
        <v>188990037.73608941</v>
      </c>
      <c r="H10" s="132"/>
      <c r="I10" s="132"/>
      <c r="J10" s="132"/>
      <c r="K10" s="132"/>
      <c r="L10" s="132"/>
      <c r="M10" s="132"/>
      <c r="N10" s="132"/>
      <c r="O10" s="132"/>
      <c r="P10" s="132"/>
      <c r="Q10" s="132"/>
      <c r="R10" s="132"/>
      <c r="S10" s="132"/>
      <c r="T10" s="132"/>
    </row>
    <row r="11" spans="1:20">
      <c r="A11" s="63">
        <v>3</v>
      </c>
      <c r="B11" s="66">
        <f>'Plant Balance'!B11</f>
        <v>44593</v>
      </c>
      <c r="C11" s="132">
        <v>153490532.87385711</v>
      </c>
      <c r="D11" s="132">
        <v>12311037.778804502</v>
      </c>
      <c r="E11" s="132">
        <v>23188467.083427802</v>
      </c>
      <c r="F11" s="72">
        <f t="shared" si="0"/>
        <v>188990037.73608941</v>
      </c>
      <c r="H11" s="132"/>
      <c r="I11" s="132"/>
      <c r="J11" s="132"/>
      <c r="K11" s="132"/>
      <c r="L11" s="132"/>
      <c r="M11" s="132"/>
      <c r="N11" s="132"/>
      <c r="O11" s="132"/>
      <c r="P11" s="132"/>
      <c r="Q11" s="132"/>
      <c r="R11" s="132"/>
      <c r="S11" s="132"/>
      <c r="T11" s="132"/>
    </row>
    <row r="12" spans="1:20">
      <c r="A12" s="63">
        <v>4</v>
      </c>
      <c r="B12" s="66">
        <f>'Plant Balance'!B12</f>
        <v>44621</v>
      </c>
      <c r="C12" s="132">
        <v>153490532.87385711</v>
      </c>
      <c r="D12" s="132">
        <v>12311037.778804502</v>
      </c>
      <c r="E12" s="132">
        <v>23188467.083427802</v>
      </c>
      <c r="F12" s="72">
        <f t="shared" si="0"/>
        <v>188990037.73608941</v>
      </c>
    </row>
    <row r="13" spans="1:20">
      <c r="A13" s="63">
        <v>5</v>
      </c>
      <c r="B13" s="66">
        <f>'Plant Balance'!B13</f>
        <v>44652</v>
      </c>
      <c r="C13" s="132">
        <v>153490532.87385711</v>
      </c>
      <c r="D13" s="132">
        <v>12311037.778804502</v>
      </c>
      <c r="E13" s="132">
        <v>23188467.083427802</v>
      </c>
      <c r="F13" s="72">
        <f t="shared" si="0"/>
        <v>188990037.73608941</v>
      </c>
    </row>
    <row r="14" spans="1:20">
      <c r="A14" s="63">
        <v>6</v>
      </c>
      <c r="B14" s="66">
        <f>'Plant Balance'!B14</f>
        <v>44682</v>
      </c>
      <c r="C14" s="132">
        <v>153490532.87385711</v>
      </c>
      <c r="D14" s="132">
        <v>12311037.778804502</v>
      </c>
      <c r="E14" s="132">
        <v>23188467.083427802</v>
      </c>
      <c r="F14" s="72">
        <f t="shared" si="0"/>
        <v>188990037.73608941</v>
      </c>
    </row>
    <row r="15" spans="1:20">
      <c r="A15" s="63">
        <v>7</v>
      </c>
      <c r="B15" s="66">
        <f>'Plant Balance'!B15</f>
        <v>44713</v>
      </c>
      <c r="C15" s="132">
        <v>153490532.87385711</v>
      </c>
      <c r="D15" s="132">
        <v>12311037.778804502</v>
      </c>
      <c r="E15" s="132">
        <v>23188467.083427802</v>
      </c>
      <c r="F15" s="72">
        <f t="shared" si="0"/>
        <v>188990037.73608941</v>
      </c>
    </row>
    <row r="16" spans="1:20">
      <c r="A16" s="63">
        <v>8</v>
      </c>
      <c r="B16" s="66">
        <f>'Plant Balance'!B16</f>
        <v>44743</v>
      </c>
      <c r="C16" s="132">
        <v>153490532.87385711</v>
      </c>
      <c r="D16" s="132">
        <v>12311037.778804502</v>
      </c>
      <c r="E16" s="132">
        <v>23188467.083427802</v>
      </c>
      <c r="F16" s="72">
        <f t="shared" si="0"/>
        <v>188990037.73608941</v>
      </c>
    </row>
    <row r="17" spans="1:6">
      <c r="A17" s="63">
        <v>9</v>
      </c>
      <c r="B17" s="66">
        <f>'Plant Balance'!B17</f>
        <v>44774</v>
      </c>
      <c r="C17" s="132">
        <v>153490532.87385711</v>
      </c>
      <c r="D17" s="132">
        <v>12311037.778804502</v>
      </c>
      <c r="E17" s="132">
        <v>23188467.083427802</v>
      </c>
      <c r="F17" s="72">
        <f t="shared" si="0"/>
        <v>188990037.73608941</v>
      </c>
    </row>
    <row r="18" spans="1:6">
      <c r="A18" s="63">
        <v>10</v>
      </c>
      <c r="B18" s="66">
        <f>'Plant Balance'!B18</f>
        <v>44805</v>
      </c>
      <c r="C18" s="132">
        <v>153490532.87385711</v>
      </c>
      <c r="D18" s="132">
        <v>12311037.778804502</v>
      </c>
      <c r="E18" s="132">
        <v>23188467.083427802</v>
      </c>
      <c r="F18" s="72">
        <f t="shared" si="0"/>
        <v>188990037.73608941</v>
      </c>
    </row>
    <row r="19" spans="1:6">
      <c r="A19" s="63">
        <v>11</v>
      </c>
      <c r="B19" s="66">
        <f>'Plant Balance'!B19</f>
        <v>44835</v>
      </c>
      <c r="C19" s="132">
        <v>153490532.87385711</v>
      </c>
      <c r="D19" s="132">
        <v>12311037.778804502</v>
      </c>
      <c r="E19" s="132">
        <v>23188467.083427802</v>
      </c>
      <c r="F19" s="72">
        <f t="shared" si="0"/>
        <v>188990037.73608941</v>
      </c>
    </row>
    <row r="20" spans="1:6">
      <c r="A20" s="63">
        <v>12</v>
      </c>
      <c r="B20" s="66">
        <f>'Plant Balance'!B20</f>
        <v>44866</v>
      </c>
      <c r="C20" s="132">
        <v>153490532.87385711</v>
      </c>
      <c r="D20" s="132">
        <v>12311037.778804502</v>
      </c>
      <c r="E20" s="132">
        <v>23188467.083427802</v>
      </c>
      <c r="F20" s="72">
        <f t="shared" si="0"/>
        <v>188990037.73608941</v>
      </c>
    </row>
    <row r="21" spans="1:6" ht="15.75" thickBot="1">
      <c r="A21" s="63">
        <v>13</v>
      </c>
      <c r="B21" s="66">
        <f>'Plant Balance'!B21</f>
        <v>44896</v>
      </c>
      <c r="C21" s="132">
        <v>153490532.87385711</v>
      </c>
      <c r="D21" s="132">
        <v>12311037.778804502</v>
      </c>
      <c r="E21" s="132">
        <v>23188467.083427802</v>
      </c>
      <c r="F21" s="73">
        <f t="shared" si="0"/>
        <v>188990037.73608941</v>
      </c>
    </row>
    <row r="22" spans="1:6">
      <c r="A22" s="63">
        <v>14</v>
      </c>
      <c r="B22" s="12"/>
      <c r="C22" s="14"/>
      <c r="D22" s="14"/>
      <c r="E22" s="14"/>
      <c r="F22" s="13"/>
    </row>
    <row r="23" spans="1:6" ht="15.75">
      <c r="A23" s="63">
        <v>15</v>
      </c>
      <c r="B23" s="74" t="s">
        <v>9</v>
      </c>
      <c r="C23" s="71">
        <f>SUM(C9:C22)</f>
        <v>1995610013.2838743</v>
      </c>
      <c r="D23" s="71">
        <f t="shared" ref="D23:F23" si="1">SUM(D9:D22)</f>
        <v>160034521.96164232</v>
      </c>
      <c r="E23" s="71">
        <f t="shared" si="1"/>
        <v>301100524.6241098</v>
      </c>
      <c r="F23" s="72">
        <f t="shared" si="1"/>
        <v>2456745059.869627</v>
      </c>
    </row>
    <row r="24" spans="1:6" ht="15.75">
      <c r="A24" s="63">
        <v>16</v>
      </c>
      <c r="B24" s="74" t="s">
        <v>349</v>
      </c>
      <c r="C24" s="71">
        <f>AVERAGE(C9:C21)</f>
        <v>153508462.56029803</v>
      </c>
      <c r="D24" s="75">
        <f t="shared" ref="D24:F24" si="2">AVERAGE(D9:D21)</f>
        <v>12310347.843203256</v>
      </c>
      <c r="E24" s="71">
        <f t="shared" si="2"/>
        <v>23161578.817239217</v>
      </c>
      <c r="F24" s="72">
        <f t="shared" si="2"/>
        <v>188980389.22074053</v>
      </c>
    </row>
    <row r="25" spans="1:6">
      <c r="A25" s="52"/>
      <c r="B25" s="58"/>
      <c r="C25" s="40"/>
      <c r="D25" s="40"/>
      <c r="E25" s="40"/>
      <c r="F25" s="59"/>
    </row>
  </sheetData>
  <mergeCells count="1">
    <mergeCell ref="C7:F7"/>
  </mergeCells>
  <pageMargins left="0.7" right="0.7" top="0.75" bottom="0.75" header="0.3" footer="0.3"/>
  <pageSetup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5"/>
  <sheetViews>
    <sheetView workbookViewId="0">
      <selection activeCell="D9" sqref="D9:D21"/>
    </sheetView>
  </sheetViews>
  <sheetFormatPr defaultRowHeight="15"/>
  <cols>
    <col min="1" max="1" width="6.77734375" customWidth="1"/>
    <col min="2" max="2" width="16.44140625" customWidth="1"/>
    <col min="3" max="3" width="16" bestFit="1" customWidth="1"/>
    <col min="4" max="4" width="16.44140625" customWidth="1"/>
    <col min="6" max="18" width="10.88671875" bestFit="1" customWidth="1"/>
  </cols>
  <sheetData>
    <row r="1" spans="1:18" ht="15.75">
      <c r="A1" s="39" t="s">
        <v>279</v>
      </c>
    </row>
    <row r="2" spans="1:18" ht="15.75">
      <c r="A2" s="39" t="s">
        <v>362</v>
      </c>
    </row>
    <row r="3" spans="1:18" ht="15.75">
      <c r="A3" s="39" t="str">
        <f>'Plant Balance'!A3</f>
        <v>For the 13 Months Ended December 31, 2022</v>
      </c>
    </row>
    <row r="5" spans="1:18">
      <c r="B5" s="41" t="s">
        <v>350</v>
      </c>
      <c r="C5" s="41" t="s">
        <v>351</v>
      </c>
      <c r="D5" s="41" t="s">
        <v>356</v>
      </c>
    </row>
    <row r="6" spans="1:18" ht="15.75">
      <c r="A6" s="61"/>
      <c r="B6" s="78"/>
      <c r="C6" s="53"/>
      <c r="D6" s="46" t="s">
        <v>364</v>
      </c>
    </row>
    <row r="7" spans="1:18" ht="15.75">
      <c r="A7" s="76" t="s">
        <v>4</v>
      </c>
      <c r="B7" s="74"/>
      <c r="C7" s="77"/>
      <c r="D7" s="79" t="s">
        <v>365</v>
      </c>
    </row>
    <row r="8" spans="1:18" ht="15.75">
      <c r="A8" s="43" t="s">
        <v>6</v>
      </c>
      <c r="B8" s="68" t="s">
        <v>344</v>
      </c>
      <c r="C8" s="48" t="s">
        <v>363</v>
      </c>
      <c r="D8" s="49" t="s">
        <v>366</v>
      </c>
    </row>
    <row r="9" spans="1:18">
      <c r="A9" s="62">
        <v>1</v>
      </c>
      <c r="B9" s="65">
        <f>'Plant Balance'!B9</f>
        <v>44531</v>
      </c>
      <c r="C9" s="69">
        <v>0</v>
      </c>
      <c r="D9" s="246">
        <v>37643987.866078995</v>
      </c>
      <c r="F9" s="132"/>
      <c r="G9" s="132"/>
      <c r="H9" s="132"/>
      <c r="I9" s="132"/>
      <c r="J9" s="132"/>
      <c r="K9" s="132"/>
      <c r="L9" s="132"/>
      <c r="M9" s="132"/>
      <c r="N9" s="132"/>
      <c r="O9" s="132"/>
      <c r="P9" s="132"/>
      <c r="Q9" s="132"/>
      <c r="R9" s="132"/>
    </row>
    <row r="10" spans="1:18">
      <c r="A10" s="63">
        <v>2</v>
      </c>
      <c r="B10" s="66">
        <f>'Plant Balance'!B10</f>
        <v>44562</v>
      </c>
      <c r="C10" s="71">
        <f>D10-D9</f>
        <v>38799829.610525005</v>
      </c>
      <c r="D10" s="57">
        <v>76443817.476604</v>
      </c>
    </row>
    <row r="11" spans="1:18">
      <c r="A11" s="63">
        <v>3</v>
      </c>
      <c r="B11" s="66">
        <f>'Plant Balance'!B11</f>
        <v>44593</v>
      </c>
      <c r="C11" s="71">
        <f t="shared" ref="C11:C21" si="0">D11-D10</f>
        <v>-3851239.9809582978</v>
      </c>
      <c r="D11" s="57">
        <v>72592577.495645702</v>
      </c>
    </row>
    <row r="12" spans="1:18">
      <c r="A12" s="63">
        <v>4</v>
      </c>
      <c r="B12" s="66">
        <f>'Plant Balance'!B12</f>
        <v>44621</v>
      </c>
      <c r="C12" s="71">
        <f t="shared" si="0"/>
        <v>-3833656.6476251036</v>
      </c>
      <c r="D12" s="57">
        <v>68758920.848020598</v>
      </c>
    </row>
    <row r="13" spans="1:18">
      <c r="A13" s="63">
        <v>5</v>
      </c>
      <c r="B13" s="66">
        <f>'Plant Balance'!B13</f>
        <v>44652</v>
      </c>
      <c r="C13" s="71">
        <f t="shared" si="0"/>
        <v>-2859763.797041595</v>
      </c>
      <c r="D13" s="57">
        <v>65899157.050979003</v>
      </c>
    </row>
    <row r="14" spans="1:18">
      <c r="A14" s="63">
        <v>6</v>
      </c>
      <c r="B14" s="66">
        <f>'Plant Balance'!B14</f>
        <v>44682</v>
      </c>
      <c r="C14" s="71">
        <f t="shared" si="0"/>
        <v>-4141049.504741706</v>
      </c>
      <c r="D14" s="57">
        <v>61758107.546237297</v>
      </c>
    </row>
    <row r="15" spans="1:18">
      <c r="A15" s="63">
        <v>7</v>
      </c>
      <c r="B15" s="66">
        <f>'Plant Balance'!B15</f>
        <v>44713</v>
      </c>
      <c r="C15" s="71">
        <f t="shared" si="0"/>
        <v>-2898632.8380749971</v>
      </c>
      <c r="D15" s="57">
        <v>58859474.7081623</v>
      </c>
    </row>
    <row r="16" spans="1:18">
      <c r="A16" s="63">
        <v>8</v>
      </c>
      <c r="B16" s="66">
        <f>'Plant Balance'!B16</f>
        <v>44743</v>
      </c>
      <c r="C16" s="71">
        <f t="shared" si="0"/>
        <v>-4020466.1714082956</v>
      </c>
      <c r="D16" s="57">
        <v>54839008.536754005</v>
      </c>
    </row>
    <row r="17" spans="1:4">
      <c r="A17" s="63">
        <v>9</v>
      </c>
      <c r="B17" s="66">
        <f>'Plant Balance'!B17</f>
        <v>44774</v>
      </c>
      <c r="C17" s="71">
        <f t="shared" si="0"/>
        <v>806168.48969999701</v>
      </c>
      <c r="D17" s="57">
        <v>55645177.026454002</v>
      </c>
    </row>
    <row r="18" spans="1:4">
      <c r="A18" s="63">
        <v>10</v>
      </c>
      <c r="B18" s="66">
        <f>'Plant Balance'!B18</f>
        <v>44805</v>
      </c>
      <c r="C18" s="71">
        <f t="shared" si="0"/>
        <v>-4117912.5582000017</v>
      </c>
      <c r="D18" s="57">
        <v>51527264.468254</v>
      </c>
    </row>
    <row r="19" spans="1:4">
      <c r="A19" s="63">
        <v>11</v>
      </c>
      <c r="B19" s="66">
        <f>'Plant Balance'!B19</f>
        <v>44835</v>
      </c>
      <c r="C19" s="71">
        <f t="shared" si="0"/>
        <v>-4111016.6154000014</v>
      </c>
      <c r="D19" s="57">
        <v>47416247.852853999</v>
      </c>
    </row>
    <row r="20" spans="1:4">
      <c r="A20" s="63">
        <v>12</v>
      </c>
      <c r="B20" s="66">
        <f>'Plant Balance'!B20</f>
        <v>44866</v>
      </c>
      <c r="C20" s="71">
        <f t="shared" si="0"/>
        <v>-4117912.5581999943</v>
      </c>
      <c r="D20" s="57">
        <v>43298335.294654004</v>
      </c>
    </row>
    <row r="21" spans="1:4">
      <c r="A21" s="63">
        <v>13</v>
      </c>
      <c r="B21" s="66">
        <f>'Plant Balance'!B21</f>
        <v>44896</v>
      </c>
      <c r="C21" s="71">
        <f t="shared" si="0"/>
        <v>-4545733.8915334046</v>
      </c>
      <c r="D21" s="57">
        <v>38752601.4031206</v>
      </c>
    </row>
    <row r="22" spans="1:4" ht="15.75" thickBot="1">
      <c r="A22" s="63">
        <v>14</v>
      </c>
      <c r="B22" s="12"/>
      <c r="C22" s="14"/>
      <c r="D22" s="80"/>
    </row>
    <row r="23" spans="1:4" ht="15.75">
      <c r="A23" s="63">
        <v>15</v>
      </c>
      <c r="B23" s="74" t="s">
        <v>9</v>
      </c>
      <c r="C23" s="71"/>
      <c r="D23" s="72">
        <f t="shared" ref="D23" si="1">SUM(D9:D22)</f>
        <v>733434677.57381856</v>
      </c>
    </row>
    <row r="24" spans="1:4" ht="15.75">
      <c r="A24" s="63">
        <v>16</v>
      </c>
      <c r="B24" s="74" t="s">
        <v>349</v>
      </c>
      <c r="C24" s="71"/>
      <c r="D24" s="81">
        <f>AVERAGE(D9:D21)</f>
        <v>56418052.121062964</v>
      </c>
    </row>
    <row r="25" spans="1:4">
      <c r="A25" s="52"/>
      <c r="B25" s="58"/>
      <c r="C25" s="40"/>
      <c r="D25" s="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3"/>
  <sheetViews>
    <sheetView workbookViewId="0">
      <selection activeCell="C9" sqref="C9:C20"/>
    </sheetView>
  </sheetViews>
  <sheetFormatPr defaultRowHeight="15"/>
  <cols>
    <col min="1" max="1" width="6.77734375" customWidth="1"/>
    <col min="2" max="2" width="16.44140625" customWidth="1"/>
    <col min="3" max="3" width="15.77734375" customWidth="1"/>
    <col min="5" max="5" width="12.33203125" bestFit="1" customWidth="1"/>
    <col min="6" max="6" width="12.44140625" bestFit="1" customWidth="1"/>
    <col min="7" max="16" width="11.33203125" bestFit="1" customWidth="1"/>
  </cols>
  <sheetData>
    <row r="1" spans="1:16" ht="15.75">
      <c r="A1" s="39" t="s">
        <v>279</v>
      </c>
    </row>
    <row r="2" spans="1:16" ht="15.75">
      <c r="A2" s="39" t="s">
        <v>425</v>
      </c>
    </row>
    <row r="3" spans="1:16" ht="15.75">
      <c r="A3" s="39" t="s">
        <v>714</v>
      </c>
    </row>
    <row r="5" spans="1:16">
      <c r="B5" s="41" t="s">
        <v>350</v>
      </c>
      <c r="C5" s="41" t="s">
        <v>351</v>
      </c>
    </row>
    <row r="7" spans="1:16">
      <c r="A7" s="61" t="s">
        <v>4</v>
      </c>
      <c r="B7" s="78"/>
      <c r="C7" s="84"/>
    </row>
    <row r="8" spans="1:16" ht="15.75">
      <c r="A8" s="52" t="s">
        <v>6</v>
      </c>
      <c r="B8" s="74" t="s">
        <v>344</v>
      </c>
      <c r="C8" s="49" t="s">
        <v>426</v>
      </c>
    </row>
    <row r="9" spans="1:16">
      <c r="A9" s="103">
        <v>1</v>
      </c>
      <c r="B9" s="65">
        <v>44562</v>
      </c>
      <c r="C9" s="246">
        <v>9017174.6099999994</v>
      </c>
      <c r="E9" s="132"/>
      <c r="F9" s="132"/>
      <c r="G9" s="132"/>
      <c r="H9" s="132"/>
      <c r="I9" s="132"/>
      <c r="J9" s="132"/>
      <c r="K9" s="132"/>
      <c r="L9" s="132"/>
      <c r="M9" s="132"/>
      <c r="N9" s="132"/>
      <c r="O9" s="132"/>
      <c r="P9" s="132"/>
    </row>
    <row r="10" spans="1:16">
      <c r="A10" s="96">
        <v>2</v>
      </c>
      <c r="B10" s="66">
        <v>44593</v>
      </c>
      <c r="C10" s="57">
        <v>9099818.4299999997</v>
      </c>
      <c r="E10" s="132"/>
    </row>
    <row r="11" spans="1:16">
      <c r="A11" s="96">
        <v>3</v>
      </c>
      <c r="B11" s="66">
        <v>44621</v>
      </c>
      <c r="C11" s="57">
        <v>9384544.1199999992</v>
      </c>
      <c r="E11" s="132"/>
      <c r="F11" s="132"/>
      <c r="G11" s="132"/>
      <c r="H11" s="132"/>
      <c r="I11" s="132"/>
      <c r="J11" s="132"/>
      <c r="K11" s="132"/>
      <c r="L11" s="132"/>
      <c r="M11" s="132"/>
      <c r="N11" s="132"/>
      <c r="O11" s="132"/>
      <c r="P11" s="132"/>
    </row>
    <row r="12" spans="1:16">
      <c r="A12" s="96">
        <v>4</v>
      </c>
      <c r="B12" s="66">
        <v>44652</v>
      </c>
      <c r="C12" s="57">
        <v>9029140.7400000002</v>
      </c>
      <c r="E12" s="132"/>
    </row>
    <row r="13" spans="1:16">
      <c r="A13" s="96">
        <v>5</v>
      </c>
      <c r="B13" s="66">
        <v>44682</v>
      </c>
      <c r="C13" s="57">
        <v>8639492.4400000013</v>
      </c>
      <c r="E13" s="132"/>
      <c r="F13" s="132"/>
      <c r="G13" s="132"/>
      <c r="H13" s="132"/>
      <c r="I13" s="132"/>
      <c r="J13" s="132"/>
      <c r="K13" s="132"/>
      <c r="L13" s="132"/>
      <c r="M13" s="132"/>
      <c r="N13" s="132"/>
      <c r="O13" s="132"/>
      <c r="P13" s="132"/>
    </row>
    <row r="14" spans="1:16">
      <c r="A14" s="96">
        <v>6</v>
      </c>
      <c r="B14" s="66">
        <v>44713</v>
      </c>
      <c r="C14" s="57">
        <v>9119356.5</v>
      </c>
      <c r="E14" s="132"/>
    </row>
    <row r="15" spans="1:16">
      <c r="A15" s="96">
        <v>7</v>
      </c>
      <c r="B15" s="66">
        <v>44743</v>
      </c>
      <c r="C15" s="57">
        <v>8475874.5700000003</v>
      </c>
      <c r="E15" s="132"/>
      <c r="F15" s="132"/>
      <c r="G15" s="132"/>
      <c r="H15" s="132"/>
      <c r="I15" s="132"/>
      <c r="J15" s="132"/>
      <c r="K15" s="132"/>
      <c r="L15" s="132"/>
      <c r="M15" s="132"/>
      <c r="N15" s="132"/>
      <c r="O15" s="132"/>
      <c r="P15" s="132"/>
    </row>
    <row r="16" spans="1:16">
      <c r="A16" s="96">
        <v>8</v>
      </c>
      <c r="B16" s="66">
        <v>44774</v>
      </c>
      <c r="C16" s="57">
        <v>8782598.5800000001</v>
      </c>
      <c r="E16" s="132"/>
    </row>
    <row r="17" spans="1:5">
      <c r="A17" s="96">
        <v>9</v>
      </c>
      <c r="B17" s="66">
        <v>44805</v>
      </c>
      <c r="C17" s="57">
        <v>9054505.6099999994</v>
      </c>
      <c r="E17" s="132"/>
    </row>
    <row r="18" spans="1:5">
      <c r="A18" s="96">
        <v>10</v>
      </c>
      <c r="B18" s="66">
        <v>44835</v>
      </c>
      <c r="C18" s="57">
        <v>8606952.1799999997</v>
      </c>
      <c r="E18" s="132"/>
    </row>
    <row r="19" spans="1:5">
      <c r="A19" s="96">
        <v>11</v>
      </c>
      <c r="B19" s="66">
        <v>44866</v>
      </c>
      <c r="C19" s="57">
        <v>8689160.4900000002</v>
      </c>
      <c r="E19" s="132"/>
    </row>
    <row r="20" spans="1:5">
      <c r="A20" s="96">
        <v>12</v>
      </c>
      <c r="B20" s="66">
        <v>44896</v>
      </c>
      <c r="C20" s="57">
        <v>9441739.0500000007</v>
      </c>
      <c r="E20" s="132"/>
    </row>
    <row r="21" spans="1:5" ht="15.75" thickBot="1">
      <c r="A21" s="96">
        <v>13</v>
      </c>
      <c r="B21" s="12"/>
      <c r="C21" s="80"/>
    </row>
    <row r="22" spans="1:5" ht="15.75">
      <c r="A22" s="96">
        <v>14</v>
      </c>
      <c r="B22" s="74" t="s">
        <v>9</v>
      </c>
      <c r="C22" s="95">
        <f>SUM(C9:C21)</f>
        <v>107340357.31999999</v>
      </c>
    </row>
    <row r="23" spans="1:5">
      <c r="A23" s="58"/>
      <c r="B23" s="58"/>
      <c r="C23" s="5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3"/>
  <sheetViews>
    <sheetView workbookViewId="0">
      <selection activeCell="C9" sqref="C9:C20"/>
    </sheetView>
  </sheetViews>
  <sheetFormatPr defaultRowHeight="15"/>
  <cols>
    <col min="1" max="1" width="6.77734375" customWidth="1"/>
    <col min="2" max="2" width="16.44140625" customWidth="1"/>
    <col min="3" max="3" width="15.77734375" customWidth="1"/>
    <col min="5" max="16" width="11.33203125" bestFit="1" customWidth="1"/>
  </cols>
  <sheetData>
    <row r="1" spans="1:16" ht="15.75">
      <c r="A1" s="39" t="s">
        <v>279</v>
      </c>
    </row>
    <row r="2" spans="1:16" ht="15.75">
      <c r="A2" s="39" t="s">
        <v>427</v>
      </c>
    </row>
    <row r="3" spans="1:16" ht="15.75">
      <c r="A3" s="39" t="str">
        <f>'O&amp;M'!A3</f>
        <v>Budget Year Ending December 31, 2022</v>
      </c>
    </row>
    <row r="5" spans="1:16">
      <c r="B5" s="41" t="s">
        <v>350</v>
      </c>
      <c r="C5" s="41" t="s">
        <v>351</v>
      </c>
    </row>
    <row r="7" spans="1:16">
      <c r="A7" s="61" t="s">
        <v>4</v>
      </c>
      <c r="B7" s="78"/>
      <c r="C7" s="84"/>
    </row>
    <row r="8" spans="1:16" ht="15.75">
      <c r="A8" s="52" t="s">
        <v>6</v>
      </c>
      <c r="B8" s="74" t="s">
        <v>344</v>
      </c>
      <c r="C8" s="49" t="s">
        <v>426</v>
      </c>
    </row>
    <row r="9" spans="1:16">
      <c r="A9" s="103">
        <v>1</v>
      </c>
      <c r="B9" s="65">
        <f>'O&amp;M'!B9</f>
        <v>44562</v>
      </c>
      <c r="C9" s="246">
        <v>5184885.540000001</v>
      </c>
      <c r="E9" s="132"/>
      <c r="F9" s="132"/>
      <c r="G9" s="132"/>
      <c r="H9" s="132"/>
      <c r="I9" s="132"/>
      <c r="J9" s="132"/>
      <c r="K9" s="132"/>
      <c r="L9" s="132"/>
      <c r="M9" s="132"/>
      <c r="N9" s="132"/>
      <c r="O9" s="132"/>
      <c r="P9" s="132"/>
    </row>
    <row r="10" spans="1:16">
      <c r="A10" s="96">
        <v>2</v>
      </c>
      <c r="B10" s="66">
        <f>'O&amp;M'!B10</f>
        <v>44593</v>
      </c>
      <c r="C10" s="57">
        <v>5293867.3400000008</v>
      </c>
    </row>
    <row r="11" spans="1:16">
      <c r="A11" s="96">
        <v>3</v>
      </c>
      <c r="B11" s="66">
        <f>'O&amp;M'!B11</f>
        <v>44621</v>
      </c>
      <c r="C11" s="57">
        <v>8969406.339999998</v>
      </c>
    </row>
    <row r="12" spans="1:16">
      <c r="A12" s="96">
        <v>4</v>
      </c>
      <c r="B12" s="66">
        <f>'O&amp;M'!B12</f>
        <v>44652</v>
      </c>
      <c r="C12" s="57">
        <v>6051806.6800000006</v>
      </c>
    </row>
    <row r="13" spans="1:16">
      <c r="A13" s="96">
        <v>5</v>
      </c>
      <c r="B13" s="66">
        <f>'O&amp;M'!B13</f>
        <v>44682</v>
      </c>
      <c r="C13" s="57">
        <v>6449647.8400000017</v>
      </c>
    </row>
    <row r="14" spans="1:16">
      <c r="A14" s="96">
        <v>6</v>
      </c>
      <c r="B14" s="66">
        <f>'O&amp;M'!B14</f>
        <v>44713</v>
      </c>
      <c r="C14" s="57">
        <v>5154529.4900000058</v>
      </c>
    </row>
    <row r="15" spans="1:16">
      <c r="A15" s="96">
        <v>7</v>
      </c>
      <c r="B15" s="66">
        <f>'O&amp;M'!B15</f>
        <v>44743</v>
      </c>
      <c r="C15" s="57">
        <v>5518627.910000002</v>
      </c>
    </row>
    <row r="16" spans="1:16">
      <c r="A16" s="96">
        <v>8</v>
      </c>
      <c r="B16" s="66">
        <f>'O&amp;M'!B16</f>
        <v>44774</v>
      </c>
      <c r="C16" s="57">
        <v>4462228.8199999984</v>
      </c>
    </row>
    <row r="17" spans="1:3">
      <c r="A17" s="96">
        <v>9</v>
      </c>
      <c r="B17" s="66">
        <f>'O&amp;M'!B17</f>
        <v>44805</v>
      </c>
      <c r="C17" s="57">
        <v>5828169.0500000026</v>
      </c>
    </row>
    <row r="18" spans="1:3">
      <c r="A18" s="96">
        <v>10</v>
      </c>
      <c r="B18" s="66">
        <f>'O&amp;M'!B18</f>
        <v>44835</v>
      </c>
      <c r="C18" s="57">
        <v>4614503.9099999992</v>
      </c>
    </row>
    <row r="19" spans="1:3">
      <c r="A19" s="96">
        <v>11</v>
      </c>
      <c r="B19" s="66">
        <f>'O&amp;M'!B19</f>
        <v>44866</v>
      </c>
      <c r="C19" s="57">
        <v>4476234.6899999958</v>
      </c>
    </row>
    <row r="20" spans="1:3">
      <c r="A20" s="96">
        <v>12</v>
      </c>
      <c r="B20" s="66">
        <f>'O&amp;M'!B20</f>
        <v>44896</v>
      </c>
      <c r="C20" s="57">
        <v>5472927.4700000007</v>
      </c>
    </row>
    <row r="21" spans="1:3" ht="15.75" thickBot="1">
      <c r="A21" s="96">
        <v>13</v>
      </c>
      <c r="B21" s="12"/>
      <c r="C21" s="80"/>
    </row>
    <row r="22" spans="1:3" ht="15.75">
      <c r="A22" s="96">
        <v>14</v>
      </c>
      <c r="B22" s="74" t="s">
        <v>9</v>
      </c>
      <c r="C22" s="95">
        <f>SUM(C9:C21)</f>
        <v>67476835.080000013</v>
      </c>
    </row>
    <row r="23" spans="1:3">
      <c r="A23" s="58"/>
      <c r="B23" s="58"/>
      <c r="C23" s="5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workbookViewId="0">
      <selection activeCell="C16" sqref="C16"/>
    </sheetView>
  </sheetViews>
  <sheetFormatPr defaultRowHeight="15"/>
  <cols>
    <col min="1" max="1" width="6.77734375" customWidth="1"/>
    <col min="2" max="2" width="19.6640625" customWidth="1"/>
    <col min="3" max="3" width="14.44140625" bestFit="1" customWidth="1"/>
  </cols>
  <sheetData>
    <row r="1" spans="1:3" ht="15.75">
      <c r="A1" s="39" t="s">
        <v>279</v>
      </c>
    </row>
    <row r="2" spans="1:3" ht="15.75">
      <c r="A2" s="39" t="s">
        <v>367</v>
      </c>
    </row>
    <row r="3" spans="1:3" ht="15.75">
      <c r="A3" s="39" t="str">
        <f>'O&amp;M'!A3</f>
        <v>Budget Year Ending December 31, 2022</v>
      </c>
    </row>
    <row r="5" spans="1:3">
      <c r="B5" s="41" t="s">
        <v>350</v>
      </c>
      <c r="C5" s="41" t="s">
        <v>351</v>
      </c>
    </row>
    <row r="7" spans="1:3">
      <c r="A7" s="42" t="s">
        <v>4</v>
      </c>
      <c r="B7" s="78"/>
      <c r="C7" s="84"/>
    </row>
    <row r="8" spans="1:3" ht="15.75">
      <c r="A8" s="43" t="s">
        <v>6</v>
      </c>
      <c r="B8" s="68" t="s">
        <v>367</v>
      </c>
      <c r="C8" s="59"/>
    </row>
    <row r="9" spans="1:3">
      <c r="A9" s="62">
        <v>1</v>
      </c>
      <c r="B9" s="78" t="s">
        <v>345</v>
      </c>
      <c r="C9" s="55">
        <v>616770978</v>
      </c>
    </row>
    <row r="10" spans="1:3">
      <c r="A10" s="63" t="s">
        <v>202</v>
      </c>
      <c r="B10" s="12" t="s">
        <v>584</v>
      </c>
      <c r="C10" s="57">
        <v>65601000</v>
      </c>
    </row>
    <row r="11" spans="1:3">
      <c r="A11" s="63"/>
      <c r="B11" s="12"/>
      <c r="C11" s="57"/>
    </row>
    <row r="12" spans="1:3">
      <c r="A12" s="63">
        <v>2</v>
      </c>
      <c r="B12" s="12" t="s">
        <v>38</v>
      </c>
      <c r="C12" s="57">
        <v>53495282</v>
      </c>
    </row>
    <row r="13" spans="1:3">
      <c r="A13" s="63" t="s">
        <v>583</v>
      </c>
      <c r="B13" s="12" t="s">
        <v>585</v>
      </c>
      <c r="C13" s="57">
        <v>-3654</v>
      </c>
    </row>
    <row r="14" spans="1:3">
      <c r="A14" s="63"/>
      <c r="B14" s="12"/>
      <c r="C14" s="57"/>
    </row>
    <row r="15" spans="1:3">
      <c r="A15" s="63">
        <v>3</v>
      </c>
      <c r="B15" s="12" t="s">
        <v>346</v>
      </c>
      <c r="C15" s="57">
        <v>157896580</v>
      </c>
    </row>
    <row r="16" spans="1:3">
      <c r="A16" s="63" t="s">
        <v>639</v>
      </c>
      <c r="B16" s="12" t="s">
        <v>640</v>
      </c>
      <c r="C16" s="57">
        <v>-208344</v>
      </c>
    </row>
    <row r="17" spans="1:3">
      <c r="A17" s="63"/>
      <c r="B17" s="12"/>
      <c r="C17" s="57"/>
    </row>
    <row r="18" spans="1:3" ht="15.75" thickBot="1">
      <c r="A18" s="63">
        <v>4</v>
      </c>
      <c r="B18" s="12" t="s">
        <v>368</v>
      </c>
      <c r="C18" s="85">
        <v>47815109</v>
      </c>
    </row>
    <row r="19" spans="1:3">
      <c r="A19" s="63"/>
      <c r="B19" s="12"/>
      <c r="C19" s="57"/>
    </row>
    <row r="20" spans="1:3" ht="15.75">
      <c r="A20" s="63">
        <v>5</v>
      </c>
      <c r="B20" s="74" t="s">
        <v>9</v>
      </c>
      <c r="C20" s="57">
        <f>SUM(C9:C19)</f>
        <v>941366951</v>
      </c>
    </row>
    <row r="21" spans="1:3">
      <c r="A21" s="52"/>
      <c r="B21" s="58"/>
      <c r="C21" s="5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2"/>
  <sheetViews>
    <sheetView workbookViewId="0">
      <selection activeCell="C22" sqref="C22"/>
    </sheetView>
  </sheetViews>
  <sheetFormatPr defaultRowHeight="15"/>
  <cols>
    <col min="1" max="1" width="6.77734375" customWidth="1"/>
    <col min="2" max="2" width="20.88671875" customWidth="1"/>
    <col min="3" max="3" width="14.44140625" bestFit="1" customWidth="1"/>
    <col min="5" max="5" width="10.44140625" bestFit="1" customWidth="1"/>
  </cols>
  <sheetData>
    <row r="1" spans="1:5" ht="15.75">
      <c r="A1" s="39" t="s">
        <v>279</v>
      </c>
    </row>
    <row r="2" spans="1:5" ht="15.75">
      <c r="A2" s="39" t="s">
        <v>447</v>
      </c>
    </row>
    <row r="3" spans="1:5" ht="15.75">
      <c r="A3" s="39" t="str">
        <f>'O&amp;M'!A3</f>
        <v>Budget Year Ending December 31, 2022</v>
      </c>
    </row>
    <row r="5" spans="1:5">
      <c r="B5" s="41" t="s">
        <v>350</v>
      </c>
      <c r="C5" s="41" t="s">
        <v>351</v>
      </c>
    </row>
    <row r="7" spans="1:5">
      <c r="A7" s="42" t="s">
        <v>4</v>
      </c>
      <c r="B7" s="78"/>
      <c r="C7" s="84"/>
    </row>
    <row r="8" spans="1:5" ht="15.75">
      <c r="A8" s="43" t="s">
        <v>6</v>
      </c>
      <c r="B8" s="68" t="s">
        <v>447</v>
      </c>
      <c r="C8" s="59"/>
    </row>
    <row r="9" spans="1:5">
      <c r="A9" s="62">
        <v>1</v>
      </c>
      <c r="B9" s="78" t="s">
        <v>448</v>
      </c>
      <c r="C9" s="55">
        <f>C21*0.07772608</f>
        <v>10895804.031002881</v>
      </c>
      <c r="E9" s="223"/>
    </row>
    <row r="10" spans="1:5">
      <c r="A10" s="63"/>
      <c r="B10" s="12"/>
      <c r="C10" s="57"/>
      <c r="E10" s="223"/>
    </row>
    <row r="11" spans="1:5">
      <c r="A11" s="63">
        <v>2</v>
      </c>
      <c r="B11" s="12" t="s">
        <v>449</v>
      </c>
      <c r="C11" s="57">
        <v>0</v>
      </c>
      <c r="E11" s="223"/>
    </row>
    <row r="12" spans="1:5">
      <c r="A12" s="63"/>
      <c r="B12" s="12"/>
      <c r="C12" s="57"/>
      <c r="E12" s="223"/>
    </row>
    <row r="13" spans="1:5">
      <c r="A13" s="63">
        <v>3</v>
      </c>
      <c r="B13" s="12" t="s">
        <v>450</v>
      </c>
      <c r="C13" s="57">
        <f>C21*0.915315030439093</f>
        <v>128310770.31410556</v>
      </c>
      <c r="E13" s="223"/>
    </row>
    <row r="14" spans="1:5">
      <c r="A14" s="63"/>
      <c r="B14" s="12"/>
      <c r="C14" s="57"/>
      <c r="E14" s="223"/>
    </row>
    <row r="15" spans="1:5">
      <c r="A15" s="63">
        <v>4</v>
      </c>
      <c r="B15" s="12" t="s">
        <v>451</v>
      </c>
      <c r="C15" s="57">
        <v>0</v>
      </c>
      <c r="E15" s="223"/>
    </row>
    <row r="16" spans="1:5">
      <c r="A16" s="63"/>
      <c r="B16" s="12"/>
      <c r="C16" s="57"/>
      <c r="E16" s="223"/>
    </row>
    <row r="17" spans="1:5">
      <c r="A17" s="63">
        <v>5</v>
      </c>
      <c r="B17" s="12" t="s">
        <v>452</v>
      </c>
      <c r="C17" s="57">
        <f>C21*0.00695888956</f>
        <v>975511.6547644221</v>
      </c>
      <c r="E17" s="223"/>
    </row>
    <row r="18" spans="1:5">
      <c r="A18" s="63"/>
      <c r="B18" s="12"/>
      <c r="C18" s="57"/>
    </row>
    <row r="19" spans="1:5" ht="15.75" thickBot="1">
      <c r="A19" s="63">
        <v>6</v>
      </c>
      <c r="B19" s="12" t="s">
        <v>453</v>
      </c>
      <c r="C19" s="85">
        <v>0</v>
      </c>
    </row>
    <row r="20" spans="1:5">
      <c r="A20" s="63"/>
      <c r="B20" s="12"/>
      <c r="C20" s="57"/>
    </row>
    <row r="21" spans="1:5" ht="15.75">
      <c r="A21" s="63">
        <v>7</v>
      </c>
      <c r="B21" s="74" t="s">
        <v>9</v>
      </c>
      <c r="C21" s="57">
        <v>140182086</v>
      </c>
    </row>
    <row r="22" spans="1:5">
      <c r="A22" s="52"/>
      <c r="B22" s="58"/>
      <c r="C22" s="5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workbookViewId="0">
      <selection activeCell="C10" sqref="C10"/>
    </sheetView>
  </sheetViews>
  <sheetFormatPr defaultRowHeight="15"/>
  <cols>
    <col min="1" max="1" width="6.77734375" customWidth="1"/>
    <col min="2" max="2" width="20.88671875" customWidth="1"/>
    <col min="3" max="3" width="14.44140625" bestFit="1" customWidth="1"/>
  </cols>
  <sheetData>
    <row r="1" spans="1:3" ht="15.75">
      <c r="A1" s="39" t="s">
        <v>279</v>
      </c>
    </row>
    <row r="2" spans="1:3" ht="15.75">
      <c r="A2" s="39" t="s">
        <v>456</v>
      </c>
    </row>
    <row r="3" spans="1:3" ht="15.75">
      <c r="A3" s="39" t="str">
        <f>'O&amp;M'!A3</f>
        <v>Budget Year Ending December 31, 2022</v>
      </c>
    </row>
    <row r="5" spans="1:3">
      <c r="B5" s="41" t="s">
        <v>350</v>
      </c>
      <c r="C5" s="41" t="s">
        <v>351</v>
      </c>
    </row>
    <row r="7" spans="1:3">
      <c r="A7" s="42" t="s">
        <v>4</v>
      </c>
      <c r="B7" s="78"/>
      <c r="C7" s="84"/>
    </row>
    <row r="8" spans="1:3" ht="15.75">
      <c r="A8" s="43" t="s">
        <v>6</v>
      </c>
      <c r="B8" s="68" t="s">
        <v>456</v>
      </c>
      <c r="C8" s="59"/>
    </row>
    <row r="9" spans="1:3" ht="15.75" thickBot="1">
      <c r="A9" s="62">
        <v>1</v>
      </c>
      <c r="B9" s="78" t="s">
        <v>457</v>
      </c>
      <c r="C9" s="124">
        <v>2969537</v>
      </c>
    </row>
    <row r="10" spans="1:3">
      <c r="A10" s="63"/>
      <c r="B10" s="12"/>
      <c r="C10" s="57"/>
    </row>
    <row r="11" spans="1:3" ht="15.75">
      <c r="A11" s="63">
        <v>2</v>
      </c>
      <c r="B11" s="74" t="s">
        <v>9</v>
      </c>
      <c r="C11" s="57">
        <f>SUM(C9:C10)</f>
        <v>2969537</v>
      </c>
    </row>
    <row r="12" spans="1:3">
      <c r="A12" s="52"/>
      <c r="B12" s="58"/>
      <c r="C12" s="5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6"/>
  <sheetViews>
    <sheetView topLeftCell="A2" workbookViewId="0">
      <selection activeCell="C25" sqref="C25"/>
    </sheetView>
  </sheetViews>
  <sheetFormatPr defaultRowHeight="15"/>
  <cols>
    <col min="1" max="1" width="6.77734375" customWidth="1"/>
    <col min="2" max="2" width="14.88671875" customWidth="1"/>
    <col min="3" max="3" width="14.44140625" bestFit="1" customWidth="1"/>
    <col min="5" max="5" width="12.33203125" bestFit="1" customWidth="1"/>
  </cols>
  <sheetData>
    <row r="1" spans="1:3" ht="15.75">
      <c r="A1" s="39" t="s">
        <v>279</v>
      </c>
    </row>
    <row r="2" spans="1:3" ht="15.75">
      <c r="A2" s="39" t="s">
        <v>458</v>
      </c>
    </row>
    <row r="3" spans="1:3" ht="15.75">
      <c r="A3" s="39" t="str">
        <f>'O&amp;M'!A3</f>
        <v>Budget Year Ending December 31, 2022</v>
      </c>
    </row>
    <row r="5" spans="1:3">
      <c r="B5" s="41" t="s">
        <v>350</v>
      </c>
      <c r="C5" s="41" t="s">
        <v>351</v>
      </c>
    </row>
    <row r="7" spans="1:3">
      <c r="A7" s="42" t="s">
        <v>4</v>
      </c>
      <c r="B7" s="78"/>
      <c r="C7" s="84"/>
    </row>
    <row r="8" spans="1:3" ht="15.75">
      <c r="A8" s="43" t="s">
        <v>6</v>
      </c>
      <c r="B8" s="68" t="s">
        <v>458</v>
      </c>
      <c r="C8" s="59"/>
    </row>
    <row r="9" spans="1:3">
      <c r="A9" s="62">
        <v>1</v>
      </c>
      <c r="B9" s="127">
        <v>561.1</v>
      </c>
      <c r="C9" s="55">
        <v>597604</v>
      </c>
    </row>
    <row r="10" spans="1:3">
      <c r="A10" s="63"/>
      <c r="B10" s="128"/>
      <c r="C10" s="57"/>
    </row>
    <row r="11" spans="1:3">
      <c r="A11" s="63">
        <v>2</v>
      </c>
      <c r="B11" s="128">
        <v>561.20000000000005</v>
      </c>
      <c r="C11" s="57">
        <v>735248</v>
      </c>
    </row>
    <row r="12" spans="1:3">
      <c r="A12" s="63"/>
      <c r="B12" s="128"/>
      <c r="C12" s="57"/>
    </row>
    <row r="13" spans="1:3">
      <c r="A13" s="63">
        <v>3</v>
      </c>
      <c r="B13" s="128">
        <v>561.29999999999995</v>
      </c>
      <c r="C13" s="57">
        <v>183729</v>
      </c>
    </row>
    <row r="14" spans="1:3">
      <c r="A14" s="63"/>
      <c r="B14" s="128"/>
      <c r="C14" s="57"/>
    </row>
    <row r="15" spans="1:3">
      <c r="A15" s="63">
        <v>4</v>
      </c>
      <c r="B15" s="128">
        <v>561.4</v>
      </c>
      <c r="C15" s="57">
        <v>6260000</v>
      </c>
    </row>
    <row r="16" spans="1:3">
      <c r="A16" s="63"/>
      <c r="B16" s="128"/>
      <c r="C16" s="57"/>
    </row>
    <row r="17" spans="1:3">
      <c r="A17" s="63">
        <v>5</v>
      </c>
      <c r="B17" s="128">
        <v>561.5</v>
      </c>
      <c r="C17" s="57">
        <v>1648319</v>
      </c>
    </row>
    <row r="18" spans="1:3">
      <c r="A18" s="63"/>
      <c r="B18" s="128"/>
      <c r="C18" s="57"/>
    </row>
    <row r="19" spans="1:3">
      <c r="A19" s="63">
        <v>6</v>
      </c>
      <c r="B19" s="128">
        <v>561.6</v>
      </c>
      <c r="C19" s="57">
        <v>0</v>
      </c>
    </row>
    <row r="20" spans="1:3">
      <c r="A20" s="63"/>
      <c r="B20" s="128"/>
      <c r="C20" s="57"/>
    </row>
    <row r="21" spans="1:3">
      <c r="A21" s="63">
        <v>7</v>
      </c>
      <c r="B21" s="128">
        <v>561.70000000000005</v>
      </c>
      <c r="C21" s="57">
        <v>9609</v>
      </c>
    </row>
    <row r="22" spans="1:3">
      <c r="A22" s="63"/>
      <c r="B22" s="128"/>
      <c r="C22" s="57"/>
    </row>
    <row r="23" spans="1:3" ht="15.75" thickBot="1">
      <c r="A23" s="63">
        <v>8</v>
      </c>
      <c r="B23" s="128">
        <v>561.79999999999995</v>
      </c>
      <c r="C23" s="85">
        <f>450000+1675000</f>
        <v>2125000</v>
      </c>
    </row>
    <row r="24" spans="1:3">
      <c r="A24" s="63"/>
      <c r="B24" s="12"/>
      <c r="C24" s="57"/>
    </row>
    <row r="25" spans="1:3" ht="15.75">
      <c r="A25" s="63">
        <v>9</v>
      </c>
      <c r="B25" s="74" t="s">
        <v>9</v>
      </c>
      <c r="C25" s="57">
        <f>SUM(C9:C24)</f>
        <v>11559509</v>
      </c>
    </row>
    <row r="26" spans="1:3">
      <c r="A26" s="52"/>
      <c r="B26" s="58"/>
      <c r="C26" s="5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4"/>
  <sheetViews>
    <sheetView workbookViewId="0">
      <selection activeCell="C11" sqref="C11"/>
    </sheetView>
  </sheetViews>
  <sheetFormatPr defaultRowHeight="15"/>
  <cols>
    <col min="1" max="1" width="6.77734375" customWidth="1"/>
    <col min="2" max="2" width="14.88671875" customWidth="1"/>
    <col min="3" max="3" width="14.44140625" bestFit="1" customWidth="1"/>
  </cols>
  <sheetData>
    <row r="1" spans="1:3" ht="15.75">
      <c r="A1" s="39" t="s">
        <v>279</v>
      </c>
    </row>
    <row r="2" spans="1:3" ht="15.75">
      <c r="A2" s="39" t="s">
        <v>464</v>
      </c>
    </row>
    <row r="3" spans="1:3" ht="15.75">
      <c r="A3" s="39" t="str">
        <f>'O&amp;M'!A3</f>
        <v>Budget Year Ending December 31, 2022</v>
      </c>
    </row>
    <row r="5" spans="1:3">
      <c r="B5" s="41" t="s">
        <v>350</v>
      </c>
      <c r="C5" s="41" t="s">
        <v>351</v>
      </c>
    </row>
    <row r="7" spans="1:3">
      <c r="A7" s="42" t="s">
        <v>4</v>
      </c>
      <c r="B7" s="78"/>
      <c r="C7" s="84"/>
    </row>
    <row r="8" spans="1:3" ht="15.75">
      <c r="A8" s="43" t="s">
        <v>6</v>
      </c>
      <c r="B8" s="68" t="s">
        <v>464</v>
      </c>
      <c r="C8" s="59"/>
    </row>
    <row r="9" spans="1:3">
      <c r="A9" s="62">
        <v>1</v>
      </c>
      <c r="B9" s="127">
        <v>565</v>
      </c>
      <c r="C9" s="55">
        <v>28658371</v>
      </c>
    </row>
    <row r="10" spans="1:3">
      <c r="A10" s="63"/>
      <c r="B10" s="128"/>
      <c r="C10" s="57"/>
    </row>
    <row r="11" spans="1:3" ht="15.75" thickBot="1">
      <c r="A11" s="63">
        <v>2</v>
      </c>
      <c r="B11" s="128">
        <v>565.5</v>
      </c>
      <c r="C11" s="85">
        <f>5045000+50362000</f>
        <v>55407000</v>
      </c>
    </row>
    <row r="12" spans="1:3">
      <c r="A12" s="63"/>
      <c r="B12" s="12"/>
      <c r="C12" s="57"/>
    </row>
    <row r="13" spans="1:3" ht="15.75">
      <c r="A13" s="63">
        <v>3</v>
      </c>
      <c r="B13" s="74" t="s">
        <v>9</v>
      </c>
      <c r="C13" s="57">
        <f>SUM(C9:C12)</f>
        <v>84065371</v>
      </c>
    </row>
    <row r="14" spans="1:3">
      <c r="A14" s="52"/>
      <c r="B14" s="58"/>
      <c r="C14" s="5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3"/>
  <sheetViews>
    <sheetView workbookViewId="0">
      <selection activeCell="C13" sqref="C13"/>
    </sheetView>
  </sheetViews>
  <sheetFormatPr defaultRowHeight="15"/>
  <cols>
    <col min="1" max="1" width="6.77734375" customWidth="1"/>
    <col min="2" max="2" width="17.21875" customWidth="1"/>
    <col min="3" max="3" width="14.44140625" bestFit="1" customWidth="1"/>
  </cols>
  <sheetData>
    <row r="1" spans="1:3" ht="15.75">
      <c r="A1" s="39" t="s">
        <v>279</v>
      </c>
    </row>
    <row r="2" spans="1:3" ht="15.75">
      <c r="A2" s="39" t="s">
        <v>467</v>
      </c>
    </row>
    <row r="3" spans="1:3" ht="15.75">
      <c r="A3" s="39" t="str">
        <f>'O&amp;M'!A3</f>
        <v>Budget Year Ending December 31, 2022</v>
      </c>
    </row>
    <row r="5" spans="1:3">
      <c r="B5" s="41" t="s">
        <v>350</v>
      </c>
      <c r="C5" s="41" t="s">
        <v>351</v>
      </c>
    </row>
    <row r="7" spans="1:3">
      <c r="A7" s="42" t="s">
        <v>4</v>
      </c>
      <c r="B7" s="78"/>
      <c r="C7" s="84"/>
    </row>
    <row r="8" spans="1:3" ht="15.75">
      <c r="A8" s="43" t="s">
        <v>6</v>
      </c>
      <c r="B8" s="68" t="s">
        <v>468</v>
      </c>
      <c r="C8" s="59"/>
    </row>
    <row r="9" spans="1:3">
      <c r="A9" s="42"/>
      <c r="B9" s="78"/>
      <c r="C9" s="84"/>
    </row>
    <row r="10" spans="1:3">
      <c r="A10" s="63">
        <v>1</v>
      </c>
      <c r="B10" s="134" t="s">
        <v>466</v>
      </c>
      <c r="C10" s="57">
        <v>2121634</v>
      </c>
    </row>
    <row r="11" spans="1:3">
      <c r="A11" s="63"/>
      <c r="B11" s="134"/>
      <c r="C11" s="57"/>
    </row>
    <row r="12" spans="1:3">
      <c r="A12" s="133">
        <v>2</v>
      </c>
      <c r="B12" s="135" t="s">
        <v>465</v>
      </c>
      <c r="C12" s="136">
        <v>30000</v>
      </c>
    </row>
    <row r="13" spans="1:3">
      <c r="A13" s="15"/>
      <c r="C13" s="1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4"/>
  <sheetViews>
    <sheetView workbookViewId="0">
      <selection activeCell="F21" sqref="F21"/>
    </sheetView>
  </sheetViews>
  <sheetFormatPr defaultRowHeight="15"/>
  <cols>
    <col min="1" max="1" width="6.77734375" customWidth="1"/>
    <col min="2" max="2" width="12.33203125" customWidth="1"/>
    <col min="3" max="3" width="4.77734375" customWidth="1"/>
    <col min="4" max="4" width="18.109375" bestFit="1" customWidth="1"/>
    <col min="5" max="8" width="15.88671875" customWidth="1"/>
    <col min="9" max="9" width="16.88671875" bestFit="1" customWidth="1"/>
    <col min="11" max="23" width="14.44140625" bestFit="1" customWidth="1"/>
  </cols>
  <sheetData>
    <row r="1" spans="1:23" ht="15.75">
      <c r="A1" s="39" t="s">
        <v>279</v>
      </c>
    </row>
    <row r="2" spans="1:23" ht="15.75">
      <c r="A2" s="39" t="s">
        <v>343</v>
      </c>
    </row>
    <row r="3" spans="1:23" ht="15.75">
      <c r="A3" s="39" t="s">
        <v>713</v>
      </c>
    </row>
    <row r="5" spans="1:23">
      <c r="B5" s="41" t="s">
        <v>350</v>
      </c>
      <c r="C5" s="41"/>
      <c r="D5" s="41" t="s">
        <v>351</v>
      </c>
      <c r="E5" s="41" t="s">
        <v>356</v>
      </c>
      <c r="F5" s="41" t="s">
        <v>352</v>
      </c>
      <c r="G5" s="41" t="s">
        <v>353</v>
      </c>
      <c r="H5" s="41" t="s">
        <v>354</v>
      </c>
      <c r="I5" s="41" t="s">
        <v>416</v>
      </c>
    </row>
    <row r="7" spans="1:23" ht="15.75">
      <c r="A7" s="42" t="s">
        <v>4</v>
      </c>
      <c r="B7" s="44"/>
      <c r="C7" s="45"/>
      <c r="D7" s="45"/>
      <c r="E7" s="45"/>
      <c r="F7" s="45"/>
      <c r="G7" s="45" t="s">
        <v>347</v>
      </c>
      <c r="H7" s="123"/>
      <c r="I7" s="46"/>
    </row>
    <row r="8" spans="1:23" ht="15.75">
      <c r="A8" s="43" t="s">
        <v>6</v>
      </c>
      <c r="B8" s="47" t="s">
        <v>344</v>
      </c>
      <c r="C8" s="48"/>
      <c r="D8" s="48" t="s">
        <v>345</v>
      </c>
      <c r="E8" s="48" t="s">
        <v>38</v>
      </c>
      <c r="F8" s="48" t="s">
        <v>346</v>
      </c>
      <c r="G8" s="60" t="s">
        <v>348</v>
      </c>
      <c r="H8" s="60" t="s">
        <v>459</v>
      </c>
      <c r="I8" s="49" t="s">
        <v>9</v>
      </c>
    </row>
    <row r="9" spans="1:23">
      <c r="A9" s="50">
        <v>1</v>
      </c>
      <c r="B9" s="65">
        <v>44531</v>
      </c>
      <c r="C9" s="53"/>
      <c r="D9" s="132">
        <v>17044067281.779203</v>
      </c>
      <c r="E9" s="132">
        <v>2502929335.7699003</v>
      </c>
      <c r="F9" s="132">
        <v>4742390528.23843</v>
      </c>
      <c r="G9" s="54">
        <v>1117505236</v>
      </c>
      <c r="H9" s="54">
        <v>1767140019</v>
      </c>
      <c r="I9" s="55">
        <f>SUM(D9:H9)</f>
        <v>27174032400.787533</v>
      </c>
      <c r="K9" s="132"/>
      <c r="L9" s="132"/>
      <c r="M9" s="132"/>
      <c r="N9" s="132"/>
      <c r="O9" s="132"/>
      <c r="P9" s="132"/>
      <c r="Q9" s="132"/>
      <c r="R9" s="132"/>
      <c r="S9" s="132"/>
      <c r="T9" s="132"/>
      <c r="U9" s="132"/>
      <c r="V9" s="132"/>
      <c r="W9" s="132"/>
    </row>
    <row r="10" spans="1:23">
      <c r="A10" s="51">
        <v>2</v>
      </c>
      <c r="B10" s="66">
        <v>44562</v>
      </c>
      <c r="C10" s="14"/>
      <c r="D10" s="132">
        <v>17097610383.877125</v>
      </c>
      <c r="E10" s="132">
        <v>2536197359.6837101</v>
      </c>
      <c r="F10" s="132">
        <v>4762592293.5451202</v>
      </c>
      <c r="G10" s="56">
        <v>1117505236</v>
      </c>
      <c r="H10" s="56">
        <v>1767140019</v>
      </c>
      <c r="I10" s="57">
        <f>SUM(D10:H10)</f>
        <v>27281045292.105957</v>
      </c>
    </row>
    <row r="11" spans="1:23">
      <c r="A11" s="51">
        <v>3</v>
      </c>
      <c r="B11" s="66">
        <v>44593</v>
      </c>
      <c r="C11" s="14"/>
      <c r="D11" s="132">
        <v>17188416559.150513</v>
      </c>
      <c r="E11" s="132">
        <v>2565977789.2472301</v>
      </c>
      <c r="F11" s="132">
        <v>4788805852.2652903</v>
      </c>
      <c r="G11" s="56">
        <v>1117505236</v>
      </c>
      <c r="H11" s="56">
        <v>1767140019</v>
      </c>
      <c r="I11" s="57">
        <f>SUM(D11:H11)</f>
        <v>27427845455.663033</v>
      </c>
      <c r="K11" s="132"/>
      <c r="L11" s="132"/>
      <c r="M11" s="132"/>
      <c r="N11" s="132"/>
      <c r="O11" s="132"/>
      <c r="P11" s="132"/>
      <c r="Q11" s="132"/>
      <c r="R11" s="132"/>
      <c r="S11" s="132"/>
      <c r="T11" s="132"/>
      <c r="U11" s="132"/>
      <c r="V11" s="132"/>
      <c r="W11" s="132"/>
    </row>
    <row r="12" spans="1:23">
      <c r="A12" s="51">
        <v>4</v>
      </c>
      <c r="B12" s="66">
        <v>44621</v>
      </c>
      <c r="C12" s="14"/>
      <c r="D12" s="132">
        <v>17323236823.203213</v>
      </c>
      <c r="E12" s="132">
        <v>2580269000.2101398</v>
      </c>
      <c r="F12" s="132">
        <v>4848639568.2396297</v>
      </c>
      <c r="G12" s="56">
        <v>1117505236</v>
      </c>
      <c r="H12" s="56">
        <v>1767140019</v>
      </c>
      <c r="I12" s="57">
        <f t="shared" ref="I12:I21" si="0">SUM(D12:H12)</f>
        <v>27636790646.652985</v>
      </c>
    </row>
    <row r="13" spans="1:23">
      <c r="A13" s="51">
        <v>5</v>
      </c>
      <c r="B13" s="66">
        <v>44652</v>
      </c>
      <c r="C13" s="14"/>
      <c r="D13" s="132">
        <v>17489009491.757168</v>
      </c>
      <c r="E13" s="132">
        <v>2589569488.5967999</v>
      </c>
      <c r="F13" s="132">
        <v>4877411216.2451105</v>
      </c>
      <c r="G13" s="56">
        <v>1117505236</v>
      </c>
      <c r="H13" s="56">
        <v>1767140019</v>
      </c>
      <c r="I13" s="57">
        <f t="shared" si="0"/>
        <v>27840635451.599075</v>
      </c>
      <c r="K13" s="132"/>
      <c r="L13" s="132"/>
      <c r="M13" s="132"/>
      <c r="N13" s="132"/>
      <c r="O13" s="132"/>
      <c r="P13" s="132"/>
      <c r="Q13" s="132"/>
      <c r="R13" s="132"/>
      <c r="S13" s="132"/>
      <c r="T13" s="132"/>
      <c r="U13" s="132"/>
      <c r="V13" s="132"/>
      <c r="W13" s="132"/>
    </row>
    <row r="14" spans="1:23">
      <c r="A14" s="51">
        <v>6</v>
      </c>
      <c r="B14" s="66">
        <v>44682</v>
      </c>
      <c r="C14" s="14"/>
      <c r="D14" s="132">
        <v>17539996795.651031</v>
      </c>
      <c r="E14" s="132">
        <v>2599120757.8418102</v>
      </c>
      <c r="F14" s="132">
        <v>4910568712.8982401</v>
      </c>
      <c r="G14" s="56">
        <v>1117505236</v>
      </c>
      <c r="H14" s="56">
        <v>1767140019</v>
      </c>
      <c r="I14" s="57">
        <f t="shared" si="0"/>
        <v>27934331521.391083</v>
      </c>
    </row>
    <row r="15" spans="1:23">
      <c r="A15" s="51">
        <v>7</v>
      </c>
      <c r="B15" s="66">
        <v>44713</v>
      </c>
      <c r="C15" s="14"/>
      <c r="D15" s="132">
        <v>17708502023.897247</v>
      </c>
      <c r="E15" s="132">
        <v>2625024953.2730298</v>
      </c>
      <c r="F15" s="132">
        <v>4954823286.1606407</v>
      </c>
      <c r="G15" s="56">
        <v>1117505236</v>
      </c>
      <c r="H15" s="56">
        <v>1767140019</v>
      </c>
      <c r="I15" s="57">
        <f t="shared" si="0"/>
        <v>28172995518.330917</v>
      </c>
    </row>
    <row r="16" spans="1:23">
      <c r="A16" s="51">
        <v>8</v>
      </c>
      <c r="B16" s="66">
        <v>44743</v>
      </c>
      <c r="C16" s="14"/>
      <c r="D16" s="132">
        <v>17891439938.70261</v>
      </c>
      <c r="E16" s="132">
        <v>2641056902.5971799</v>
      </c>
      <c r="F16" s="132">
        <v>4991377566.2195301</v>
      </c>
      <c r="G16" s="56">
        <v>1117505236</v>
      </c>
      <c r="H16" s="56">
        <v>1767140019</v>
      </c>
      <c r="I16" s="57">
        <f t="shared" si="0"/>
        <v>28408519662.519318</v>
      </c>
    </row>
    <row r="17" spans="1:9">
      <c r="A17" s="51">
        <v>9</v>
      </c>
      <c r="B17" s="66">
        <v>44774</v>
      </c>
      <c r="C17" s="14"/>
      <c r="D17" s="132">
        <v>18045541676.69138</v>
      </c>
      <c r="E17" s="132">
        <v>2649205313.8436799</v>
      </c>
      <c r="F17" s="132">
        <v>5027503506.45755</v>
      </c>
      <c r="G17" s="56">
        <v>1117505236</v>
      </c>
      <c r="H17" s="56">
        <v>1767140019</v>
      </c>
      <c r="I17" s="57">
        <f t="shared" si="0"/>
        <v>28606895751.992611</v>
      </c>
    </row>
    <row r="18" spans="1:9">
      <c r="A18" s="51">
        <v>10</v>
      </c>
      <c r="B18" s="66">
        <v>44805</v>
      </c>
      <c r="C18" s="14"/>
      <c r="D18" s="132">
        <v>17716468228.134533</v>
      </c>
      <c r="E18" s="132">
        <v>2656193924.7158599</v>
      </c>
      <c r="F18" s="132">
        <v>5061766704.9922094</v>
      </c>
      <c r="G18" s="56">
        <v>1117505236</v>
      </c>
      <c r="H18" s="56">
        <v>1767140019</v>
      </c>
      <c r="I18" s="57">
        <f t="shared" si="0"/>
        <v>28319074112.842602</v>
      </c>
    </row>
    <row r="19" spans="1:9">
      <c r="A19" s="51">
        <v>11</v>
      </c>
      <c r="B19" s="66">
        <v>44835</v>
      </c>
      <c r="C19" s="14"/>
      <c r="D19" s="132">
        <v>18239617171.99371</v>
      </c>
      <c r="E19" s="132">
        <v>2665801787.9703398</v>
      </c>
      <c r="F19" s="132">
        <v>5101104795.27355</v>
      </c>
      <c r="G19" s="56">
        <v>1117505236</v>
      </c>
      <c r="H19" s="56">
        <v>1767140019</v>
      </c>
      <c r="I19" s="57">
        <f t="shared" si="0"/>
        <v>28891169010.237602</v>
      </c>
    </row>
    <row r="20" spans="1:9">
      <c r="A20" s="51">
        <v>12</v>
      </c>
      <c r="B20" s="66">
        <v>44866</v>
      </c>
      <c r="C20" s="14"/>
      <c r="D20" s="132">
        <v>18262410067.719566</v>
      </c>
      <c r="E20" s="132">
        <v>2675639527.9170198</v>
      </c>
      <c r="F20" s="132">
        <v>5145703067.0523195</v>
      </c>
      <c r="G20" s="56">
        <v>1117505236</v>
      </c>
      <c r="H20" s="56">
        <v>1767140019</v>
      </c>
      <c r="I20" s="57">
        <f t="shared" si="0"/>
        <v>28968397917.688904</v>
      </c>
    </row>
    <row r="21" spans="1:9">
      <c r="A21" s="51">
        <v>13</v>
      </c>
      <c r="B21" s="66">
        <v>44896</v>
      </c>
      <c r="C21" s="14"/>
      <c r="D21" s="132">
        <v>18323029786.251064</v>
      </c>
      <c r="E21" s="132">
        <v>2717605907.0446301</v>
      </c>
      <c r="F21" s="132">
        <v>5201341253.8493605</v>
      </c>
      <c r="G21" s="56">
        <v>1117505236</v>
      </c>
      <c r="H21" s="56">
        <v>1767140019</v>
      </c>
      <c r="I21" s="57">
        <f t="shared" si="0"/>
        <v>29126622202.145054</v>
      </c>
    </row>
    <row r="22" spans="1:9">
      <c r="A22" s="51">
        <v>14</v>
      </c>
      <c r="B22" s="12"/>
      <c r="C22" s="14"/>
      <c r="D22" s="238"/>
      <c r="E22" s="14"/>
      <c r="F22" s="14"/>
      <c r="G22" s="14"/>
      <c r="H22" s="14"/>
      <c r="I22" s="57"/>
    </row>
    <row r="23" spans="1:9" ht="15.75">
      <c r="A23" s="51">
        <v>15</v>
      </c>
      <c r="B23" s="12" t="s">
        <v>349</v>
      </c>
      <c r="C23" s="14"/>
      <c r="D23" s="94">
        <f>AVERAGE(D9:D21)-(G23*'Labor Ratios'!D11)</f>
        <v>17174271182.517685</v>
      </c>
      <c r="E23" s="94">
        <f>AVERAGE(E9:E21)-(G23*'Labor Ratios'!D13)</f>
        <v>2545959527.9768963</v>
      </c>
      <c r="F23" s="94">
        <f>AVERAGE(F9:F21)-(G23*'Labor Ratios'!D15)</f>
        <v>4607592074.392065</v>
      </c>
      <c r="G23" s="94">
        <f>AVERAGE(G9:G21)</f>
        <v>1117505236</v>
      </c>
      <c r="H23" s="94">
        <f t="shared" ref="H23:I23" si="1">AVERAGE(H9:H21)</f>
        <v>1767140019</v>
      </c>
      <c r="I23" s="95">
        <f t="shared" si="1"/>
        <v>28137565764.919746</v>
      </c>
    </row>
    <row r="24" spans="1:9">
      <c r="A24" s="52"/>
      <c r="B24" s="58"/>
      <c r="C24" s="40"/>
      <c r="D24" s="40"/>
      <c r="E24" s="40"/>
      <c r="F24" s="40"/>
      <c r="G24" s="40"/>
      <c r="H24" s="40"/>
      <c r="I24" s="59"/>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3"/>
  <sheetViews>
    <sheetView workbookViewId="0">
      <selection activeCell="C18" sqref="C18"/>
    </sheetView>
  </sheetViews>
  <sheetFormatPr defaultRowHeight="15"/>
  <cols>
    <col min="1" max="1" width="6.77734375" customWidth="1"/>
    <col min="2" max="2" width="19.33203125" customWidth="1"/>
    <col min="3" max="3" width="14.44140625" bestFit="1" customWidth="1"/>
    <col min="4" max="4" width="15.109375" customWidth="1"/>
  </cols>
  <sheetData>
    <row r="1" spans="1:4" ht="15.75">
      <c r="A1" s="39" t="s">
        <v>279</v>
      </c>
    </row>
    <row r="2" spans="1:4" ht="15.75">
      <c r="A2" s="39" t="s">
        <v>369</v>
      </c>
    </row>
    <row r="3" spans="1:4" ht="15.75">
      <c r="A3" s="39" t="str">
        <f>'O&amp;M'!A3</f>
        <v>Budget Year Ending December 31, 2022</v>
      </c>
    </row>
    <row r="5" spans="1:4">
      <c r="B5" s="41" t="s">
        <v>350</v>
      </c>
      <c r="C5" s="41" t="s">
        <v>351</v>
      </c>
      <c r="D5" s="41" t="s">
        <v>356</v>
      </c>
    </row>
    <row r="7" spans="1:4" ht="15.75">
      <c r="A7" s="61"/>
      <c r="B7" s="82"/>
      <c r="C7" s="471" t="s">
        <v>720</v>
      </c>
      <c r="D7" s="472"/>
    </row>
    <row r="8" spans="1:4" ht="15.75">
      <c r="A8" s="76" t="s">
        <v>4</v>
      </c>
      <c r="B8" s="86"/>
      <c r="C8" s="67"/>
      <c r="D8" s="46"/>
    </row>
    <row r="9" spans="1:4" ht="15.75">
      <c r="A9" s="43" t="s">
        <v>6</v>
      </c>
      <c r="B9" s="83" t="s">
        <v>370</v>
      </c>
      <c r="C9" s="47" t="s">
        <v>7</v>
      </c>
      <c r="D9" s="49" t="s">
        <v>373</v>
      </c>
    </row>
    <row r="10" spans="1:4">
      <c r="A10" s="61"/>
      <c r="B10" s="61"/>
      <c r="C10" s="61"/>
      <c r="D10" s="61"/>
    </row>
    <row r="11" spans="1:4">
      <c r="A11" s="63">
        <v>1</v>
      </c>
      <c r="B11" s="64" t="s">
        <v>345</v>
      </c>
      <c r="C11" s="87">
        <v>56299338</v>
      </c>
      <c r="D11" s="89">
        <f>C11/$C$22</f>
        <v>0.45457166851104092</v>
      </c>
    </row>
    <row r="12" spans="1:4">
      <c r="A12" s="63"/>
      <c r="B12" s="64"/>
      <c r="C12" s="87"/>
      <c r="D12" s="89"/>
    </row>
    <row r="13" spans="1:4">
      <c r="A13" s="63">
        <v>2</v>
      </c>
      <c r="B13" s="64" t="s">
        <v>38</v>
      </c>
      <c r="C13" s="87">
        <v>7733425</v>
      </c>
      <c r="D13" s="89">
        <f t="shared" ref="D13:D20" si="0">C13/$C$22</f>
        <v>6.2441158820641843E-2</v>
      </c>
    </row>
    <row r="14" spans="1:4">
      <c r="A14" s="63"/>
      <c r="B14" s="64"/>
      <c r="C14" s="87"/>
      <c r="D14" s="89"/>
    </row>
    <row r="15" spans="1:4">
      <c r="A15" s="63">
        <v>3</v>
      </c>
      <c r="B15" s="64" t="s">
        <v>346</v>
      </c>
      <c r="C15" s="87">
        <v>38494407</v>
      </c>
      <c r="D15" s="89">
        <f t="shared" si="0"/>
        <v>0.31081123579700159</v>
      </c>
    </row>
    <row r="16" spans="1:4">
      <c r="A16" s="63"/>
      <c r="B16" s="64"/>
      <c r="C16" s="87"/>
      <c r="D16" s="89"/>
    </row>
    <row r="17" spans="1:4">
      <c r="A17" s="63">
        <v>4</v>
      </c>
      <c r="B17" s="64" t="s">
        <v>371</v>
      </c>
      <c r="C17" s="87"/>
      <c r="D17" s="89"/>
    </row>
    <row r="18" spans="1:4">
      <c r="A18" s="63">
        <v>5</v>
      </c>
      <c r="B18" s="64" t="s">
        <v>374</v>
      </c>
      <c r="C18" s="87">
        <f>18494738+2828836</f>
        <v>21323574</v>
      </c>
      <c r="D18" s="89">
        <f t="shared" si="0"/>
        <v>0.17217063212712466</v>
      </c>
    </row>
    <row r="19" spans="1:4">
      <c r="A19" s="63">
        <v>6</v>
      </c>
      <c r="B19" s="64" t="s">
        <v>375</v>
      </c>
      <c r="C19" s="88">
        <v>657</v>
      </c>
      <c r="D19" s="90">
        <f t="shared" si="0"/>
        <v>5.3047441909841614E-6</v>
      </c>
    </row>
    <row r="20" spans="1:4">
      <c r="A20" s="63">
        <v>7</v>
      </c>
      <c r="B20" s="64" t="s">
        <v>372</v>
      </c>
      <c r="C20" s="87">
        <f>SUM(C18:C19)</f>
        <v>21324231</v>
      </c>
      <c r="D20" s="89">
        <f t="shared" si="0"/>
        <v>0.17217593687131566</v>
      </c>
    </row>
    <row r="21" spans="1:4">
      <c r="A21" s="63"/>
      <c r="B21" s="64"/>
      <c r="C21" s="87"/>
      <c r="D21" s="64"/>
    </row>
    <row r="22" spans="1:4" ht="15.75" thickBot="1">
      <c r="A22" s="63">
        <v>8</v>
      </c>
      <c r="B22" s="64" t="s">
        <v>9</v>
      </c>
      <c r="C22" s="91">
        <f>C11+C13+C15+C20</f>
        <v>123851401</v>
      </c>
      <c r="D22" s="92">
        <f>D11+D13+D15+D20</f>
        <v>1</v>
      </c>
    </row>
    <row r="23" spans="1:4" ht="15.75" thickTop="1">
      <c r="A23" s="52"/>
      <c r="B23" s="52"/>
      <c r="C23" s="52"/>
      <c r="D23" s="52"/>
    </row>
  </sheetData>
  <mergeCells count="1">
    <mergeCell ref="C7:D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3"/>
  <sheetViews>
    <sheetView workbookViewId="0">
      <selection activeCell="A3" sqref="A3"/>
    </sheetView>
  </sheetViews>
  <sheetFormatPr defaultRowHeight="15"/>
  <cols>
    <col min="1" max="1" width="6.77734375" customWidth="1"/>
    <col min="2" max="2" width="21.6640625" customWidth="1"/>
    <col min="3" max="3" width="14.44140625" bestFit="1" customWidth="1"/>
  </cols>
  <sheetData>
    <row r="1" spans="1:3" ht="15.75">
      <c r="A1" s="39" t="s">
        <v>279</v>
      </c>
    </row>
    <row r="2" spans="1:3" ht="15.75">
      <c r="A2" s="39" t="s">
        <v>460</v>
      </c>
    </row>
    <row r="3" spans="1:3" ht="15.75">
      <c r="A3" s="39" t="str">
        <f>'O&amp;M'!A3</f>
        <v>Budget Year Ending December 31, 2022</v>
      </c>
    </row>
    <row r="5" spans="1:3">
      <c r="B5" s="41" t="s">
        <v>350</v>
      </c>
      <c r="C5" s="41" t="s">
        <v>351</v>
      </c>
    </row>
    <row r="7" spans="1:3">
      <c r="A7" s="42" t="s">
        <v>4</v>
      </c>
      <c r="B7" s="78"/>
      <c r="C7" s="84"/>
    </row>
    <row r="8" spans="1:3" ht="15.75">
      <c r="A8" s="43" t="s">
        <v>6</v>
      </c>
      <c r="B8" s="68" t="s">
        <v>460</v>
      </c>
      <c r="C8" s="59"/>
    </row>
    <row r="9" spans="1:3">
      <c r="A9" s="62">
        <v>1</v>
      </c>
      <c r="B9" s="125" t="s">
        <v>460</v>
      </c>
      <c r="C9" s="55">
        <v>0</v>
      </c>
    </row>
    <row r="10" spans="1:3">
      <c r="A10" s="63"/>
      <c r="B10" s="128"/>
      <c r="C10" s="57"/>
    </row>
    <row r="11" spans="1:3">
      <c r="A11" s="63">
        <v>2</v>
      </c>
      <c r="B11" s="126" t="s">
        <v>461</v>
      </c>
      <c r="C11" s="57">
        <v>0</v>
      </c>
    </row>
    <row r="12" spans="1:3">
      <c r="A12" s="63"/>
      <c r="B12" s="128"/>
      <c r="C12" s="57"/>
    </row>
    <row r="13" spans="1:3">
      <c r="A13" s="52"/>
      <c r="B13" s="58"/>
      <c r="C13" s="5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2"/>
  <sheetViews>
    <sheetView workbookViewId="0">
      <selection activeCell="C10" sqref="C10"/>
    </sheetView>
  </sheetViews>
  <sheetFormatPr defaultRowHeight="15"/>
  <cols>
    <col min="1" max="1" width="6.77734375" customWidth="1"/>
    <col min="2" max="3" width="16.44140625" customWidth="1"/>
  </cols>
  <sheetData>
    <row r="1" spans="1:3" ht="15.75">
      <c r="A1" s="39" t="s">
        <v>279</v>
      </c>
    </row>
    <row r="2" spans="1:3" ht="15.75">
      <c r="A2" s="39" t="s">
        <v>376</v>
      </c>
    </row>
    <row r="3" spans="1:3" ht="15.75">
      <c r="A3" s="39" t="str">
        <f>'O&amp;M'!A3</f>
        <v>Budget Year Ending December 31, 2022</v>
      </c>
    </row>
    <row r="5" spans="1:3">
      <c r="B5" s="41" t="s">
        <v>350</v>
      </c>
      <c r="C5" s="41" t="s">
        <v>351</v>
      </c>
    </row>
    <row r="7" spans="1:3" ht="15.75">
      <c r="A7" s="42" t="s">
        <v>4</v>
      </c>
      <c r="B7" s="67"/>
      <c r="C7" s="46"/>
    </row>
    <row r="8" spans="1:3" ht="15.75">
      <c r="A8" s="43" t="s">
        <v>6</v>
      </c>
      <c r="B8" s="68" t="s">
        <v>344</v>
      </c>
      <c r="C8" s="49" t="s">
        <v>376</v>
      </c>
    </row>
    <row r="9" spans="1:3">
      <c r="A9" s="63">
        <v>1</v>
      </c>
      <c r="B9" s="66">
        <f>'Plant Balance'!B21</f>
        <v>44896</v>
      </c>
      <c r="C9" s="72">
        <v>9511369467</v>
      </c>
    </row>
    <row r="10" spans="1:3" ht="15.75" thickBot="1">
      <c r="A10" s="63">
        <v>2</v>
      </c>
      <c r="B10" s="12"/>
      <c r="C10" s="80"/>
    </row>
    <row r="11" spans="1:3" ht="15.75">
      <c r="A11" s="63">
        <v>3</v>
      </c>
      <c r="B11" s="74" t="s">
        <v>376</v>
      </c>
      <c r="C11" s="81">
        <f>AVERAGE(C9:C9)</f>
        <v>9511369467</v>
      </c>
    </row>
    <row r="12" spans="1:3">
      <c r="A12" s="52"/>
      <c r="B12" s="58"/>
      <c r="C12" s="59"/>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1"/>
  <sheetViews>
    <sheetView workbookViewId="0">
      <selection activeCell="E12" sqref="E11:E12"/>
    </sheetView>
  </sheetViews>
  <sheetFormatPr defaultRowHeight="15"/>
  <cols>
    <col min="1" max="1" width="6.77734375" customWidth="1"/>
    <col min="2" max="2" width="21.6640625" customWidth="1"/>
    <col min="3" max="3" width="22.44140625" customWidth="1"/>
  </cols>
  <sheetData>
    <row r="1" spans="1:3" ht="15.75">
      <c r="A1" s="39" t="s">
        <v>279</v>
      </c>
    </row>
    <row r="2" spans="1:3" ht="15.75">
      <c r="A2" s="39" t="s">
        <v>469</v>
      </c>
    </row>
    <row r="3" spans="1:3" ht="15.75">
      <c r="A3" s="39" t="str">
        <f>'O&amp;M'!A3</f>
        <v>Budget Year Ending December 31, 2022</v>
      </c>
    </row>
    <row r="5" spans="1:3">
      <c r="B5" s="41" t="s">
        <v>350</v>
      </c>
      <c r="C5" s="41" t="s">
        <v>351</v>
      </c>
    </row>
    <row r="7" spans="1:3">
      <c r="A7" s="42" t="s">
        <v>4</v>
      </c>
      <c r="B7" s="78"/>
      <c r="C7" s="84"/>
    </row>
    <row r="8" spans="1:3" ht="15.75">
      <c r="A8" s="43" t="s">
        <v>6</v>
      </c>
      <c r="B8" s="68" t="s">
        <v>470</v>
      </c>
      <c r="C8" s="59"/>
    </row>
    <row r="9" spans="1:3" ht="15.75">
      <c r="A9" s="42"/>
      <c r="B9" s="82"/>
      <c r="C9" s="84"/>
    </row>
    <row r="10" spans="1:3">
      <c r="A10" s="63">
        <v>1</v>
      </c>
      <c r="B10" s="137">
        <v>216.1</v>
      </c>
      <c r="C10" s="57">
        <v>0</v>
      </c>
    </row>
    <row r="11" spans="1:3">
      <c r="A11" s="52"/>
      <c r="B11" s="52"/>
      <c r="C11" s="5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3"/>
  <sheetViews>
    <sheetView workbookViewId="0">
      <selection activeCell="D13" sqref="D13"/>
    </sheetView>
  </sheetViews>
  <sheetFormatPr defaultRowHeight="15"/>
  <cols>
    <col min="1" max="1" width="6.77734375" customWidth="1"/>
    <col min="2" max="3" width="16.44140625" customWidth="1"/>
    <col min="4" max="4" width="13.88671875" customWidth="1"/>
  </cols>
  <sheetData>
    <row r="1" spans="1:4" ht="15.75">
      <c r="A1" s="39" t="s">
        <v>279</v>
      </c>
    </row>
    <row r="2" spans="1:4" ht="15.75">
      <c r="A2" s="39" t="s">
        <v>377</v>
      </c>
    </row>
    <row r="3" spans="1:4" ht="15.75">
      <c r="A3" s="39" t="str">
        <f>'O&amp;M'!A3</f>
        <v>Budget Year Ending December 31, 2022</v>
      </c>
    </row>
    <row r="5" spans="1:4">
      <c r="B5" s="41" t="s">
        <v>350</v>
      </c>
      <c r="C5" s="41" t="s">
        <v>351</v>
      </c>
      <c r="D5" s="41" t="s">
        <v>356</v>
      </c>
    </row>
    <row r="7" spans="1:4" ht="15.75">
      <c r="A7" s="97" t="s">
        <v>4</v>
      </c>
      <c r="B7" s="67"/>
      <c r="C7" s="99"/>
      <c r="D7" s="167" t="s">
        <v>379</v>
      </c>
    </row>
    <row r="8" spans="1:4" ht="15.75">
      <c r="A8" s="98" t="s">
        <v>6</v>
      </c>
      <c r="B8" s="68" t="s">
        <v>344</v>
      </c>
      <c r="C8" s="48" t="s">
        <v>378</v>
      </c>
      <c r="D8" s="138">
        <v>2022</v>
      </c>
    </row>
    <row r="9" spans="1:4">
      <c r="A9" s="96">
        <v>1</v>
      </c>
      <c r="B9" s="66">
        <f>'Common Equity'!B9</f>
        <v>44896</v>
      </c>
      <c r="C9" s="71">
        <v>7775026131</v>
      </c>
      <c r="D9" s="57"/>
    </row>
    <row r="10" spans="1:4" ht="15.75" thickBot="1">
      <c r="A10" s="96">
        <v>2</v>
      </c>
      <c r="B10" s="66"/>
      <c r="C10" s="100"/>
      <c r="D10" s="80"/>
    </row>
    <row r="11" spans="1:4" ht="15.75">
      <c r="A11" s="96">
        <v>3</v>
      </c>
      <c r="B11" s="74" t="s">
        <v>378</v>
      </c>
      <c r="C11" s="75">
        <f>AVERAGE(C9:C9)</f>
        <v>7775026131</v>
      </c>
      <c r="D11" s="13"/>
    </row>
    <row r="12" spans="1:4" ht="15.75">
      <c r="A12" s="96">
        <v>4</v>
      </c>
      <c r="B12" s="74" t="s">
        <v>380</v>
      </c>
      <c r="C12" s="14"/>
      <c r="D12" s="95">
        <v>329200619</v>
      </c>
    </row>
    <row r="13" spans="1:4">
      <c r="A13" s="58"/>
      <c r="B13" s="58"/>
      <c r="C13" s="40"/>
      <c r="D13" s="5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8"/>
  <sheetViews>
    <sheetView workbookViewId="0">
      <selection activeCell="K8" sqref="K8"/>
    </sheetView>
  </sheetViews>
  <sheetFormatPr defaultRowHeight="15"/>
  <cols>
    <col min="1" max="1" width="5.109375" customWidth="1"/>
    <col min="7" max="7" width="9.77734375" customWidth="1"/>
    <col min="8" max="8" width="11.77734375" customWidth="1"/>
    <col min="9" max="9" width="9.5546875" customWidth="1"/>
    <col min="10" max="11" width="13" customWidth="1"/>
  </cols>
  <sheetData>
    <row r="1" spans="1:11" ht="15.75">
      <c r="A1" s="16" t="s">
        <v>279</v>
      </c>
      <c r="B1" s="17"/>
      <c r="C1" s="17"/>
      <c r="D1" s="17"/>
      <c r="E1" s="17"/>
      <c r="F1" s="17"/>
      <c r="G1" s="17"/>
      <c r="H1" s="17"/>
      <c r="I1" s="17"/>
      <c r="J1" s="17"/>
      <c r="K1" s="18"/>
    </row>
    <row r="2" spans="1:11" ht="15.75">
      <c r="A2" s="16" t="s">
        <v>664</v>
      </c>
      <c r="B2" s="17"/>
      <c r="C2" s="17"/>
      <c r="D2" s="17"/>
      <c r="E2" s="17"/>
      <c r="F2" s="17"/>
      <c r="G2" s="17"/>
      <c r="H2" s="17"/>
      <c r="I2" s="17"/>
      <c r="J2" s="17"/>
      <c r="K2" s="19"/>
    </row>
    <row r="3" spans="1:11" ht="15.75">
      <c r="A3" s="16">
        <v>2022</v>
      </c>
      <c r="B3" s="17"/>
      <c r="C3" s="17"/>
      <c r="D3" s="17"/>
      <c r="E3" s="17"/>
      <c r="F3" s="17"/>
      <c r="G3" s="17"/>
      <c r="H3" s="17"/>
      <c r="I3" s="17"/>
      <c r="J3" s="17"/>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20" t="s">
        <v>4</v>
      </c>
      <c r="B6" s="19"/>
      <c r="C6" s="19"/>
      <c r="D6" s="19"/>
      <c r="E6" s="19"/>
      <c r="F6" s="19"/>
      <c r="G6" s="19"/>
      <c r="H6" s="19"/>
      <c r="I6" s="19"/>
      <c r="J6" s="19"/>
      <c r="K6" s="19"/>
    </row>
    <row r="7" spans="1:11">
      <c r="A7" s="20">
        <v>1</v>
      </c>
      <c r="B7" s="19" t="s">
        <v>715</v>
      </c>
      <c r="C7" s="19"/>
      <c r="D7" s="19"/>
      <c r="E7" s="19"/>
      <c r="F7" s="19"/>
      <c r="G7" s="19"/>
      <c r="H7" s="19"/>
      <c r="I7" s="19"/>
      <c r="J7" s="21"/>
      <c r="K7" s="21">
        <f>34762370+K43+K45</f>
        <v>92970433</v>
      </c>
    </row>
    <row r="8" spans="1:11">
      <c r="A8" s="19"/>
      <c r="B8" s="19"/>
      <c r="C8" s="19"/>
      <c r="D8" s="19"/>
      <c r="E8" s="19"/>
      <c r="F8" s="19"/>
      <c r="G8" s="19"/>
      <c r="H8" s="19"/>
      <c r="I8" s="19"/>
      <c r="J8" s="19"/>
      <c r="K8" s="19"/>
    </row>
    <row r="9" spans="1:11">
      <c r="A9" s="19"/>
      <c r="B9" s="19"/>
      <c r="C9" s="19"/>
      <c r="D9" s="19"/>
      <c r="E9" s="19"/>
      <c r="F9" s="19"/>
      <c r="G9" s="19"/>
      <c r="H9" s="19"/>
      <c r="I9" s="20" t="s">
        <v>280</v>
      </c>
      <c r="J9" s="19"/>
      <c r="K9" s="19"/>
    </row>
    <row r="10" spans="1:11" ht="15.75">
      <c r="A10" s="19"/>
      <c r="B10" s="22" t="s">
        <v>281</v>
      </c>
      <c r="C10" s="19"/>
      <c r="D10" s="19"/>
      <c r="E10" s="19"/>
      <c r="F10" s="19"/>
      <c r="G10" s="19"/>
      <c r="H10" s="19"/>
      <c r="I10" s="19"/>
      <c r="J10" s="20" t="s">
        <v>282</v>
      </c>
      <c r="K10" s="19"/>
    </row>
    <row r="11" spans="1:11" ht="15.75">
      <c r="A11" s="19"/>
      <c r="B11" s="22"/>
      <c r="C11" s="19"/>
      <c r="D11" s="19"/>
      <c r="E11" s="19"/>
      <c r="F11" s="19"/>
      <c r="G11" s="19"/>
      <c r="H11" s="19"/>
      <c r="I11" s="20" t="s">
        <v>283</v>
      </c>
      <c r="J11" s="20" t="s">
        <v>284</v>
      </c>
      <c r="K11" s="19"/>
    </row>
    <row r="12" spans="1:11">
      <c r="A12" s="20">
        <v>2</v>
      </c>
      <c r="B12" s="19" t="s">
        <v>285</v>
      </c>
      <c r="C12" s="19"/>
      <c r="D12" s="19"/>
      <c r="E12" s="19"/>
      <c r="F12" s="19"/>
      <c r="G12" s="19"/>
      <c r="H12" s="19"/>
      <c r="I12" s="23">
        <v>1069</v>
      </c>
      <c r="J12" s="24">
        <v>0</v>
      </c>
      <c r="K12" s="19"/>
    </row>
    <row r="13" spans="1:11">
      <c r="A13" s="20">
        <v>3</v>
      </c>
      <c r="B13" s="19" t="s">
        <v>596</v>
      </c>
      <c r="C13" s="19"/>
      <c r="D13" s="19"/>
      <c r="E13" s="19"/>
      <c r="F13" s="19"/>
      <c r="G13" s="19"/>
      <c r="H13" s="19"/>
      <c r="I13" s="23">
        <v>2353</v>
      </c>
      <c r="J13" s="24">
        <v>0</v>
      </c>
      <c r="K13" s="19"/>
    </row>
    <row r="14" spans="1:11">
      <c r="A14" s="20">
        <v>4</v>
      </c>
      <c r="B14" s="19" t="s">
        <v>597</v>
      </c>
      <c r="C14" s="19"/>
      <c r="D14" s="19"/>
      <c r="E14" s="19"/>
      <c r="F14" s="19"/>
      <c r="G14" s="19"/>
      <c r="H14" s="19"/>
      <c r="I14" s="23">
        <v>94</v>
      </c>
      <c r="J14" s="24">
        <v>0</v>
      </c>
      <c r="K14" s="19"/>
    </row>
    <row r="15" spans="1:11">
      <c r="A15" s="20">
        <v>5</v>
      </c>
      <c r="B15" s="19" t="s">
        <v>515</v>
      </c>
      <c r="C15" s="19"/>
      <c r="D15" s="19"/>
      <c r="E15" s="19" t="s">
        <v>424</v>
      </c>
      <c r="F15" s="19"/>
      <c r="G15" s="19"/>
      <c r="H15" s="19"/>
      <c r="I15" s="23">
        <v>100011</v>
      </c>
      <c r="J15" s="24">
        <v>0</v>
      </c>
      <c r="K15" s="19"/>
    </row>
    <row r="16" spans="1:11">
      <c r="A16" s="20">
        <v>6</v>
      </c>
      <c r="B16" s="19" t="s">
        <v>286</v>
      </c>
      <c r="C16" s="19"/>
      <c r="D16" s="19"/>
      <c r="E16" s="19" t="s">
        <v>424</v>
      </c>
      <c r="F16" s="19"/>
      <c r="G16" s="19"/>
      <c r="H16" s="19"/>
      <c r="I16" s="25">
        <v>26304</v>
      </c>
      <c r="J16" s="24">
        <v>0</v>
      </c>
      <c r="K16" s="19"/>
    </row>
    <row r="17" spans="1:11">
      <c r="A17" s="20">
        <v>7</v>
      </c>
      <c r="B17" s="19" t="s">
        <v>287</v>
      </c>
      <c r="C17" s="19"/>
      <c r="D17" s="19"/>
      <c r="E17" s="19" t="s">
        <v>424</v>
      </c>
      <c r="F17" s="19"/>
      <c r="G17" s="19"/>
      <c r="H17" s="19"/>
      <c r="I17" s="25">
        <v>79419</v>
      </c>
      <c r="J17" s="24">
        <v>0</v>
      </c>
      <c r="K17" s="19"/>
    </row>
    <row r="18" spans="1:11">
      <c r="A18" s="20">
        <v>8</v>
      </c>
      <c r="B18" s="19" t="s">
        <v>288</v>
      </c>
      <c r="C18" s="19"/>
      <c r="D18" s="19"/>
      <c r="E18" s="19"/>
      <c r="F18" s="19"/>
      <c r="G18" s="19"/>
      <c r="H18" s="19"/>
      <c r="I18" s="26">
        <v>817</v>
      </c>
      <c r="J18" s="24">
        <v>0</v>
      </c>
      <c r="K18" s="19"/>
    </row>
    <row r="19" spans="1:11">
      <c r="A19" s="20">
        <v>9</v>
      </c>
      <c r="B19" s="19" t="s">
        <v>289</v>
      </c>
      <c r="C19" s="19"/>
      <c r="D19" s="19"/>
      <c r="E19" s="19"/>
      <c r="F19" s="19"/>
      <c r="G19" s="19"/>
      <c r="H19" s="19"/>
      <c r="I19" s="26">
        <v>3301</v>
      </c>
      <c r="J19" s="24">
        <v>0</v>
      </c>
      <c r="K19" s="19"/>
    </row>
    <row r="20" spans="1:11">
      <c r="A20" s="20">
        <v>10</v>
      </c>
      <c r="B20" s="19" t="s">
        <v>290</v>
      </c>
      <c r="C20" s="19"/>
      <c r="D20" s="19"/>
      <c r="E20" s="19"/>
      <c r="F20" s="19"/>
      <c r="G20" s="19"/>
      <c r="H20" s="19"/>
      <c r="I20" s="26">
        <v>2347</v>
      </c>
      <c r="J20" s="24">
        <v>0</v>
      </c>
      <c r="K20" s="19"/>
    </row>
    <row r="21" spans="1:11">
      <c r="A21" s="20">
        <v>11</v>
      </c>
      <c r="B21" s="19" t="s">
        <v>291</v>
      </c>
      <c r="C21" s="19"/>
      <c r="D21" s="19"/>
      <c r="E21" s="19"/>
      <c r="F21" s="19"/>
      <c r="G21" s="19"/>
      <c r="H21" s="19"/>
      <c r="I21" s="26">
        <v>766</v>
      </c>
      <c r="J21" s="24">
        <v>0</v>
      </c>
      <c r="K21" s="19"/>
    </row>
    <row r="22" spans="1:11">
      <c r="A22" s="20">
        <v>12</v>
      </c>
      <c r="B22" s="19" t="s">
        <v>292</v>
      </c>
      <c r="C22" s="19"/>
      <c r="D22" s="19"/>
      <c r="E22" s="19"/>
      <c r="F22" s="19"/>
      <c r="G22" s="19"/>
      <c r="H22" s="19"/>
      <c r="I22" s="26">
        <v>10990</v>
      </c>
      <c r="J22" s="24">
        <v>0</v>
      </c>
      <c r="K22" s="19"/>
    </row>
    <row r="23" spans="1:11">
      <c r="A23" s="20">
        <v>13</v>
      </c>
      <c r="B23" s="19" t="s">
        <v>293</v>
      </c>
      <c r="C23" s="19"/>
      <c r="D23" s="19"/>
      <c r="E23" s="19"/>
      <c r="F23" s="19"/>
      <c r="G23" s="19"/>
      <c r="H23" s="19"/>
      <c r="I23" s="26">
        <v>3530</v>
      </c>
      <c r="J23" s="24">
        <v>0</v>
      </c>
      <c r="K23" s="19"/>
    </row>
    <row r="24" spans="1:11">
      <c r="A24" s="20">
        <v>14</v>
      </c>
      <c r="B24" s="19" t="s">
        <v>294</v>
      </c>
      <c r="C24" s="19"/>
      <c r="D24" s="19"/>
      <c r="E24" s="19" t="s">
        <v>424</v>
      </c>
      <c r="F24" s="19"/>
      <c r="G24" s="19"/>
      <c r="H24" s="19"/>
      <c r="I24" s="26">
        <v>3647</v>
      </c>
      <c r="J24" s="24">
        <v>0</v>
      </c>
      <c r="K24" s="19"/>
    </row>
    <row r="25" spans="1:11">
      <c r="A25" s="20">
        <v>15</v>
      </c>
      <c r="B25" s="19" t="s">
        <v>299</v>
      </c>
      <c r="C25" s="19"/>
      <c r="D25" s="19"/>
      <c r="E25" s="19" t="s">
        <v>424</v>
      </c>
      <c r="F25" s="19"/>
      <c r="G25" s="19"/>
      <c r="H25" s="19"/>
      <c r="I25" s="26">
        <v>29141</v>
      </c>
      <c r="J25" s="24">
        <v>0</v>
      </c>
      <c r="K25" s="19"/>
    </row>
    <row r="26" spans="1:11">
      <c r="A26" s="20">
        <v>16</v>
      </c>
      <c r="B26" s="19" t="s">
        <v>295</v>
      </c>
      <c r="C26" s="19"/>
      <c r="D26" s="19"/>
      <c r="F26" s="19"/>
      <c r="G26" s="19"/>
      <c r="H26" s="19"/>
      <c r="I26" s="26">
        <v>5724</v>
      </c>
      <c r="J26" s="24">
        <v>0</v>
      </c>
      <c r="K26" s="19"/>
    </row>
    <row r="27" spans="1:11">
      <c r="A27" s="20">
        <v>17</v>
      </c>
      <c r="B27" s="19" t="s">
        <v>296</v>
      </c>
      <c r="C27" s="19"/>
      <c r="D27" s="19"/>
      <c r="E27" s="19"/>
      <c r="F27" s="19"/>
      <c r="G27" s="19"/>
      <c r="H27" s="19"/>
      <c r="I27" s="26">
        <v>1501</v>
      </c>
      <c r="J27" s="24">
        <v>0</v>
      </c>
      <c r="K27" s="19"/>
    </row>
    <row r="28" spans="1:11">
      <c r="A28" s="20">
        <v>18</v>
      </c>
      <c r="B28" s="19" t="s">
        <v>656</v>
      </c>
      <c r="C28" s="19"/>
      <c r="D28" s="19"/>
      <c r="E28" s="19"/>
      <c r="F28" s="19"/>
      <c r="G28" s="19"/>
      <c r="H28" s="19"/>
      <c r="I28" s="26">
        <v>3031</v>
      </c>
      <c r="J28" s="24">
        <v>0</v>
      </c>
      <c r="K28" s="19"/>
    </row>
    <row r="29" spans="1:11">
      <c r="A29" s="20">
        <v>19</v>
      </c>
      <c r="B29" s="19" t="s">
        <v>657</v>
      </c>
      <c r="C29" s="19"/>
      <c r="D29" s="19"/>
      <c r="E29" s="19"/>
      <c r="F29" s="19"/>
      <c r="G29" s="19"/>
      <c r="H29" s="19"/>
      <c r="I29" s="26">
        <v>727</v>
      </c>
      <c r="J29" s="24">
        <v>0</v>
      </c>
      <c r="K29" s="19"/>
    </row>
    <row r="30" spans="1:11">
      <c r="A30" s="20">
        <v>20</v>
      </c>
      <c r="B30" s="19" t="s">
        <v>300</v>
      </c>
      <c r="C30" s="19"/>
      <c r="D30" s="19"/>
      <c r="E30" s="19"/>
      <c r="F30" s="19"/>
      <c r="G30" s="19"/>
      <c r="H30" s="19"/>
      <c r="I30" s="26">
        <v>2333</v>
      </c>
      <c r="J30" s="24">
        <v>0</v>
      </c>
      <c r="K30" s="19"/>
    </row>
    <row r="31" spans="1:11">
      <c r="A31" s="20">
        <v>21</v>
      </c>
      <c r="B31" s="19" t="s">
        <v>297</v>
      </c>
      <c r="C31" s="19"/>
      <c r="D31" s="19"/>
      <c r="E31" s="19" t="s">
        <v>424</v>
      </c>
      <c r="F31" s="19"/>
      <c r="G31" s="19"/>
      <c r="H31" s="19"/>
      <c r="I31" s="26">
        <v>6781</v>
      </c>
      <c r="J31" s="24">
        <v>0</v>
      </c>
      <c r="K31" s="19"/>
    </row>
    <row r="32" spans="1:11">
      <c r="A32" s="20">
        <v>22</v>
      </c>
      <c r="B32" s="19" t="s">
        <v>579</v>
      </c>
      <c r="C32" s="19"/>
      <c r="D32" s="19"/>
      <c r="E32" s="19"/>
      <c r="F32" s="19"/>
      <c r="G32" s="19"/>
      <c r="H32" s="19"/>
      <c r="I32" s="26">
        <v>353</v>
      </c>
      <c r="J32" s="24">
        <v>0</v>
      </c>
      <c r="K32" s="19"/>
    </row>
    <row r="33" spans="1:11">
      <c r="A33" s="20">
        <v>23</v>
      </c>
      <c r="B33" s="19" t="s">
        <v>298</v>
      </c>
      <c r="C33" s="19"/>
      <c r="D33" s="19"/>
      <c r="E33" s="19"/>
      <c r="F33" s="19"/>
      <c r="G33" s="19"/>
      <c r="H33" s="19"/>
      <c r="I33" s="26">
        <v>21319</v>
      </c>
      <c r="J33" s="24">
        <v>0</v>
      </c>
      <c r="K33" s="19"/>
    </row>
    <row r="34" spans="1:11">
      <c r="A34" s="20">
        <v>24</v>
      </c>
      <c r="B34" s="19" t="s">
        <v>598</v>
      </c>
      <c r="C34" s="19"/>
      <c r="D34" s="19"/>
      <c r="E34" s="19"/>
      <c r="F34" s="19"/>
      <c r="G34" s="19"/>
      <c r="H34" s="19"/>
      <c r="I34" s="26">
        <v>10038</v>
      </c>
      <c r="J34" s="24">
        <v>0</v>
      </c>
      <c r="K34" s="19"/>
    </row>
    <row r="35" spans="1:11">
      <c r="A35" s="20">
        <v>25</v>
      </c>
      <c r="B35" s="19" t="s">
        <v>659</v>
      </c>
      <c r="C35" s="19"/>
      <c r="D35" s="19"/>
      <c r="E35" s="19"/>
      <c r="F35" s="19"/>
      <c r="G35" s="19"/>
      <c r="H35" s="19"/>
      <c r="I35" s="26">
        <v>966</v>
      </c>
      <c r="J35" s="24">
        <v>0</v>
      </c>
      <c r="K35" s="19"/>
    </row>
    <row r="36" spans="1:11">
      <c r="A36" s="20">
        <v>26</v>
      </c>
      <c r="B36" s="19" t="s">
        <v>658</v>
      </c>
      <c r="C36" s="19"/>
      <c r="D36" s="19"/>
      <c r="E36" s="19"/>
      <c r="F36" s="19"/>
      <c r="G36" s="19"/>
      <c r="H36" s="19"/>
      <c r="I36" s="26">
        <v>2678</v>
      </c>
      <c r="J36" s="24">
        <v>0</v>
      </c>
      <c r="K36" s="19"/>
    </row>
    <row r="37" spans="1:11">
      <c r="A37" s="20">
        <v>27</v>
      </c>
      <c r="B37" s="19" t="s">
        <v>301</v>
      </c>
      <c r="C37" s="19"/>
      <c r="D37" s="19"/>
      <c r="E37" s="19"/>
      <c r="F37" s="19"/>
      <c r="G37" s="19"/>
      <c r="H37" s="19"/>
      <c r="I37" s="27">
        <v>21246</v>
      </c>
      <c r="J37" s="24">
        <v>0</v>
      </c>
      <c r="K37" s="19"/>
    </row>
    <row r="38" spans="1:11">
      <c r="A38" s="20">
        <v>28</v>
      </c>
      <c r="B38" s="19" t="s">
        <v>663</v>
      </c>
      <c r="C38" s="19"/>
      <c r="D38" s="19"/>
      <c r="E38" s="19"/>
      <c r="F38" s="19"/>
      <c r="G38" s="19"/>
      <c r="H38" s="19"/>
      <c r="I38" s="28"/>
      <c r="J38" s="29">
        <v>1360772</v>
      </c>
      <c r="K38" s="19"/>
    </row>
    <row r="39" spans="1:11" ht="15.75">
      <c r="A39" s="20">
        <v>29</v>
      </c>
      <c r="B39" s="19"/>
      <c r="C39" s="19" t="s">
        <v>661</v>
      </c>
      <c r="D39" s="19"/>
      <c r="E39" s="19"/>
      <c r="F39" s="19"/>
      <c r="G39" s="19"/>
      <c r="H39" s="19"/>
      <c r="I39" s="26">
        <f>SUM(I12:I37)</f>
        <v>340486</v>
      </c>
      <c r="J39" s="30">
        <f>SUM(J12:J38)</f>
        <v>1360772</v>
      </c>
      <c r="K39" s="19"/>
    </row>
    <row r="40" spans="1:11">
      <c r="A40" s="20"/>
      <c r="B40" s="19"/>
      <c r="C40" s="19"/>
      <c r="D40" s="19"/>
      <c r="E40" s="19"/>
      <c r="F40" s="19"/>
      <c r="G40" s="19"/>
      <c r="H40" s="19"/>
      <c r="I40" s="31"/>
      <c r="J40" s="32"/>
      <c r="K40" s="19"/>
    </row>
    <row r="41" spans="1:11" ht="15.75">
      <c r="A41" s="20">
        <v>30</v>
      </c>
      <c r="B41" s="19" t="s">
        <v>512</v>
      </c>
      <c r="C41" s="19"/>
      <c r="D41" s="19"/>
      <c r="E41" s="19"/>
      <c r="F41" s="19"/>
      <c r="G41" s="19"/>
      <c r="H41" s="19"/>
      <c r="I41" s="26"/>
      <c r="J41" s="32"/>
      <c r="K41" s="151">
        <f>J39</f>
        <v>1360772</v>
      </c>
    </row>
    <row r="42" spans="1:11" ht="15.75">
      <c r="A42" s="19"/>
      <c r="B42" s="22"/>
      <c r="C42" s="19" t="s">
        <v>662</v>
      </c>
      <c r="D42" s="19"/>
      <c r="E42" s="19"/>
      <c r="F42" s="19"/>
      <c r="G42" s="19"/>
      <c r="H42" s="19"/>
      <c r="I42" s="19"/>
      <c r="J42" s="19"/>
      <c r="K42" s="19"/>
    </row>
    <row r="43" spans="1:11" ht="15.75">
      <c r="A43" s="20">
        <v>31</v>
      </c>
      <c r="B43" s="19" t="s">
        <v>513</v>
      </c>
      <c r="C43" s="19"/>
      <c r="D43" s="19"/>
      <c r="E43" s="19"/>
      <c r="F43" s="19"/>
      <c r="G43" s="19"/>
      <c r="H43" s="19"/>
      <c r="I43" s="19"/>
      <c r="J43" s="19"/>
      <c r="K43" s="152">
        <f>'Nonlevelized-IOU'!I217</f>
        <v>1023741</v>
      </c>
    </row>
    <row r="44" spans="1:11" ht="15.75">
      <c r="A44" s="20"/>
      <c r="B44" s="22"/>
      <c r="C44" s="19"/>
      <c r="D44" s="19"/>
      <c r="E44" s="19"/>
      <c r="F44" s="19"/>
      <c r="G44" s="19"/>
      <c r="H44" s="19"/>
      <c r="I44" s="19"/>
      <c r="J44" s="19"/>
      <c r="K44" s="19"/>
    </row>
    <row r="45" spans="1:11" ht="15.75">
      <c r="A45" s="20">
        <v>32</v>
      </c>
      <c r="B45" s="19" t="s">
        <v>514</v>
      </c>
      <c r="C45" s="19"/>
      <c r="D45" s="19"/>
      <c r="E45" s="19"/>
      <c r="F45" s="19"/>
      <c r="G45" s="19"/>
      <c r="H45" s="19"/>
      <c r="I45" s="19"/>
      <c r="J45" s="19"/>
      <c r="K45" s="153">
        <f>'Nonlevelized-IOU'!I220</f>
        <v>57184322</v>
      </c>
    </row>
    <row r="46" spans="1:11" ht="15.75">
      <c r="A46" s="19"/>
      <c r="B46" s="22"/>
      <c r="C46" s="19"/>
      <c r="D46" s="19"/>
      <c r="E46" s="19"/>
      <c r="F46" s="19"/>
      <c r="G46" s="19"/>
      <c r="H46" s="19"/>
      <c r="I46" s="19"/>
      <c r="J46" s="19"/>
      <c r="K46" s="19"/>
    </row>
    <row r="47" spans="1:11" ht="16.5" thickBot="1">
      <c r="A47" s="20">
        <v>33</v>
      </c>
      <c r="B47" s="19" t="s">
        <v>665</v>
      </c>
      <c r="C47" s="19"/>
      <c r="D47" s="19"/>
      <c r="E47" s="19"/>
      <c r="F47" s="19"/>
      <c r="G47" s="19"/>
      <c r="H47" s="19"/>
      <c r="I47" s="19"/>
      <c r="J47" s="33"/>
      <c r="K47" s="34">
        <f>K7-K41-K43-K45</f>
        <v>33401598</v>
      </c>
    </row>
    <row r="48" spans="1:11" ht="15.75" thickTop="1">
      <c r="A48" s="19"/>
      <c r="B48" s="19"/>
      <c r="C48" s="19" t="s">
        <v>660</v>
      </c>
      <c r="D48" s="19"/>
      <c r="E48" s="19"/>
      <c r="F48" s="19"/>
      <c r="G48" s="19"/>
      <c r="H48" s="19"/>
      <c r="I48" s="19"/>
      <c r="J48" s="19"/>
      <c r="K48" s="19"/>
    </row>
  </sheetData>
  <pageMargins left="0.7" right="0.7" top="0.75" bottom="0.75" header="0.3" footer="0.3"/>
  <pageSetup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13"/>
  <sheetViews>
    <sheetView zoomScale="80" zoomScaleNormal="80" workbookViewId="0">
      <selection activeCell="C6" sqref="C6:N6"/>
    </sheetView>
  </sheetViews>
  <sheetFormatPr defaultRowHeight="15"/>
  <cols>
    <col min="2" max="2" width="4.77734375" customWidth="1"/>
    <col min="3" max="3" width="10.21875" customWidth="1"/>
    <col min="4" max="4" width="9.8867187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77734375" customWidth="1"/>
    <col min="16" max="16" width="11.109375" customWidth="1"/>
    <col min="17" max="17" width="9.77734375" customWidth="1"/>
  </cols>
  <sheetData>
    <row r="1" spans="1:18" ht="15.75">
      <c r="A1" s="16" t="s">
        <v>279</v>
      </c>
    </row>
    <row r="2" spans="1:18" ht="15.75">
      <c r="A2" s="16" t="s">
        <v>302</v>
      </c>
    </row>
    <row r="3" spans="1:18" ht="15.75">
      <c r="A3" s="16" t="s">
        <v>716</v>
      </c>
    </row>
    <row r="6" spans="1:18">
      <c r="A6" s="15"/>
      <c r="B6" s="15"/>
      <c r="C6" s="37">
        <v>44562</v>
      </c>
      <c r="D6" s="37">
        <v>44593</v>
      </c>
      <c r="E6" s="37">
        <v>44621</v>
      </c>
      <c r="F6" s="37">
        <v>44652</v>
      </c>
      <c r="G6" s="37">
        <v>44682</v>
      </c>
      <c r="H6" s="37">
        <v>44713</v>
      </c>
      <c r="I6" s="37">
        <v>44743</v>
      </c>
      <c r="J6" s="37">
        <v>44774</v>
      </c>
      <c r="K6" s="37">
        <v>44805</v>
      </c>
      <c r="L6" s="37">
        <v>44835</v>
      </c>
      <c r="M6" s="37">
        <v>44866</v>
      </c>
      <c r="N6" s="37">
        <v>44896</v>
      </c>
      <c r="O6" s="15"/>
      <c r="P6" s="38" t="s">
        <v>9</v>
      </c>
      <c r="Q6" s="38"/>
      <c r="R6" s="15"/>
    </row>
    <row r="7" spans="1:18">
      <c r="A7" s="15"/>
      <c r="B7" s="15"/>
      <c r="C7" s="35"/>
      <c r="D7" s="35"/>
      <c r="E7" s="35"/>
      <c r="F7" s="35"/>
      <c r="G7" s="35"/>
      <c r="H7" s="35"/>
      <c r="I7" s="35"/>
      <c r="J7" s="35"/>
      <c r="K7" s="35"/>
      <c r="L7" s="35"/>
      <c r="M7" s="35"/>
      <c r="N7" s="35"/>
      <c r="O7" s="15"/>
      <c r="P7" s="15"/>
      <c r="Q7" s="15"/>
      <c r="R7" s="15"/>
    </row>
    <row r="8" spans="1:18">
      <c r="A8" s="15">
        <v>454042</v>
      </c>
      <c r="B8" s="15"/>
      <c r="C8" s="129">
        <v>8000</v>
      </c>
      <c r="D8" s="129">
        <v>8000</v>
      </c>
      <c r="E8" s="129">
        <v>8000</v>
      </c>
      <c r="F8" s="129">
        <v>189000</v>
      </c>
      <c r="G8" s="129">
        <v>8000</v>
      </c>
      <c r="H8" s="129">
        <v>8000</v>
      </c>
      <c r="I8" s="129">
        <v>8000</v>
      </c>
      <c r="J8" s="129">
        <v>8000</v>
      </c>
      <c r="K8" s="129">
        <v>8000</v>
      </c>
      <c r="L8" s="129">
        <v>8000</v>
      </c>
      <c r="M8" s="129">
        <v>8000</v>
      </c>
      <c r="N8" s="129">
        <v>8000</v>
      </c>
      <c r="O8" s="15"/>
      <c r="P8" s="129">
        <f>SUM(C8:O8)</f>
        <v>277000</v>
      </c>
      <c r="Q8" s="15"/>
      <c r="R8" s="15"/>
    </row>
    <row r="9" spans="1:18">
      <c r="A9" s="15"/>
      <c r="B9" s="15"/>
      <c r="C9" s="36"/>
      <c r="D9" s="36"/>
      <c r="E9" s="36"/>
      <c r="F9" s="36"/>
      <c r="G9" s="36"/>
      <c r="H9" s="36"/>
      <c r="I9" s="36"/>
      <c r="J9" s="36"/>
      <c r="K9" s="36"/>
      <c r="L9" s="36"/>
      <c r="M9" s="36"/>
      <c r="N9" s="36"/>
      <c r="O9" s="15"/>
      <c r="P9" s="36"/>
      <c r="Q9" s="15"/>
      <c r="R9" s="15"/>
    </row>
    <row r="10" spans="1:18">
      <c r="A10" s="15">
        <v>454011</v>
      </c>
      <c r="B10" s="15"/>
      <c r="C10" s="130">
        <v>1250</v>
      </c>
      <c r="D10" s="130">
        <v>1250</v>
      </c>
      <c r="E10" s="130">
        <v>1250</v>
      </c>
      <c r="F10" s="130">
        <v>1250</v>
      </c>
      <c r="G10" s="130">
        <v>1250</v>
      </c>
      <c r="H10" s="130">
        <v>1250</v>
      </c>
      <c r="I10" s="130">
        <v>1250</v>
      </c>
      <c r="J10" s="130">
        <v>1250</v>
      </c>
      <c r="K10" s="130">
        <v>1250</v>
      </c>
      <c r="L10" s="130">
        <v>1250</v>
      </c>
      <c r="M10" s="130">
        <v>1250</v>
      </c>
      <c r="N10" s="130">
        <v>1250</v>
      </c>
      <c r="O10" s="130"/>
      <c r="P10" s="130">
        <f t="shared" ref="P10" si="0">SUM(C10:O10)</f>
        <v>15000</v>
      </c>
      <c r="Q10" s="15"/>
      <c r="R10" s="15"/>
    </row>
    <row r="11" spans="1:18">
      <c r="A11" s="15"/>
      <c r="B11" s="15"/>
      <c r="C11" s="36"/>
      <c r="D11" s="36"/>
      <c r="E11" s="36"/>
      <c r="F11" s="36"/>
      <c r="G11" s="36"/>
      <c r="H11" s="36"/>
      <c r="I11" s="36"/>
      <c r="J11" s="36"/>
      <c r="K11" s="36"/>
      <c r="L11" s="36"/>
      <c r="M11" s="36"/>
      <c r="N11" s="36"/>
      <c r="O11" s="15"/>
      <c r="P11" s="15"/>
      <c r="Q11" s="15"/>
      <c r="R11" s="15"/>
    </row>
    <row r="12" spans="1:18" ht="15.75" thickBot="1">
      <c r="A12" s="38" t="s">
        <v>9</v>
      </c>
      <c r="B12" s="15"/>
      <c r="C12" s="131">
        <f>SUM(C8:C11)</f>
        <v>9250</v>
      </c>
      <c r="D12" s="131">
        <f t="shared" ref="D12:N12" si="1">SUM(D8:D11)</f>
        <v>9250</v>
      </c>
      <c r="E12" s="131">
        <f t="shared" si="1"/>
        <v>9250</v>
      </c>
      <c r="F12" s="131">
        <f t="shared" si="1"/>
        <v>190250</v>
      </c>
      <c r="G12" s="131">
        <f t="shared" si="1"/>
        <v>9250</v>
      </c>
      <c r="H12" s="131">
        <f t="shared" si="1"/>
        <v>9250</v>
      </c>
      <c r="I12" s="131">
        <f t="shared" si="1"/>
        <v>9250</v>
      </c>
      <c r="J12" s="131">
        <f t="shared" si="1"/>
        <v>9250</v>
      </c>
      <c r="K12" s="131">
        <f t="shared" si="1"/>
        <v>9250</v>
      </c>
      <c r="L12" s="131">
        <f t="shared" si="1"/>
        <v>9250</v>
      </c>
      <c r="M12" s="131">
        <f t="shared" si="1"/>
        <v>9250</v>
      </c>
      <c r="N12" s="131">
        <f t="shared" si="1"/>
        <v>9250</v>
      </c>
      <c r="O12" s="130"/>
      <c r="P12" s="131">
        <f>SUM(C12:O12)</f>
        <v>292000</v>
      </c>
      <c r="Q12" s="15"/>
      <c r="R12" s="15"/>
    </row>
    <row r="13" spans="1:18" ht="15.75" thickTop="1"/>
  </sheetData>
  <pageMargins left="0.7" right="0.7" top="0.75" bottom="0.75" header="0.3" footer="0.3"/>
  <pageSetup scale="6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28"/>
  <sheetViews>
    <sheetView zoomScale="90" zoomScaleNormal="90" workbookViewId="0">
      <selection activeCell="C23" sqref="C23"/>
    </sheetView>
  </sheetViews>
  <sheetFormatPr defaultRowHeight="15"/>
  <cols>
    <col min="1" max="1" width="6.77734375" customWidth="1"/>
    <col min="2" max="2" width="12.77734375" customWidth="1"/>
    <col min="3" max="3" width="13.6640625" customWidth="1"/>
    <col min="4" max="4" width="10.77734375" customWidth="1"/>
    <col min="5" max="5" width="11.21875" customWidth="1"/>
    <col min="6" max="7" width="11.33203125" customWidth="1"/>
    <col min="8" max="8" width="13.21875" customWidth="1"/>
    <col min="9" max="9" width="12.77734375" customWidth="1"/>
    <col min="10" max="10" width="12.33203125" bestFit="1" customWidth="1"/>
    <col min="13" max="13" width="12.33203125" bestFit="1" customWidth="1"/>
  </cols>
  <sheetData>
    <row r="1" spans="1:13" ht="15.75">
      <c r="A1" s="39" t="s">
        <v>279</v>
      </c>
    </row>
    <row r="2" spans="1:13" ht="15.75">
      <c r="A2" s="39" t="s">
        <v>415</v>
      </c>
    </row>
    <row r="3" spans="1:13" ht="15.75">
      <c r="A3" s="39" t="s">
        <v>717</v>
      </c>
    </row>
    <row r="5" spans="1:13">
      <c r="C5" s="41" t="s">
        <v>350</v>
      </c>
      <c r="D5" s="41" t="s">
        <v>351</v>
      </c>
      <c r="E5" s="41" t="s">
        <v>356</v>
      </c>
      <c r="F5" s="41" t="s">
        <v>352</v>
      </c>
      <c r="G5" s="41" t="s">
        <v>353</v>
      </c>
      <c r="H5" s="41" t="s">
        <v>354</v>
      </c>
      <c r="I5" s="41" t="s">
        <v>416</v>
      </c>
      <c r="J5" s="41" t="s">
        <v>417</v>
      </c>
    </row>
    <row r="6" spans="1:13">
      <c r="C6" s="41"/>
      <c r="D6" s="41"/>
      <c r="E6" s="41"/>
    </row>
    <row r="7" spans="1:13" ht="15.75">
      <c r="A7" s="61"/>
      <c r="B7" s="78"/>
      <c r="C7" s="112"/>
      <c r="D7" s="102"/>
      <c r="E7" s="102"/>
      <c r="F7" s="102"/>
      <c r="G7" s="102" t="s">
        <v>405</v>
      </c>
      <c r="H7" s="102" t="s">
        <v>408</v>
      </c>
      <c r="I7" s="102" t="s">
        <v>408</v>
      </c>
      <c r="J7" s="84"/>
    </row>
    <row r="8" spans="1:13" ht="15.75">
      <c r="A8" s="64"/>
      <c r="B8" s="12"/>
      <c r="C8" s="14"/>
      <c r="D8" s="60" t="s">
        <v>405</v>
      </c>
      <c r="E8" s="60" t="s">
        <v>405</v>
      </c>
      <c r="F8" s="60" t="s">
        <v>408</v>
      </c>
      <c r="G8" s="60" t="s">
        <v>406</v>
      </c>
      <c r="H8" s="60" t="s">
        <v>409</v>
      </c>
      <c r="I8" s="60" t="s">
        <v>412</v>
      </c>
      <c r="J8" s="13"/>
    </row>
    <row r="9" spans="1:13" ht="15.75">
      <c r="A9" s="76" t="s">
        <v>4</v>
      </c>
      <c r="B9" s="74"/>
      <c r="C9" s="60" t="s">
        <v>401</v>
      </c>
      <c r="D9" s="60" t="s">
        <v>414</v>
      </c>
      <c r="E9" s="60" t="s">
        <v>282</v>
      </c>
      <c r="F9" s="110" t="s">
        <v>403</v>
      </c>
      <c r="G9" s="110" t="s">
        <v>407</v>
      </c>
      <c r="H9" s="110" t="s">
        <v>410</v>
      </c>
      <c r="I9" s="110" t="s">
        <v>413</v>
      </c>
      <c r="J9" s="13"/>
    </row>
    <row r="10" spans="1:13" ht="15.75">
      <c r="A10" s="43" t="s">
        <v>6</v>
      </c>
      <c r="B10" s="68" t="s">
        <v>400</v>
      </c>
      <c r="C10" s="48" t="s">
        <v>402</v>
      </c>
      <c r="D10" s="48" t="s">
        <v>404</v>
      </c>
      <c r="E10" s="48" t="s">
        <v>151</v>
      </c>
      <c r="F10" s="113" t="s">
        <v>404</v>
      </c>
      <c r="G10" s="113" t="s">
        <v>403</v>
      </c>
      <c r="H10" s="113" t="s">
        <v>411</v>
      </c>
      <c r="I10" s="113" t="s">
        <v>404</v>
      </c>
      <c r="J10" s="114" t="s">
        <v>415</v>
      </c>
    </row>
    <row r="11" spans="1:13">
      <c r="A11" s="104">
        <v>1</v>
      </c>
      <c r="B11" s="65">
        <f>'O&amp;M'!B9</f>
        <v>44562</v>
      </c>
      <c r="C11" s="106">
        <v>4305000</v>
      </c>
      <c r="D11" s="106">
        <v>0</v>
      </c>
      <c r="E11" s="130">
        <v>92414</v>
      </c>
      <c r="F11" s="115">
        <v>0</v>
      </c>
      <c r="G11" s="115">
        <v>0</v>
      </c>
      <c r="H11" s="115">
        <v>0</v>
      </c>
      <c r="I11" s="115">
        <v>0</v>
      </c>
      <c r="J11" s="107">
        <f>C11+D11+E11-F11+G11-H11-I11</f>
        <v>4397414</v>
      </c>
      <c r="L11" s="239"/>
      <c r="M11" s="130"/>
    </row>
    <row r="12" spans="1:13">
      <c r="A12" s="105">
        <v>2</v>
      </c>
      <c r="B12" s="66">
        <f>'O&amp;M'!B10</f>
        <v>44593</v>
      </c>
      <c r="C12" s="108">
        <v>4277000</v>
      </c>
      <c r="D12" s="108">
        <v>0</v>
      </c>
      <c r="E12" s="130">
        <v>92805</v>
      </c>
      <c r="F12" s="111">
        <v>0</v>
      </c>
      <c r="G12" s="111">
        <v>0</v>
      </c>
      <c r="H12" s="111">
        <v>0</v>
      </c>
      <c r="I12" s="111">
        <v>0</v>
      </c>
      <c r="J12" s="109">
        <f t="shared" ref="J12:J22" si="0">C12+D12+E12-F12+G12-H12-I12</f>
        <v>4369805</v>
      </c>
      <c r="L12" s="239"/>
      <c r="M12" s="130"/>
    </row>
    <row r="13" spans="1:13">
      <c r="A13" s="105">
        <v>3</v>
      </c>
      <c r="B13" s="66">
        <f>'O&amp;M'!B11</f>
        <v>44621</v>
      </c>
      <c r="C13" s="108">
        <v>3833000</v>
      </c>
      <c r="D13" s="108">
        <v>0</v>
      </c>
      <c r="E13" s="130">
        <v>72020</v>
      </c>
      <c r="F13" s="111">
        <v>0</v>
      </c>
      <c r="G13" s="111">
        <v>0</v>
      </c>
      <c r="H13" s="111">
        <v>0</v>
      </c>
      <c r="I13" s="111">
        <v>0</v>
      </c>
      <c r="J13" s="109">
        <f t="shared" si="0"/>
        <v>3905020</v>
      </c>
      <c r="L13" s="239"/>
      <c r="M13" s="130"/>
    </row>
    <row r="14" spans="1:13">
      <c r="A14" s="105">
        <v>4</v>
      </c>
      <c r="B14" s="66">
        <f>'O&amp;M'!B12</f>
        <v>44652</v>
      </c>
      <c r="C14" s="108">
        <v>3613000</v>
      </c>
      <c r="D14" s="108">
        <v>0</v>
      </c>
      <c r="E14" s="130">
        <v>64316</v>
      </c>
      <c r="F14" s="111">
        <v>0</v>
      </c>
      <c r="G14" s="111">
        <v>0</v>
      </c>
      <c r="H14" s="111">
        <v>0</v>
      </c>
      <c r="I14" s="111">
        <v>0</v>
      </c>
      <c r="J14" s="109">
        <f t="shared" si="0"/>
        <v>3677316</v>
      </c>
      <c r="L14" s="239"/>
      <c r="M14" s="130"/>
    </row>
    <row r="15" spans="1:13">
      <c r="A15" s="105">
        <v>5</v>
      </c>
      <c r="B15" s="66">
        <f>'O&amp;M'!B13</f>
        <v>44682</v>
      </c>
      <c r="C15" s="108">
        <v>4330000</v>
      </c>
      <c r="D15" s="108">
        <v>0</v>
      </c>
      <c r="E15" s="130">
        <v>92545</v>
      </c>
      <c r="F15" s="111">
        <v>0</v>
      </c>
      <c r="G15" s="111">
        <v>0</v>
      </c>
      <c r="H15" s="111">
        <v>0</v>
      </c>
      <c r="I15" s="111">
        <v>0</v>
      </c>
      <c r="J15" s="109">
        <f t="shared" si="0"/>
        <v>4422545</v>
      </c>
      <c r="L15" s="239"/>
      <c r="M15" s="130"/>
    </row>
    <row r="16" spans="1:13">
      <c r="A16" s="105">
        <v>6</v>
      </c>
      <c r="B16" s="66">
        <f>'O&amp;M'!B14</f>
        <v>44713</v>
      </c>
      <c r="C16" s="108">
        <v>4933000</v>
      </c>
      <c r="D16" s="108">
        <v>0</v>
      </c>
      <c r="E16" s="130">
        <v>117487</v>
      </c>
      <c r="F16" s="111">
        <v>0</v>
      </c>
      <c r="G16" s="111">
        <v>0</v>
      </c>
      <c r="H16" s="111">
        <v>0</v>
      </c>
      <c r="I16" s="111">
        <v>0</v>
      </c>
      <c r="J16" s="109">
        <f t="shared" si="0"/>
        <v>5050487</v>
      </c>
      <c r="L16" s="239"/>
      <c r="M16" s="130"/>
    </row>
    <row r="17" spans="1:15">
      <c r="A17" s="105">
        <v>7</v>
      </c>
      <c r="B17" s="66">
        <f>'O&amp;M'!B15</f>
        <v>44743</v>
      </c>
      <c r="C17" s="108">
        <v>5314000</v>
      </c>
      <c r="D17" s="108">
        <v>0</v>
      </c>
      <c r="E17" s="130">
        <v>132483</v>
      </c>
      <c r="F17" s="111">
        <v>0</v>
      </c>
      <c r="G17" s="111">
        <v>0</v>
      </c>
      <c r="H17" s="111">
        <v>0</v>
      </c>
      <c r="I17" s="111">
        <v>0</v>
      </c>
      <c r="J17" s="109">
        <f t="shared" si="0"/>
        <v>5446483</v>
      </c>
      <c r="L17" s="239"/>
      <c r="M17" s="130"/>
    </row>
    <row r="18" spans="1:15">
      <c r="A18" s="105">
        <v>8</v>
      </c>
      <c r="B18" s="66">
        <f>'O&amp;M'!B16</f>
        <v>44774</v>
      </c>
      <c r="C18" s="108">
        <v>5130000</v>
      </c>
      <c r="D18" s="108">
        <v>0</v>
      </c>
      <c r="E18" s="130">
        <v>132427</v>
      </c>
      <c r="F18" s="111">
        <v>0</v>
      </c>
      <c r="G18" s="111">
        <v>0</v>
      </c>
      <c r="H18" s="111">
        <v>0</v>
      </c>
      <c r="I18" s="111">
        <v>0</v>
      </c>
      <c r="J18" s="109">
        <f t="shared" si="0"/>
        <v>5262427</v>
      </c>
      <c r="L18" s="239"/>
      <c r="M18" s="130"/>
    </row>
    <row r="19" spans="1:15">
      <c r="A19" s="105">
        <v>9</v>
      </c>
      <c r="B19" s="66">
        <f>'O&amp;M'!B17</f>
        <v>44805</v>
      </c>
      <c r="C19" s="108">
        <v>4878000</v>
      </c>
      <c r="D19" s="108">
        <v>0</v>
      </c>
      <c r="E19" s="130">
        <v>103617</v>
      </c>
      <c r="F19" s="111">
        <v>0</v>
      </c>
      <c r="G19" s="111">
        <v>0</v>
      </c>
      <c r="H19" s="111">
        <v>0</v>
      </c>
      <c r="I19" s="111">
        <v>0</v>
      </c>
      <c r="J19" s="109">
        <f t="shared" si="0"/>
        <v>4981617</v>
      </c>
      <c r="L19" s="239"/>
      <c r="M19" s="130"/>
    </row>
    <row r="20" spans="1:15">
      <c r="A20" s="105">
        <v>10</v>
      </c>
      <c r="B20" s="66">
        <f>'O&amp;M'!B18</f>
        <v>44835</v>
      </c>
      <c r="C20" s="108">
        <v>3899000</v>
      </c>
      <c r="D20" s="108">
        <v>0</v>
      </c>
      <c r="E20" s="130">
        <v>80585</v>
      </c>
      <c r="F20" s="111">
        <v>0</v>
      </c>
      <c r="G20" s="111">
        <v>0</v>
      </c>
      <c r="H20" s="111">
        <v>0</v>
      </c>
      <c r="I20" s="111">
        <v>0</v>
      </c>
      <c r="J20" s="109">
        <f t="shared" si="0"/>
        <v>3979585</v>
      </c>
      <c r="L20" s="239"/>
      <c r="M20" s="130"/>
    </row>
    <row r="21" spans="1:15">
      <c r="A21" s="105">
        <v>11</v>
      </c>
      <c r="B21" s="66">
        <f>'O&amp;M'!B19</f>
        <v>44866</v>
      </c>
      <c r="C21" s="108">
        <v>4013000</v>
      </c>
      <c r="D21" s="108">
        <v>0</v>
      </c>
      <c r="E21" s="130">
        <v>76103</v>
      </c>
      <c r="F21" s="111">
        <v>0</v>
      </c>
      <c r="G21" s="111">
        <v>0</v>
      </c>
      <c r="H21" s="111">
        <v>0</v>
      </c>
      <c r="I21" s="111">
        <v>0</v>
      </c>
      <c r="J21" s="109">
        <f t="shared" si="0"/>
        <v>4089103</v>
      </c>
      <c r="L21" s="239"/>
      <c r="M21" s="130"/>
    </row>
    <row r="22" spans="1:15" ht="18">
      <c r="A22" s="105">
        <v>12</v>
      </c>
      <c r="B22" s="66">
        <f>'O&amp;M'!B20</f>
        <v>44896</v>
      </c>
      <c r="C22" s="116">
        <v>4174000</v>
      </c>
      <c r="D22" s="116">
        <v>0</v>
      </c>
      <c r="E22" s="116">
        <v>85010</v>
      </c>
      <c r="F22" s="117">
        <v>0</v>
      </c>
      <c r="G22" s="117">
        <v>0</v>
      </c>
      <c r="H22" s="117">
        <v>0</v>
      </c>
      <c r="I22" s="117">
        <v>0</v>
      </c>
      <c r="J22" s="118">
        <f t="shared" si="0"/>
        <v>4259010</v>
      </c>
      <c r="L22" s="240"/>
      <c r="M22" s="130"/>
    </row>
    <row r="23" spans="1:15">
      <c r="A23" s="105">
        <v>13</v>
      </c>
      <c r="B23" s="12"/>
      <c r="C23" s="14"/>
      <c r="D23" s="14"/>
      <c r="E23" s="14"/>
      <c r="F23" s="14"/>
      <c r="G23" s="14"/>
      <c r="H23" s="14"/>
      <c r="I23" s="14"/>
      <c r="J23" s="13"/>
    </row>
    <row r="24" spans="1:15" ht="16.5" thickBot="1">
      <c r="A24" s="105">
        <v>14</v>
      </c>
      <c r="B24" s="74" t="s">
        <v>303</v>
      </c>
      <c r="C24" s="119">
        <f>AVERAGE(C11:C22)</f>
        <v>4391583.333333333</v>
      </c>
      <c r="D24" s="119">
        <f t="shared" ref="D24:J24" si="1">AVERAGE(D11:D22)</f>
        <v>0</v>
      </c>
      <c r="E24" s="119">
        <f t="shared" si="1"/>
        <v>95151</v>
      </c>
      <c r="F24" s="119">
        <f t="shared" si="1"/>
        <v>0</v>
      </c>
      <c r="G24" s="119">
        <f t="shared" si="1"/>
        <v>0</v>
      </c>
      <c r="H24" s="119">
        <f t="shared" si="1"/>
        <v>0</v>
      </c>
      <c r="I24" s="119">
        <f t="shared" si="1"/>
        <v>0</v>
      </c>
      <c r="J24" s="120">
        <f t="shared" si="1"/>
        <v>4486734.333333333</v>
      </c>
    </row>
    <row r="25" spans="1:15" ht="15.75" thickTop="1">
      <c r="A25" s="52"/>
      <c r="B25" s="58"/>
      <c r="C25" s="40"/>
      <c r="D25" s="40"/>
      <c r="E25" s="40"/>
      <c r="F25" s="40"/>
      <c r="G25" s="40"/>
      <c r="H25" s="40"/>
      <c r="I25" s="40"/>
      <c r="J25" s="59"/>
    </row>
    <row r="28" spans="1:15">
      <c r="D28" s="130"/>
      <c r="E28" s="130"/>
      <c r="F28" s="130"/>
      <c r="G28" s="130"/>
      <c r="H28" s="130"/>
      <c r="I28" s="130"/>
      <c r="J28" s="130"/>
      <c r="K28" s="130"/>
      <c r="L28" s="130"/>
      <c r="M28" s="130"/>
      <c r="N28" s="130"/>
      <c r="O28" s="130"/>
    </row>
  </sheetData>
  <pageMargins left="0.7" right="0.7" top="0.75" bottom="0.75" header="0.3" footer="0.3"/>
  <pageSetup scale="8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294E-9252-48A8-A61F-47C3B65DBDFB}">
  <dimension ref="A1:U25"/>
  <sheetViews>
    <sheetView zoomScale="120" zoomScaleNormal="120" workbookViewId="0">
      <pane xSplit="4" ySplit="5" topLeftCell="E9" activePane="bottomRight" state="frozenSplit"/>
      <selection pane="topRight" activeCell="F1" sqref="F1"/>
      <selection pane="bottomLeft" activeCell="A6" sqref="A6"/>
      <selection pane="bottomRight" sqref="A1:XFD1048576"/>
    </sheetView>
  </sheetViews>
  <sheetFormatPr defaultRowHeight="11.25"/>
  <cols>
    <col min="1" max="1" width="1.77734375" style="415" customWidth="1"/>
    <col min="2" max="2" width="10.44140625" style="415" customWidth="1"/>
    <col min="3" max="3" width="6" style="416" bestFit="1" customWidth="1"/>
    <col min="4" max="4" width="8.44140625" style="417" customWidth="1"/>
    <col min="5" max="5" width="8.33203125" style="417" customWidth="1"/>
    <col min="6" max="6" width="6.6640625" style="418" bestFit="1" customWidth="1"/>
    <col min="7" max="7" width="10.44140625" style="417" customWidth="1"/>
    <col min="8" max="15" width="9" style="417" customWidth="1"/>
    <col min="16" max="16" width="8.21875" style="417" customWidth="1"/>
    <col min="17" max="17" width="7.44140625" style="417" customWidth="1"/>
    <col min="18" max="18" width="7.5546875" style="417" customWidth="1"/>
    <col min="19" max="19" width="7.44140625" style="417" customWidth="1"/>
    <col min="20" max="20" width="7.21875" style="417" customWidth="1"/>
    <col min="21" max="21" width="7.6640625" style="417" bestFit="1" customWidth="1"/>
    <col min="22" max="122" width="8.88671875" style="417"/>
    <col min="123" max="123" width="4.44140625" style="417" customWidth="1"/>
    <col min="124" max="124" width="33.33203125" style="417" customWidth="1"/>
    <col min="125" max="125" width="6.44140625" style="417" bestFit="1" customWidth="1"/>
    <col min="126" max="126" width="10.6640625" style="417" bestFit="1" customWidth="1"/>
    <col min="127" max="127" width="6.44140625" style="417" bestFit="1" customWidth="1"/>
    <col min="128" max="128" width="8.109375" style="417" bestFit="1" customWidth="1"/>
    <col min="129" max="172" width="9.5546875" style="417" customWidth="1"/>
    <col min="173" max="173" width="10" style="417" customWidth="1"/>
    <col min="174" max="174" width="9.5546875" style="417" customWidth="1"/>
    <col min="175" max="175" width="10" style="417" bestFit="1" customWidth="1"/>
    <col min="176" max="195" width="12.21875" style="417" customWidth="1"/>
    <col min="196" max="378" width="8.88671875" style="417"/>
    <col min="379" max="379" width="4.44140625" style="417" customWidth="1"/>
    <col min="380" max="380" width="33.33203125" style="417" customWidth="1"/>
    <col min="381" max="381" width="6.44140625" style="417" bestFit="1" customWidth="1"/>
    <col min="382" max="382" width="10.6640625" style="417" bestFit="1" customWidth="1"/>
    <col min="383" max="383" width="6.44140625" style="417" bestFit="1" customWidth="1"/>
    <col min="384" max="384" width="8.109375" style="417" bestFit="1" customWidth="1"/>
    <col min="385" max="428" width="9.5546875" style="417" customWidth="1"/>
    <col min="429" max="429" width="10" style="417" customWidth="1"/>
    <col min="430" max="430" width="9.5546875" style="417" customWidth="1"/>
    <col min="431" max="431" width="10" style="417" bestFit="1" customWidth="1"/>
    <col min="432" max="451" width="12.21875" style="417" customWidth="1"/>
    <col min="452" max="634" width="8.88671875" style="417"/>
    <col min="635" max="635" width="4.44140625" style="417" customWidth="1"/>
    <col min="636" max="636" width="33.33203125" style="417" customWidth="1"/>
    <col min="637" max="637" width="6.44140625" style="417" bestFit="1" customWidth="1"/>
    <col min="638" max="638" width="10.6640625" style="417" bestFit="1" customWidth="1"/>
    <col min="639" max="639" width="6.44140625" style="417" bestFit="1" customWidth="1"/>
    <col min="640" max="640" width="8.109375" style="417" bestFit="1" customWidth="1"/>
    <col min="641" max="684" width="9.5546875" style="417" customWidth="1"/>
    <col min="685" max="685" width="10" style="417" customWidth="1"/>
    <col min="686" max="686" width="9.5546875" style="417" customWidth="1"/>
    <col min="687" max="687" width="10" style="417" bestFit="1" customWidth="1"/>
    <col min="688" max="707" width="12.21875" style="417" customWidth="1"/>
    <col min="708" max="890" width="8.88671875" style="417"/>
    <col min="891" max="891" width="4.44140625" style="417" customWidth="1"/>
    <col min="892" max="892" width="33.33203125" style="417" customWidth="1"/>
    <col min="893" max="893" width="6.44140625" style="417" bestFit="1" customWidth="1"/>
    <col min="894" max="894" width="10.6640625" style="417" bestFit="1" customWidth="1"/>
    <col min="895" max="895" width="6.44140625" style="417" bestFit="1" customWidth="1"/>
    <col min="896" max="896" width="8.109375" style="417" bestFit="1" customWidth="1"/>
    <col min="897" max="940" width="9.5546875" style="417" customWidth="1"/>
    <col min="941" max="941" width="10" style="417" customWidth="1"/>
    <col min="942" max="942" width="9.5546875" style="417" customWidth="1"/>
    <col min="943" max="943" width="10" style="417" bestFit="1" customWidth="1"/>
    <col min="944" max="963" width="12.21875" style="417" customWidth="1"/>
    <col min="964" max="1146" width="8.88671875" style="417"/>
    <col min="1147" max="1147" width="4.44140625" style="417" customWidth="1"/>
    <col min="1148" max="1148" width="33.33203125" style="417" customWidth="1"/>
    <col min="1149" max="1149" width="6.44140625" style="417" bestFit="1" customWidth="1"/>
    <col min="1150" max="1150" width="10.6640625" style="417" bestFit="1" customWidth="1"/>
    <col min="1151" max="1151" width="6.44140625" style="417" bestFit="1" customWidth="1"/>
    <col min="1152" max="1152" width="8.109375" style="417" bestFit="1" customWidth="1"/>
    <col min="1153" max="1196" width="9.5546875" style="417" customWidth="1"/>
    <col min="1197" max="1197" width="10" style="417" customWidth="1"/>
    <col min="1198" max="1198" width="9.5546875" style="417" customWidth="1"/>
    <col min="1199" max="1199" width="10" style="417" bestFit="1" customWidth="1"/>
    <col min="1200" max="1219" width="12.21875" style="417" customWidth="1"/>
    <col min="1220" max="1402" width="8.88671875" style="417"/>
    <col min="1403" max="1403" width="4.44140625" style="417" customWidth="1"/>
    <col min="1404" max="1404" width="33.33203125" style="417" customWidth="1"/>
    <col min="1405" max="1405" width="6.44140625" style="417" bestFit="1" customWidth="1"/>
    <col min="1406" max="1406" width="10.6640625" style="417" bestFit="1" customWidth="1"/>
    <col min="1407" max="1407" width="6.44140625" style="417" bestFit="1" customWidth="1"/>
    <col min="1408" max="1408" width="8.109375" style="417" bestFit="1" customWidth="1"/>
    <col min="1409" max="1452" width="9.5546875" style="417" customWidth="1"/>
    <col min="1453" max="1453" width="10" style="417" customWidth="1"/>
    <col min="1454" max="1454" width="9.5546875" style="417" customWidth="1"/>
    <col min="1455" max="1455" width="10" style="417" bestFit="1" customWidth="1"/>
    <col min="1456" max="1475" width="12.21875" style="417" customWidth="1"/>
    <col min="1476" max="1658" width="8.88671875" style="417"/>
    <col min="1659" max="1659" width="4.44140625" style="417" customWidth="1"/>
    <col min="1660" max="1660" width="33.33203125" style="417" customWidth="1"/>
    <col min="1661" max="1661" width="6.44140625" style="417" bestFit="1" customWidth="1"/>
    <col min="1662" max="1662" width="10.6640625" style="417" bestFit="1" customWidth="1"/>
    <col min="1663" max="1663" width="6.44140625" style="417" bestFit="1" customWidth="1"/>
    <col min="1664" max="1664" width="8.109375" style="417" bestFit="1" customWidth="1"/>
    <col min="1665" max="1708" width="9.5546875" style="417" customWidth="1"/>
    <col min="1709" max="1709" width="10" style="417" customWidth="1"/>
    <col min="1710" max="1710" width="9.5546875" style="417" customWidth="1"/>
    <col min="1711" max="1711" width="10" style="417" bestFit="1" customWidth="1"/>
    <col min="1712" max="1731" width="12.21875" style="417" customWidth="1"/>
    <col min="1732" max="1914" width="8.88671875" style="417"/>
    <col min="1915" max="1915" width="4.44140625" style="417" customWidth="1"/>
    <col min="1916" max="1916" width="33.33203125" style="417" customWidth="1"/>
    <col min="1917" max="1917" width="6.44140625" style="417" bestFit="1" customWidth="1"/>
    <col min="1918" max="1918" width="10.6640625" style="417" bestFit="1" customWidth="1"/>
    <col min="1919" max="1919" width="6.44140625" style="417" bestFit="1" customWidth="1"/>
    <col min="1920" max="1920" width="8.109375" style="417" bestFit="1" customWidth="1"/>
    <col min="1921" max="1964" width="9.5546875" style="417" customWidth="1"/>
    <col min="1965" max="1965" width="10" style="417" customWidth="1"/>
    <col min="1966" max="1966" width="9.5546875" style="417" customWidth="1"/>
    <col min="1967" max="1967" width="10" style="417" bestFit="1" customWidth="1"/>
    <col min="1968" max="1987" width="12.21875" style="417" customWidth="1"/>
    <col min="1988" max="2170" width="8.88671875" style="417"/>
    <col min="2171" max="2171" width="4.44140625" style="417" customWidth="1"/>
    <col min="2172" max="2172" width="33.33203125" style="417" customWidth="1"/>
    <col min="2173" max="2173" width="6.44140625" style="417" bestFit="1" customWidth="1"/>
    <col min="2174" max="2174" width="10.6640625" style="417" bestFit="1" customWidth="1"/>
    <col min="2175" max="2175" width="6.44140625" style="417" bestFit="1" customWidth="1"/>
    <col min="2176" max="2176" width="8.109375" style="417" bestFit="1" customWidth="1"/>
    <col min="2177" max="2220" width="9.5546875" style="417" customWidth="1"/>
    <col min="2221" max="2221" width="10" style="417" customWidth="1"/>
    <col min="2222" max="2222" width="9.5546875" style="417" customWidth="1"/>
    <col min="2223" max="2223" width="10" style="417" bestFit="1" customWidth="1"/>
    <col min="2224" max="2243" width="12.21875" style="417" customWidth="1"/>
    <col min="2244" max="2426" width="8.88671875" style="417"/>
    <col min="2427" max="2427" width="4.44140625" style="417" customWidth="1"/>
    <col min="2428" max="2428" width="33.33203125" style="417" customWidth="1"/>
    <col min="2429" max="2429" width="6.44140625" style="417" bestFit="1" customWidth="1"/>
    <col min="2430" max="2430" width="10.6640625" style="417" bestFit="1" customWidth="1"/>
    <col min="2431" max="2431" width="6.44140625" style="417" bestFit="1" customWidth="1"/>
    <col min="2432" max="2432" width="8.109375" style="417" bestFit="1" customWidth="1"/>
    <col min="2433" max="2476" width="9.5546875" style="417" customWidth="1"/>
    <col min="2477" max="2477" width="10" style="417" customWidth="1"/>
    <col min="2478" max="2478" width="9.5546875" style="417" customWidth="1"/>
    <col min="2479" max="2479" width="10" style="417" bestFit="1" customWidth="1"/>
    <col min="2480" max="2499" width="12.21875" style="417" customWidth="1"/>
    <col min="2500" max="2682" width="8.88671875" style="417"/>
    <col min="2683" max="2683" width="4.44140625" style="417" customWidth="1"/>
    <col min="2684" max="2684" width="33.33203125" style="417" customWidth="1"/>
    <col min="2685" max="2685" width="6.44140625" style="417" bestFit="1" customWidth="1"/>
    <col min="2686" max="2686" width="10.6640625" style="417" bestFit="1" customWidth="1"/>
    <col min="2687" max="2687" width="6.44140625" style="417" bestFit="1" customWidth="1"/>
    <col min="2688" max="2688" width="8.109375" style="417" bestFit="1" customWidth="1"/>
    <col min="2689" max="2732" width="9.5546875" style="417" customWidth="1"/>
    <col min="2733" max="2733" width="10" style="417" customWidth="1"/>
    <col min="2734" max="2734" width="9.5546875" style="417" customWidth="1"/>
    <col min="2735" max="2735" width="10" style="417" bestFit="1" customWidth="1"/>
    <col min="2736" max="2755" width="12.21875" style="417" customWidth="1"/>
    <col min="2756" max="2938" width="8.88671875" style="417"/>
    <col min="2939" max="2939" width="4.44140625" style="417" customWidth="1"/>
    <col min="2940" max="2940" width="33.33203125" style="417" customWidth="1"/>
    <col min="2941" max="2941" width="6.44140625" style="417" bestFit="1" customWidth="1"/>
    <col min="2942" max="2942" width="10.6640625" style="417" bestFit="1" customWidth="1"/>
    <col min="2943" max="2943" width="6.44140625" style="417" bestFit="1" customWidth="1"/>
    <col min="2944" max="2944" width="8.109375" style="417" bestFit="1" customWidth="1"/>
    <col min="2945" max="2988" width="9.5546875" style="417" customWidth="1"/>
    <col min="2989" max="2989" width="10" style="417" customWidth="1"/>
    <col min="2990" max="2990" width="9.5546875" style="417" customWidth="1"/>
    <col min="2991" max="2991" width="10" style="417" bestFit="1" customWidth="1"/>
    <col min="2992" max="3011" width="12.21875" style="417" customWidth="1"/>
    <col min="3012" max="3194" width="8.88671875" style="417"/>
    <col min="3195" max="3195" width="4.44140625" style="417" customWidth="1"/>
    <col min="3196" max="3196" width="33.33203125" style="417" customWidth="1"/>
    <col min="3197" max="3197" width="6.44140625" style="417" bestFit="1" customWidth="1"/>
    <col min="3198" max="3198" width="10.6640625" style="417" bestFit="1" customWidth="1"/>
    <col min="3199" max="3199" width="6.44140625" style="417" bestFit="1" customWidth="1"/>
    <col min="3200" max="3200" width="8.109375" style="417" bestFit="1" customWidth="1"/>
    <col min="3201" max="3244" width="9.5546875" style="417" customWidth="1"/>
    <col min="3245" max="3245" width="10" style="417" customWidth="1"/>
    <col min="3246" max="3246" width="9.5546875" style="417" customWidth="1"/>
    <col min="3247" max="3247" width="10" style="417" bestFit="1" customWidth="1"/>
    <col min="3248" max="3267" width="12.21875" style="417" customWidth="1"/>
    <col min="3268" max="3450" width="8.88671875" style="417"/>
    <col min="3451" max="3451" width="4.44140625" style="417" customWidth="1"/>
    <col min="3452" max="3452" width="33.33203125" style="417" customWidth="1"/>
    <col min="3453" max="3453" width="6.44140625" style="417" bestFit="1" customWidth="1"/>
    <col min="3454" max="3454" width="10.6640625" style="417" bestFit="1" customWidth="1"/>
    <col min="3455" max="3455" width="6.44140625" style="417" bestFit="1" customWidth="1"/>
    <col min="3456" max="3456" width="8.109375" style="417" bestFit="1" customWidth="1"/>
    <col min="3457" max="3500" width="9.5546875" style="417" customWidth="1"/>
    <col min="3501" max="3501" width="10" style="417" customWidth="1"/>
    <col min="3502" max="3502" width="9.5546875" style="417" customWidth="1"/>
    <col min="3503" max="3503" width="10" style="417" bestFit="1" customWidth="1"/>
    <col min="3504" max="3523" width="12.21875" style="417" customWidth="1"/>
    <col min="3524" max="3706" width="8.88671875" style="417"/>
    <col min="3707" max="3707" width="4.44140625" style="417" customWidth="1"/>
    <col min="3708" max="3708" width="33.33203125" style="417" customWidth="1"/>
    <col min="3709" max="3709" width="6.44140625" style="417" bestFit="1" customWidth="1"/>
    <col min="3710" max="3710" width="10.6640625" style="417" bestFit="1" customWidth="1"/>
    <col min="3711" max="3711" width="6.44140625" style="417" bestFit="1" customWidth="1"/>
    <col min="3712" max="3712" width="8.109375" style="417" bestFit="1" customWidth="1"/>
    <col min="3713" max="3756" width="9.5546875" style="417" customWidth="1"/>
    <col min="3757" max="3757" width="10" style="417" customWidth="1"/>
    <col min="3758" max="3758" width="9.5546875" style="417" customWidth="1"/>
    <col min="3759" max="3759" width="10" style="417" bestFit="1" customWidth="1"/>
    <col min="3760" max="3779" width="12.21875" style="417" customWidth="1"/>
    <col min="3780" max="3962" width="8.88671875" style="417"/>
    <col min="3963" max="3963" width="4.44140625" style="417" customWidth="1"/>
    <col min="3964" max="3964" width="33.33203125" style="417" customWidth="1"/>
    <col min="3965" max="3965" width="6.44140625" style="417" bestFit="1" customWidth="1"/>
    <col min="3966" max="3966" width="10.6640625" style="417" bestFit="1" customWidth="1"/>
    <col min="3967" max="3967" width="6.44140625" style="417" bestFit="1" customWidth="1"/>
    <col min="3968" max="3968" width="8.109375" style="417" bestFit="1" customWidth="1"/>
    <col min="3969" max="4012" width="9.5546875" style="417" customWidth="1"/>
    <col min="4013" max="4013" width="10" style="417" customWidth="1"/>
    <col min="4014" max="4014" width="9.5546875" style="417" customWidth="1"/>
    <col min="4015" max="4015" width="10" style="417" bestFit="1" customWidth="1"/>
    <col min="4016" max="4035" width="12.21875" style="417" customWidth="1"/>
    <col min="4036" max="4218" width="8.88671875" style="417"/>
    <col min="4219" max="4219" width="4.44140625" style="417" customWidth="1"/>
    <col min="4220" max="4220" width="33.33203125" style="417" customWidth="1"/>
    <col min="4221" max="4221" width="6.44140625" style="417" bestFit="1" customWidth="1"/>
    <col min="4222" max="4222" width="10.6640625" style="417" bestFit="1" customWidth="1"/>
    <col min="4223" max="4223" width="6.44140625" style="417" bestFit="1" customWidth="1"/>
    <col min="4224" max="4224" width="8.109375" style="417" bestFit="1" customWidth="1"/>
    <col min="4225" max="4268" width="9.5546875" style="417" customWidth="1"/>
    <col min="4269" max="4269" width="10" style="417" customWidth="1"/>
    <col min="4270" max="4270" width="9.5546875" style="417" customWidth="1"/>
    <col min="4271" max="4271" width="10" style="417" bestFit="1" customWidth="1"/>
    <col min="4272" max="4291" width="12.21875" style="417" customWidth="1"/>
    <col min="4292" max="4474" width="8.88671875" style="417"/>
    <col min="4475" max="4475" width="4.44140625" style="417" customWidth="1"/>
    <col min="4476" max="4476" width="33.33203125" style="417" customWidth="1"/>
    <col min="4477" max="4477" width="6.44140625" style="417" bestFit="1" customWidth="1"/>
    <col min="4478" max="4478" width="10.6640625" style="417" bestFit="1" customWidth="1"/>
    <col min="4479" max="4479" width="6.44140625" style="417" bestFit="1" customWidth="1"/>
    <col min="4480" max="4480" width="8.109375" style="417" bestFit="1" customWidth="1"/>
    <col min="4481" max="4524" width="9.5546875" style="417" customWidth="1"/>
    <col min="4525" max="4525" width="10" style="417" customWidth="1"/>
    <col min="4526" max="4526" width="9.5546875" style="417" customWidth="1"/>
    <col min="4527" max="4527" width="10" style="417" bestFit="1" customWidth="1"/>
    <col min="4528" max="4547" width="12.21875" style="417" customWidth="1"/>
    <col min="4548" max="4730" width="8.88671875" style="417"/>
    <col min="4731" max="4731" width="4.44140625" style="417" customWidth="1"/>
    <col min="4732" max="4732" width="33.33203125" style="417" customWidth="1"/>
    <col min="4733" max="4733" width="6.44140625" style="417" bestFit="1" customWidth="1"/>
    <col min="4734" max="4734" width="10.6640625" style="417" bestFit="1" customWidth="1"/>
    <col min="4735" max="4735" width="6.44140625" style="417" bestFit="1" customWidth="1"/>
    <col min="4736" max="4736" width="8.109375" style="417" bestFit="1" customWidth="1"/>
    <col min="4737" max="4780" width="9.5546875" style="417" customWidth="1"/>
    <col min="4781" max="4781" width="10" style="417" customWidth="1"/>
    <col min="4782" max="4782" width="9.5546875" style="417" customWidth="1"/>
    <col min="4783" max="4783" width="10" style="417" bestFit="1" customWidth="1"/>
    <col min="4784" max="4803" width="12.21875" style="417" customWidth="1"/>
    <col min="4804" max="4986" width="8.88671875" style="417"/>
    <col min="4987" max="4987" width="4.44140625" style="417" customWidth="1"/>
    <col min="4988" max="4988" width="33.33203125" style="417" customWidth="1"/>
    <col min="4989" max="4989" width="6.44140625" style="417" bestFit="1" customWidth="1"/>
    <col min="4990" max="4990" width="10.6640625" style="417" bestFit="1" customWidth="1"/>
    <col min="4991" max="4991" width="6.44140625" style="417" bestFit="1" customWidth="1"/>
    <col min="4992" max="4992" width="8.109375" style="417" bestFit="1" customWidth="1"/>
    <col min="4993" max="5036" width="9.5546875" style="417" customWidth="1"/>
    <col min="5037" max="5037" width="10" style="417" customWidth="1"/>
    <col min="5038" max="5038" width="9.5546875" style="417" customWidth="1"/>
    <col min="5039" max="5039" width="10" style="417" bestFit="1" customWidth="1"/>
    <col min="5040" max="5059" width="12.21875" style="417" customWidth="1"/>
    <col min="5060" max="5242" width="8.88671875" style="417"/>
    <col min="5243" max="5243" width="4.44140625" style="417" customWidth="1"/>
    <col min="5244" max="5244" width="33.33203125" style="417" customWidth="1"/>
    <col min="5245" max="5245" width="6.44140625" style="417" bestFit="1" customWidth="1"/>
    <col min="5246" max="5246" width="10.6640625" style="417" bestFit="1" customWidth="1"/>
    <col min="5247" max="5247" width="6.44140625" style="417" bestFit="1" customWidth="1"/>
    <col min="5248" max="5248" width="8.109375" style="417" bestFit="1" customWidth="1"/>
    <col min="5249" max="5292" width="9.5546875" style="417" customWidth="1"/>
    <col min="5293" max="5293" width="10" style="417" customWidth="1"/>
    <col min="5294" max="5294" width="9.5546875" style="417" customWidth="1"/>
    <col min="5295" max="5295" width="10" style="417" bestFit="1" customWidth="1"/>
    <col min="5296" max="5315" width="12.21875" style="417" customWidth="1"/>
    <col min="5316" max="5498" width="8.88671875" style="417"/>
    <col min="5499" max="5499" width="4.44140625" style="417" customWidth="1"/>
    <col min="5500" max="5500" width="33.33203125" style="417" customWidth="1"/>
    <col min="5501" max="5501" width="6.44140625" style="417" bestFit="1" customWidth="1"/>
    <col min="5502" max="5502" width="10.6640625" style="417" bestFit="1" customWidth="1"/>
    <col min="5503" max="5503" width="6.44140625" style="417" bestFit="1" customWidth="1"/>
    <col min="5504" max="5504" width="8.109375" style="417" bestFit="1" customWidth="1"/>
    <col min="5505" max="5548" width="9.5546875" style="417" customWidth="1"/>
    <col min="5549" max="5549" width="10" style="417" customWidth="1"/>
    <col min="5550" max="5550" width="9.5546875" style="417" customWidth="1"/>
    <col min="5551" max="5551" width="10" style="417" bestFit="1" customWidth="1"/>
    <col min="5552" max="5571" width="12.21875" style="417" customWidth="1"/>
    <col min="5572" max="5754" width="8.88671875" style="417"/>
    <col min="5755" max="5755" width="4.44140625" style="417" customWidth="1"/>
    <col min="5756" max="5756" width="33.33203125" style="417" customWidth="1"/>
    <col min="5757" max="5757" width="6.44140625" style="417" bestFit="1" customWidth="1"/>
    <col min="5758" max="5758" width="10.6640625" style="417" bestFit="1" customWidth="1"/>
    <col min="5759" max="5759" width="6.44140625" style="417" bestFit="1" customWidth="1"/>
    <col min="5760" max="5760" width="8.109375" style="417" bestFit="1" customWidth="1"/>
    <col min="5761" max="5804" width="9.5546875" style="417" customWidth="1"/>
    <col min="5805" max="5805" width="10" style="417" customWidth="1"/>
    <col min="5806" max="5806" width="9.5546875" style="417" customWidth="1"/>
    <col min="5807" max="5807" width="10" style="417" bestFit="1" customWidth="1"/>
    <col min="5808" max="5827" width="12.21875" style="417" customWidth="1"/>
    <col min="5828" max="6010" width="8.88671875" style="417"/>
    <col min="6011" max="6011" width="4.44140625" style="417" customWidth="1"/>
    <col min="6012" max="6012" width="33.33203125" style="417" customWidth="1"/>
    <col min="6013" max="6013" width="6.44140625" style="417" bestFit="1" customWidth="1"/>
    <col min="6014" max="6014" width="10.6640625" style="417" bestFit="1" customWidth="1"/>
    <col min="6015" max="6015" width="6.44140625" style="417" bestFit="1" customWidth="1"/>
    <col min="6016" max="6016" width="8.109375" style="417" bestFit="1" customWidth="1"/>
    <col min="6017" max="6060" width="9.5546875" style="417" customWidth="1"/>
    <col min="6061" max="6061" width="10" style="417" customWidth="1"/>
    <col min="6062" max="6062" width="9.5546875" style="417" customWidth="1"/>
    <col min="6063" max="6063" width="10" style="417" bestFit="1" customWidth="1"/>
    <col min="6064" max="6083" width="12.21875" style="417" customWidth="1"/>
    <col min="6084" max="6266" width="8.88671875" style="417"/>
    <col min="6267" max="6267" width="4.44140625" style="417" customWidth="1"/>
    <col min="6268" max="6268" width="33.33203125" style="417" customWidth="1"/>
    <col min="6269" max="6269" width="6.44140625" style="417" bestFit="1" customWidth="1"/>
    <col min="6270" max="6270" width="10.6640625" style="417" bestFit="1" customWidth="1"/>
    <col min="6271" max="6271" width="6.44140625" style="417" bestFit="1" customWidth="1"/>
    <col min="6272" max="6272" width="8.109375" style="417" bestFit="1" customWidth="1"/>
    <col min="6273" max="6316" width="9.5546875" style="417" customWidth="1"/>
    <col min="6317" max="6317" width="10" style="417" customWidth="1"/>
    <col min="6318" max="6318" width="9.5546875" style="417" customWidth="1"/>
    <col min="6319" max="6319" width="10" style="417" bestFit="1" customWidth="1"/>
    <col min="6320" max="6339" width="12.21875" style="417" customWidth="1"/>
    <col min="6340" max="6522" width="8.88671875" style="417"/>
    <col min="6523" max="6523" width="4.44140625" style="417" customWidth="1"/>
    <col min="6524" max="6524" width="33.33203125" style="417" customWidth="1"/>
    <col min="6525" max="6525" width="6.44140625" style="417" bestFit="1" customWidth="1"/>
    <col min="6526" max="6526" width="10.6640625" style="417" bestFit="1" customWidth="1"/>
    <col min="6527" max="6527" width="6.44140625" style="417" bestFit="1" customWidth="1"/>
    <col min="6528" max="6528" width="8.109375" style="417" bestFit="1" customWidth="1"/>
    <col min="6529" max="6572" width="9.5546875" style="417" customWidth="1"/>
    <col min="6573" max="6573" width="10" style="417" customWidth="1"/>
    <col min="6574" max="6574" width="9.5546875" style="417" customWidth="1"/>
    <col min="6575" max="6575" width="10" style="417" bestFit="1" customWidth="1"/>
    <col min="6576" max="6595" width="12.21875" style="417" customWidth="1"/>
    <col min="6596" max="6778" width="8.88671875" style="417"/>
    <col min="6779" max="6779" width="4.44140625" style="417" customWidth="1"/>
    <col min="6780" max="6780" width="33.33203125" style="417" customWidth="1"/>
    <col min="6781" max="6781" width="6.44140625" style="417" bestFit="1" customWidth="1"/>
    <col min="6782" max="6782" width="10.6640625" style="417" bestFit="1" customWidth="1"/>
    <col min="6783" max="6783" width="6.44140625" style="417" bestFit="1" customWidth="1"/>
    <col min="6784" max="6784" width="8.109375" style="417" bestFit="1" customWidth="1"/>
    <col min="6785" max="6828" width="9.5546875" style="417" customWidth="1"/>
    <col min="6829" max="6829" width="10" style="417" customWidth="1"/>
    <col min="6830" max="6830" width="9.5546875" style="417" customWidth="1"/>
    <col min="6831" max="6831" width="10" style="417" bestFit="1" customWidth="1"/>
    <col min="6832" max="6851" width="12.21875" style="417" customWidth="1"/>
    <col min="6852" max="7034" width="8.88671875" style="417"/>
    <col min="7035" max="7035" width="4.44140625" style="417" customWidth="1"/>
    <col min="7036" max="7036" width="33.33203125" style="417" customWidth="1"/>
    <col min="7037" max="7037" width="6.44140625" style="417" bestFit="1" customWidth="1"/>
    <col min="7038" max="7038" width="10.6640625" style="417" bestFit="1" customWidth="1"/>
    <col min="7039" max="7039" width="6.44140625" style="417" bestFit="1" customWidth="1"/>
    <col min="7040" max="7040" width="8.109375" style="417" bestFit="1" customWidth="1"/>
    <col min="7041" max="7084" width="9.5546875" style="417" customWidth="1"/>
    <col min="7085" max="7085" width="10" style="417" customWidth="1"/>
    <col min="7086" max="7086" width="9.5546875" style="417" customWidth="1"/>
    <col min="7087" max="7087" width="10" style="417" bestFit="1" customWidth="1"/>
    <col min="7088" max="7107" width="12.21875" style="417" customWidth="1"/>
    <col min="7108" max="7290" width="8.88671875" style="417"/>
    <col min="7291" max="7291" width="4.44140625" style="417" customWidth="1"/>
    <col min="7292" max="7292" width="33.33203125" style="417" customWidth="1"/>
    <col min="7293" max="7293" width="6.44140625" style="417" bestFit="1" customWidth="1"/>
    <col min="7294" max="7294" width="10.6640625" style="417" bestFit="1" customWidth="1"/>
    <col min="7295" max="7295" width="6.44140625" style="417" bestFit="1" customWidth="1"/>
    <col min="7296" max="7296" width="8.109375" style="417" bestFit="1" customWidth="1"/>
    <col min="7297" max="7340" width="9.5546875" style="417" customWidth="1"/>
    <col min="7341" max="7341" width="10" style="417" customWidth="1"/>
    <col min="7342" max="7342" width="9.5546875" style="417" customWidth="1"/>
    <col min="7343" max="7343" width="10" style="417" bestFit="1" customWidth="1"/>
    <col min="7344" max="7363" width="12.21875" style="417" customWidth="1"/>
    <col min="7364" max="7546" width="8.88671875" style="417"/>
    <col min="7547" max="7547" width="4.44140625" style="417" customWidth="1"/>
    <col min="7548" max="7548" width="33.33203125" style="417" customWidth="1"/>
    <col min="7549" max="7549" width="6.44140625" style="417" bestFit="1" customWidth="1"/>
    <col min="7550" max="7550" width="10.6640625" style="417" bestFit="1" customWidth="1"/>
    <col min="7551" max="7551" width="6.44140625" style="417" bestFit="1" customWidth="1"/>
    <col min="7552" max="7552" width="8.109375" style="417" bestFit="1" customWidth="1"/>
    <col min="7553" max="7596" width="9.5546875" style="417" customWidth="1"/>
    <col min="7597" max="7597" width="10" style="417" customWidth="1"/>
    <col min="7598" max="7598" width="9.5546875" style="417" customWidth="1"/>
    <col min="7599" max="7599" width="10" style="417" bestFit="1" customWidth="1"/>
    <col min="7600" max="7619" width="12.21875" style="417" customWidth="1"/>
    <col min="7620" max="7802" width="8.88671875" style="417"/>
    <col min="7803" max="7803" width="4.44140625" style="417" customWidth="1"/>
    <col min="7804" max="7804" width="33.33203125" style="417" customWidth="1"/>
    <col min="7805" max="7805" width="6.44140625" style="417" bestFit="1" customWidth="1"/>
    <col min="7806" max="7806" width="10.6640625" style="417" bestFit="1" customWidth="1"/>
    <col min="7807" max="7807" width="6.44140625" style="417" bestFit="1" customWidth="1"/>
    <col min="7808" max="7808" width="8.109375" style="417" bestFit="1" customWidth="1"/>
    <col min="7809" max="7852" width="9.5546875" style="417" customWidth="1"/>
    <col min="7853" max="7853" width="10" style="417" customWidth="1"/>
    <col min="7854" max="7854" width="9.5546875" style="417" customWidth="1"/>
    <col min="7855" max="7855" width="10" style="417" bestFit="1" customWidth="1"/>
    <col min="7856" max="7875" width="12.21875" style="417" customWidth="1"/>
    <col min="7876" max="8058" width="8.88671875" style="417"/>
    <col min="8059" max="8059" width="4.44140625" style="417" customWidth="1"/>
    <col min="8060" max="8060" width="33.33203125" style="417" customWidth="1"/>
    <col min="8061" max="8061" width="6.44140625" style="417" bestFit="1" customWidth="1"/>
    <col min="8062" max="8062" width="10.6640625" style="417" bestFit="1" customWidth="1"/>
    <col min="8063" max="8063" width="6.44140625" style="417" bestFit="1" customWidth="1"/>
    <col min="8064" max="8064" width="8.109375" style="417" bestFit="1" customWidth="1"/>
    <col min="8065" max="8108" width="9.5546875" style="417" customWidth="1"/>
    <col min="8109" max="8109" width="10" style="417" customWidth="1"/>
    <col min="8110" max="8110" width="9.5546875" style="417" customWidth="1"/>
    <col min="8111" max="8111" width="10" style="417" bestFit="1" customWidth="1"/>
    <col min="8112" max="8131" width="12.21875" style="417" customWidth="1"/>
    <col min="8132" max="8314" width="8.88671875" style="417"/>
    <col min="8315" max="8315" width="4.44140625" style="417" customWidth="1"/>
    <col min="8316" max="8316" width="33.33203125" style="417" customWidth="1"/>
    <col min="8317" max="8317" width="6.44140625" style="417" bestFit="1" customWidth="1"/>
    <col min="8318" max="8318" width="10.6640625" style="417" bestFit="1" customWidth="1"/>
    <col min="8319" max="8319" width="6.44140625" style="417" bestFit="1" customWidth="1"/>
    <col min="8320" max="8320" width="8.109375" style="417" bestFit="1" customWidth="1"/>
    <col min="8321" max="8364" width="9.5546875" style="417" customWidth="1"/>
    <col min="8365" max="8365" width="10" style="417" customWidth="1"/>
    <col min="8366" max="8366" width="9.5546875" style="417" customWidth="1"/>
    <col min="8367" max="8367" width="10" style="417" bestFit="1" customWidth="1"/>
    <col min="8368" max="8387" width="12.21875" style="417" customWidth="1"/>
    <col min="8388" max="8570" width="8.88671875" style="417"/>
    <col min="8571" max="8571" width="4.44140625" style="417" customWidth="1"/>
    <col min="8572" max="8572" width="33.33203125" style="417" customWidth="1"/>
    <col min="8573" max="8573" width="6.44140625" style="417" bestFit="1" customWidth="1"/>
    <col min="8574" max="8574" width="10.6640625" style="417" bestFit="1" customWidth="1"/>
    <col min="8575" max="8575" width="6.44140625" style="417" bestFit="1" customWidth="1"/>
    <col min="8576" max="8576" width="8.109375" style="417" bestFit="1" customWidth="1"/>
    <col min="8577" max="8620" width="9.5546875" style="417" customWidth="1"/>
    <col min="8621" max="8621" width="10" style="417" customWidth="1"/>
    <col min="8622" max="8622" width="9.5546875" style="417" customWidth="1"/>
    <col min="8623" max="8623" width="10" style="417" bestFit="1" customWidth="1"/>
    <col min="8624" max="8643" width="12.21875" style="417" customWidth="1"/>
    <col min="8644" max="8826" width="8.88671875" style="417"/>
    <col min="8827" max="8827" width="4.44140625" style="417" customWidth="1"/>
    <col min="8828" max="8828" width="33.33203125" style="417" customWidth="1"/>
    <col min="8829" max="8829" width="6.44140625" style="417" bestFit="1" customWidth="1"/>
    <col min="8830" max="8830" width="10.6640625" style="417" bestFit="1" customWidth="1"/>
    <col min="8831" max="8831" width="6.44140625" style="417" bestFit="1" customWidth="1"/>
    <col min="8832" max="8832" width="8.109375" style="417" bestFit="1" customWidth="1"/>
    <col min="8833" max="8876" width="9.5546875" style="417" customWidth="1"/>
    <col min="8877" max="8877" width="10" style="417" customWidth="1"/>
    <col min="8878" max="8878" width="9.5546875" style="417" customWidth="1"/>
    <col min="8879" max="8879" width="10" style="417" bestFit="1" customWidth="1"/>
    <col min="8880" max="8899" width="12.21875" style="417" customWidth="1"/>
    <col min="8900" max="9082" width="8.88671875" style="417"/>
    <col min="9083" max="9083" width="4.44140625" style="417" customWidth="1"/>
    <col min="9084" max="9084" width="33.33203125" style="417" customWidth="1"/>
    <col min="9085" max="9085" width="6.44140625" style="417" bestFit="1" customWidth="1"/>
    <col min="9086" max="9086" width="10.6640625" style="417" bestFit="1" customWidth="1"/>
    <col min="9087" max="9087" width="6.44140625" style="417" bestFit="1" customWidth="1"/>
    <col min="9088" max="9088" width="8.109375" style="417" bestFit="1" customWidth="1"/>
    <col min="9089" max="9132" width="9.5546875" style="417" customWidth="1"/>
    <col min="9133" max="9133" width="10" style="417" customWidth="1"/>
    <col min="9134" max="9134" width="9.5546875" style="417" customWidth="1"/>
    <col min="9135" max="9135" width="10" style="417" bestFit="1" customWidth="1"/>
    <col min="9136" max="9155" width="12.21875" style="417" customWidth="1"/>
    <col min="9156" max="9338" width="8.88671875" style="417"/>
    <col min="9339" max="9339" width="4.44140625" style="417" customWidth="1"/>
    <col min="9340" max="9340" width="33.33203125" style="417" customWidth="1"/>
    <col min="9341" max="9341" width="6.44140625" style="417" bestFit="1" customWidth="1"/>
    <col min="9342" max="9342" width="10.6640625" style="417" bestFit="1" customWidth="1"/>
    <col min="9343" max="9343" width="6.44140625" style="417" bestFit="1" customWidth="1"/>
    <col min="9344" max="9344" width="8.109375" style="417" bestFit="1" customWidth="1"/>
    <col min="9345" max="9388" width="9.5546875" style="417" customWidth="1"/>
    <col min="9389" max="9389" width="10" style="417" customWidth="1"/>
    <col min="9390" max="9390" width="9.5546875" style="417" customWidth="1"/>
    <col min="9391" max="9391" width="10" style="417" bestFit="1" customWidth="1"/>
    <col min="9392" max="9411" width="12.21875" style="417" customWidth="1"/>
    <col min="9412" max="9594" width="8.88671875" style="417"/>
    <col min="9595" max="9595" width="4.44140625" style="417" customWidth="1"/>
    <col min="9596" max="9596" width="33.33203125" style="417" customWidth="1"/>
    <col min="9597" max="9597" width="6.44140625" style="417" bestFit="1" customWidth="1"/>
    <col min="9598" max="9598" width="10.6640625" style="417" bestFit="1" customWidth="1"/>
    <col min="9599" max="9599" width="6.44140625" style="417" bestFit="1" customWidth="1"/>
    <col min="9600" max="9600" width="8.109375" style="417" bestFit="1" customWidth="1"/>
    <col min="9601" max="9644" width="9.5546875" style="417" customWidth="1"/>
    <col min="9645" max="9645" width="10" style="417" customWidth="1"/>
    <col min="9646" max="9646" width="9.5546875" style="417" customWidth="1"/>
    <col min="9647" max="9647" width="10" style="417" bestFit="1" customWidth="1"/>
    <col min="9648" max="9667" width="12.21875" style="417" customWidth="1"/>
    <col min="9668" max="9850" width="8.88671875" style="417"/>
    <col min="9851" max="9851" width="4.44140625" style="417" customWidth="1"/>
    <col min="9852" max="9852" width="33.33203125" style="417" customWidth="1"/>
    <col min="9853" max="9853" width="6.44140625" style="417" bestFit="1" customWidth="1"/>
    <col min="9854" max="9854" width="10.6640625" style="417" bestFit="1" customWidth="1"/>
    <col min="9855" max="9855" width="6.44140625" style="417" bestFit="1" customWidth="1"/>
    <col min="9856" max="9856" width="8.109375" style="417" bestFit="1" customWidth="1"/>
    <col min="9857" max="9900" width="9.5546875" style="417" customWidth="1"/>
    <col min="9901" max="9901" width="10" style="417" customWidth="1"/>
    <col min="9902" max="9902" width="9.5546875" style="417" customWidth="1"/>
    <col min="9903" max="9903" width="10" style="417" bestFit="1" customWidth="1"/>
    <col min="9904" max="9923" width="12.21875" style="417" customWidth="1"/>
    <col min="9924" max="10106" width="8.88671875" style="417"/>
    <col min="10107" max="10107" width="4.44140625" style="417" customWidth="1"/>
    <col min="10108" max="10108" width="33.33203125" style="417" customWidth="1"/>
    <col min="10109" max="10109" width="6.44140625" style="417" bestFit="1" customWidth="1"/>
    <col min="10110" max="10110" width="10.6640625" style="417" bestFit="1" customWidth="1"/>
    <col min="10111" max="10111" width="6.44140625" style="417" bestFit="1" customWidth="1"/>
    <col min="10112" max="10112" width="8.109375" style="417" bestFit="1" customWidth="1"/>
    <col min="10113" max="10156" width="9.5546875" style="417" customWidth="1"/>
    <col min="10157" max="10157" width="10" style="417" customWidth="1"/>
    <col min="10158" max="10158" width="9.5546875" style="417" customWidth="1"/>
    <col min="10159" max="10159" width="10" style="417" bestFit="1" customWidth="1"/>
    <col min="10160" max="10179" width="12.21875" style="417" customWidth="1"/>
    <col min="10180" max="10362" width="8.88671875" style="417"/>
    <col min="10363" max="10363" width="4.44140625" style="417" customWidth="1"/>
    <col min="10364" max="10364" width="33.33203125" style="417" customWidth="1"/>
    <col min="10365" max="10365" width="6.44140625" style="417" bestFit="1" customWidth="1"/>
    <col min="10366" max="10366" width="10.6640625" style="417" bestFit="1" customWidth="1"/>
    <col min="10367" max="10367" width="6.44140625" style="417" bestFit="1" customWidth="1"/>
    <col min="10368" max="10368" width="8.109375" style="417" bestFit="1" customWidth="1"/>
    <col min="10369" max="10412" width="9.5546875" style="417" customWidth="1"/>
    <col min="10413" max="10413" width="10" style="417" customWidth="1"/>
    <col min="10414" max="10414" width="9.5546875" style="417" customWidth="1"/>
    <col min="10415" max="10415" width="10" style="417" bestFit="1" customWidth="1"/>
    <col min="10416" max="10435" width="12.21875" style="417" customWidth="1"/>
    <col min="10436" max="10618" width="8.88671875" style="417"/>
    <col min="10619" max="10619" width="4.44140625" style="417" customWidth="1"/>
    <col min="10620" max="10620" width="33.33203125" style="417" customWidth="1"/>
    <col min="10621" max="10621" width="6.44140625" style="417" bestFit="1" customWidth="1"/>
    <col min="10622" max="10622" width="10.6640625" style="417" bestFit="1" customWidth="1"/>
    <col min="10623" max="10623" width="6.44140625" style="417" bestFit="1" customWidth="1"/>
    <col min="10624" max="10624" width="8.109375" style="417" bestFit="1" customWidth="1"/>
    <col min="10625" max="10668" width="9.5546875" style="417" customWidth="1"/>
    <col min="10669" max="10669" width="10" style="417" customWidth="1"/>
    <col min="10670" max="10670" width="9.5546875" style="417" customWidth="1"/>
    <col min="10671" max="10671" width="10" style="417" bestFit="1" customWidth="1"/>
    <col min="10672" max="10691" width="12.21875" style="417" customWidth="1"/>
    <col min="10692" max="10874" width="8.88671875" style="417"/>
    <col min="10875" max="10875" width="4.44140625" style="417" customWidth="1"/>
    <col min="10876" max="10876" width="33.33203125" style="417" customWidth="1"/>
    <col min="10877" max="10877" width="6.44140625" style="417" bestFit="1" customWidth="1"/>
    <col min="10878" max="10878" width="10.6640625" style="417" bestFit="1" customWidth="1"/>
    <col min="10879" max="10879" width="6.44140625" style="417" bestFit="1" customWidth="1"/>
    <col min="10880" max="10880" width="8.109375" style="417" bestFit="1" customWidth="1"/>
    <col min="10881" max="10924" width="9.5546875" style="417" customWidth="1"/>
    <col min="10925" max="10925" width="10" style="417" customWidth="1"/>
    <col min="10926" max="10926" width="9.5546875" style="417" customWidth="1"/>
    <col min="10927" max="10927" width="10" style="417" bestFit="1" customWidth="1"/>
    <col min="10928" max="10947" width="12.21875" style="417" customWidth="1"/>
    <col min="10948" max="11130" width="8.88671875" style="417"/>
    <col min="11131" max="11131" width="4.44140625" style="417" customWidth="1"/>
    <col min="11132" max="11132" width="33.33203125" style="417" customWidth="1"/>
    <col min="11133" max="11133" width="6.44140625" style="417" bestFit="1" customWidth="1"/>
    <col min="11134" max="11134" width="10.6640625" style="417" bestFit="1" customWidth="1"/>
    <col min="11135" max="11135" width="6.44140625" style="417" bestFit="1" customWidth="1"/>
    <col min="11136" max="11136" width="8.109375" style="417" bestFit="1" customWidth="1"/>
    <col min="11137" max="11180" width="9.5546875" style="417" customWidth="1"/>
    <col min="11181" max="11181" width="10" style="417" customWidth="1"/>
    <col min="11182" max="11182" width="9.5546875" style="417" customWidth="1"/>
    <col min="11183" max="11183" width="10" style="417" bestFit="1" customWidth="1"/>
    <col min="11184" max="11203" width="12.21875" style="417" customWidth="1"/>
    <col min="11204" max="11386" width="8.88671875" style="417"/>
    <col min="11387" max="11387" width="4.44140625" style="417" customWidth="1"/>
    <col min="11388" max="11388" width="33.33203125" style="417" customWidth="1"/>
    <col min="11389" max="11389" width="6.44140625" style="417" bestFit="1" customWidth="1"/>
    <col min="11390" max="11390" width="10.6640625" style="417" bestFit="1" customWidth="1"/>
    <col min="11391" max="11391" width="6.44140625" style="417" bestFit="1" customWidth="1"/>
    <col min="11392" max="11392" width="8.109375" style="417" bestFit="1" customWidth="1"/>
    <col min="11393" max="11436" width="9.5546875" style="417" customWidth="1"/>
    <col min="11437" max="11437" width="10" style="417" customWidth="1"/>
    <col min="11438" max="11438" width="9.5546875" style="417" customWidth="1"/>
    <col min="11439" max="11439" width="10" style="417" bestFit="1" customWidth="1"/>
    <col min="11440" max="11459" width="12.21875" style="417" customWidth="1"/>
    <col min="11460" max="11642" width="8.88671875" style="417"/>
    <col min="11643" max="11643" width="4.44140625" style="417" customWidth="1"/>
    <col min="11644" max="11644" width="33.33203125" style="417" customWidth="1"/>
    <col min="11645" max="11645" width="6.44140625" style="417" bestFit="1" customWidth="1"/>
    <col min="11646" max="11646" width="10.6640625" style="417" bestFit="1" customWidth="1"/>
    <col min="11647" max="11647" width="6.44140625" style="417" bestFit="1" customWidth="1"/>
    <col min="11648" max="11648" width="8.109375" style="417" bestFit="1" customWidth="1"/>
    <col min="11649" max="11692" width="9.5546875" style="417" customWidth="1"/>
    <col min="11693" max="11693" width="10" style="417" customWidth="1"/>
    <col min="11694" max="11694" width="9.5546875" style="417" customWidth="1"/>
    <col min="11695" max="11695" width="10" style="417" bestFit="1" customWidth="1"/>
    <col min="11696" max="11715" width="12.21875" style="417" customWidth="1"/>
    <col min="11716" max="11898" width="8.88671875" style="417"/>
    <col min="11899" max="11899" width="4.44140625" style="417" customWidth="1"/>
    <col min="11900" max="11900" width="33.33203125" style="417" customWidth="1"/>
    <col min="11901" max="11901" width="6.44140625" style="417" bestFit="1" customWidth="1"/>
    <col min="11902" max="11902" width="10.6640625" style="417" bestFit="1" customWidth="1"/>
    <col min="11903" max="11903" width="6.44140625" style="417" bestFit="1" customWidth="1"/>
    <col min="11904" max="11904" width="8.109375" style="417" bestFit="1" customWidth="1"/>
    <col min="11905" max="11948" width="9.5546875" style="417" customWidth="1"/>
    <col min="11949" max="11949" width="10" style="417" customWidth="1"/>
    <col min="11950" max="11950" width="9.5546875" style="417" customWidth="1"/>
    <col min="11951" max="11951" width="10" style="417" bestFit="1" customWidth="1"/>
    <col min="11952" max="11971" width="12.21875" style="417" customWidth="1"/>
    <col min="11972" max="12154" width="8.88671875" style="417"/>
    <col min="12155" max="12155" width="4.44140625" style="417" customWidth="1"/>
    <col min="12156" max="12156" width="33.33203125" style="417" customWidth="1"/>
    <col min="12157" max="12157" width="6.44140625" style="417" bestFit="1" customWidth="1"/>
    <col min="12158" max="12158" width="10.6640625" style="417" bestFit="1" customWidth="1"/>
    <col min="12159" max="12159" width="6.44140625" style="417" bestFit="1" customWidth="1"/>
    <col min="12160" max="12160" width="8.109375" style="417" bestFit="1" customWidth="1"/>
    <col min="12161" max="12204" width="9.5546875" style="417" customWidth="1"/>
    <col min="12205" max="12205" width="10" style="417" customWidth="1"/>
    <col min="12206" max="12206" width="9.5546875" style="417" customWidth="1"/>
    <col min="12207" max="12207" width="10" style="417" bestFit="1" customWidth="1"/>
    <col min="12208" max="12227" width="12.21875" style="417" customWidth="1"/>
    <col min="12228" max="12410" width="8.88671875" style="417"/>
    <col min="12411" max="12411" width="4.44140625" style="417" customWidth="1"/>
    <col min="12412" max="12412" width="33.33203125" style="417" customWidth="1"/>
    <col min="12413" max="12413" width="6.44140625" style="417" bestFit="1" customWidth="1"/>
    <col min="12414" max="12414" width="10.6640625" style="417" bestFit="1" customWidth="1"/>
    <col min="12415" max="12415" width="6.44140625" style="417" bestFit="1" customWidth="1"/>
    <col min="12416" max="12416" width="8.109375" style="417" bestFit="1" customWidth="1"/>
    <col min="12417" max="12460" width="9.5546875" style="417" customWidth="1"/>
    <col min="12461" max="12461" width="10" style="417" customWidth="1"/>
    <col min="12462" max="12462" width="9.5546875" style="417" customWidth="1"/>
    <col min="12463" max="12463" width="10" style="417" bestFit="1" customWidth="1"/>
    <col min="12464" max="12483" width="12.21875" style="417" customWidth="1"/>
    <col min="12484" max="12666" width="8.88671875" style="417"/>
    <col min="12667" max="12667" width="4.44140625" style="417" customWidth="1"/>
    <col min="12668" max="12668" width="33.33203125" style="417" customWidth="1"/>
    <col min="12669" max="12669" width="6.44140625" style="417" bestFit="1" customWidth="1"/>
    <col min="12670" max="12670" width="10.6640625" style="417" bestFit="1" customWidth="1"/>
    <col min="12671" max="12671" width="6.44140625" style="417" bestFit="1" customWidth="1"/>
    <col min="12672" max="12672" width="8.109375" style="417" bestFit="1" customWidth="1"/>
    <col min="12673" max="12716" width="9.5546875" style="417" customWidth="1"/>
    <col min="12717" max="12717" width="10" style="417" customWidth="1"/>
    <col min="12718" max="12718" width="9.5546875" style="417" customWidth="1"/>
    <col min="12719" max="12719" width="10" style="417" bestFit="1" customWidth="1"/>
    <col min="12720" max="12739" width="12.21875" style="417" customWidth="1"/>
    <col min="12740" max="12922" width="8.88671875" style="417"/>
    <col min="12923" max="12923" width="4.44140625" style="417" customWidth="1"/>
    <col min="12924" max="12924" width="33.33203125" style="417" customWidth="1"/>
    <col min="12925" max="12925" width="6.44140625" style="417" bestFit="1" customWidth="1"/>
    <col min="12926" max="12926" width="10.6640625" style="417" bestFit="1" customWidth="1"/>
    <col min="12927" max="12927" width="6.44140625" style="417" bestFit="1" customWidth="1"/>
    <col min="12928" max="12928" width="8.109375" style="417" bestFit="1" customWidth="1"/>
    <col min="12929" max="12972" width="9.5546875" style="417" customWidth="1"/>
    <col min="12973" max="12973" width="10" style="417" customWidth="1"/>
    <col min="12974" max="12974" width="9.5546875" style="417" customWidth="1"/>
    <col min="12975" max="12975" width="10" style="417" bestFit="1" customWidth="1"/>
    <col min="12976" max="12995" width="12.21875" style="417" customWidth="1"/>
    <col min="12996" max="13178" width="8.88671875" style="417"/>
    <col min="13179" max="13179" width="4.44140625" style="417" customWidth="1"/>
    <col min="13180" max="13180" width="33.33203125" style="417" customWidth="1"/>
    <col min="13181" max="13181" width="6.44140625" style="417" bestFit="1" customWidth="1"/>
    <col min="13182" max="13182" width="10.6640625" style="417" bestFit="1" customWidth="1"/>
    <col min="13183" max="13183" width="6.44140625" style="417" bestFit="1" customWidth="1"/>
    <col min="13184" max="13184" width="8.109375" style="417" bestFit="1" customWidth="1"/>
    <col min="13185" max="13228" width="9.5546875" style="417" customWidth="1"/>
    <col min="13229" max="13229" width="10" style="417" customWidth="1"/>
    <col min="13230" max="13230" width="9.5546875" style="417" customWidth="1"/>
    <col min="13231" max="13231" width="10" style="417" bestFit="1" customWidth="1"/>
    <col min="13232" max="13251" width="12.21875" style="417" customWidth="1"/>
    <col min="13252" max="13434" width="8.88671875" style="417"/>
    <col min="13435" max="13435" width="4.44140625" style="417" customWidth="1"/>
    <col min="13436" max="13436" width="33.33203125" style="417" customWidth="1"/>
    <col min="13437" max="13437" width="6.44140625" style="417" bestFit="1" customWidth="1"/>
    <col min="13438" max="13438" width="10.6640625" style="417" bestFit="1" customWidth="1"/>
    <col min="13439" max="13439" width="6.44140625" style="417" bestFit="1" customWidth="1"/>
    <col min="13440" max="13440" width="8.109375" style="417" bestFit="1" customWidth="1"/>
    <col min="13441" max="13484" width="9.5546875" style="417" customWidth="1"/>
    <col min="13485" max="13485" width="10" style="417" customWidth="1"/>
    <col min="13486" max="13486" width="9.5546875" style="417" customWidth="1"/>
    <col min="13487" max="13487" width="10" style="417" bestFit="1" customWidth="1"/>
    <col min="13488" max="13507" width="12.21875" style="417" customWidth="1"/>
    <col min="13508" max="13690" width="8.88671875" style="417"/>
    <col min="13691" max="13691" width="4.44140625" style="417" customWidth="1"/>
    <col min="13692" max="13692" width="33.33203125" style="417" customWidth="1"/>
    <col min="13693" max="13693" width="6.44140625" style="417" bestFit="1" customWidth="1"/>
    <col min="13694" max="13694" width="10.6640625" style="417" bestFit="1" customWidth="1"/>
    <col min="13695" max="13695" width="6.44140625" style="417" bestFit="1" customWidth="1"/>
    <col min="13696" max="13696" width="8.109375" style="417" bestFit="1" customWidth="1"/>
    <col min="13697" max="13740" width="9.5546875" style="417" customWidth="1"/>
    <col min="13741" max="13741" width="10" style="417" customWidth="1"/>
    <col min="13742" max="13742" width="9.5546875" style="417" customWidth="1"/>
    <col min="13743" max="13743" width="10" style="417" bestFit="1" customWidth="1"/>
    <col min="13744" max="13763" width="12.21875" style="417" customWidth="1"/>
    <col min="13764" max="13946" width="8.88671875" style="417"/>
    <col min="13947" max="13947" width="4.44140625" style="417" customWidth="1"/>
    <col min="13948" max="13948" width="33.33203125" style="417" customWidth="1"/>
    <col min="13949" max="13949" width="6.44140625" style="417" bestFit="1" customWidth="1"/>
    <col min="13950" max="13950" width="10.6640625" style="417" bestFit="1" customWidth="1"/>
    <col min="13951" max="13951" width="6.44140625" style="417" bestFit="1" customWidth="1"/>
    <col min="13952" max="13952" width="8.109375" style="417" bestFit="1" customWidth="1"/>
    <col min="13953" max="13996" width="9.5546875" style="417" customWidth="1"/>
    <col min="13997" max="13997" width="10" style="417" customWidth="1"/>
    <col min="13998" max="13998" width="9.5546875" style="417" customWidth="1"/>
    <col min="13999" max="13999" width="10" style="417" bestFit="1" customWidth="1"/>
    <col min="14000" max="14019" width="12.21875" style="417" customWidth="1"/>
    <col min="14020" max="14202" width="8.88671875" style="417"/>
    <col min="14203" max="14203" width="4.44140625" style="417" customWidth="1"/>
    <col min="14204" max="14204" width="33.33203125" style="417" customWidth="1"/>
    <col min="14205" max="14205" width="6.44140625" style="417" bestFit="1" customWidth="1"/>
    <col min="14206" max="14206" width="10.6640625" style="417" bestFit="1" customWidth="1"/>
    <col min="14207" max="14207" width="6.44140625" style="417" bestFit="1" customWidth="1"/>
    <col min="14208" max="14208" width="8.109375" style="417" bestFit="1" customWidth="1"/>
    <col min="14209" max="14252" width="9.5546875" style="417" customWidth="1"/>
    <col min="14253" max="14253" width="10" style="417" customWidth="1"/>
    <col min="14254" max="14254" width="9.5546875" style="417" customWidth="1"/>
    <col min="14255" max="14255" width="10" style="417" bestFit="1" customWidth="1"/>
    <col min="14256" max="14275" width="12.21875" style="417" customWidth="1"/>
    <col min="14276" max="14458" width="8.88671875" style="417"/>
    <col min="14459" max="14459" width="4.44140625" style="417" customWidth="1"/>
    <col min="14460" max="14460" width="33.33203125" style="417" customWidth="1"/>
    <col min="14461" max="14461" width="6.44140625" style="417" bestFit="1" customWidth="1"/>
    <col min="14462" max="14462" width="10.6640625" style="417" bestFit="1" customWidth="1"/>
    <col min="14463" max="14463" width="6.44140625" style="417" bestFit="1" customWidth="1"/>
    <col min="14464" max="14464" width="8.109375" style="417" bestFit="1" customWidth="1"/>
    <col min="14465" max="14508" width="9.5546875" style="417" customWidth="1"/>
    <col min="14509" max="14509" width="10" style="417" customWidth="1"/>
    <col min="14510" max="14510" width="9.5546875" style="417" customWidth="1"/>
    <col min="14511" max="14511" width="10" style="417" bestFit="1" customWidth="1"/>
    <col min="14512" max="14531" width="12.21875" style="417" customWidth="1"/>
    <col min="14532" max="14714" width="8.88671875" style="417"/>
    <col min="14715" max="14715" width="4.44140625" style="417" customWidth="1"/>
    <col min="14716" max="14716" width="33.33203125" style="417" customWidth="1"/>
    <col min="14717" max="14717" width="6.44140625" style="417" bestFit="1" customWidth="1"/>
    <col min="14718" max="14718" width="10.6640625" style="417" bestFit="1" customWidth="1"/>
    <col min="14719" max="14719" width="6.44140625" style="417" bestFit="1" customWidth="1"/>
    <col min="14720" max="14720" width="8.109375" style="417" bestFit="1" customWidth="1"/>
    <col min="14721" max="14764" width="9.5546875" style="417" customWidth="1"/>
    <col min="14765" max="14765" width="10" style="417" customWidth="1"/>
    <col min="14766" max="14766" width="9.5546875" style="417" customWidth="1"/>
    <col min="14767" max="14767" width="10" style="417" bestFit="1" customWidth="1"/>
    <col min="14768" max="14787" width="12.21875" style="417" customWidth="1"/>
    <col min="14788" max="14970" width="8.88671875" style="417"/>
    <col min="14971" max="14971" width="4.44140625" style="417" customWidth="1"/>
    <col min="14972" max="14972" width="33.33203125" style="417" customWidth="1"/>
    <col min="14973" max="14973" width="6.44140625" style="417" bestFit="1" customWidth="1"/>
    <col min="14974" max="14974" width="10.6640625" style="417" bestFit="1" customWidth="1"/>
    <col min="14975" max="14975" width="6.44140625" style="417" bestFit="1" customWidth="1"/>
    <col min="14976" max="14976" width="8.109375" style="417" bestFit="1" customWidth="1"/>
    <col min="14977" max="15020" width="9.5546875" style="417" customWidth="1"/>
    <col min="15021" max="15021" width="10" style="417" customWidth="1"/>
    <col min="15022" max="15022" width="9.5546875" style="417" customWidth="1"/>
    <col min="15023" max="15023" width="10" style="417" bestFit="1" customWidth="1"/>
    <col min="15024" max="15043" width="12.21875" style="417" customWidth="1"/>
    <col min="15044" max="15226" width="8.88671875" style="417"/>
    <col min="15227" max="15227" width="4.44140625" style="417" customWidth="1"/>
    <col min="15228" max="15228" width="33.33203125" style="417" customWidth="1"/>
    <col min="15229" max="15229" width="6.44140625" style="417" bestFit="1" customWidth="1"/>
    <col min="15230" max="15230" width="10.6640625" style="417" bestFit="1" customWidth="1"/>
    <col min="15231" max="15231" width="6.44140625" style="417" bestFit="1" customWidth="1"/>
    <col min="15232" max="15232" width="8.109375" style="417" bestFit="1" customWidth="1"/>
    <col min="15233" max="15276" width="9.5546875" style="417" customWidth="1"/>
    <col min="15277" max="15277" width="10" style="417" customWidth="1"/>
    <col min="15278" max="15278" width="9.5546875" style="417" customWidth="1"/>
    <col min="15279" max="15279" width="10" style="417" bestFit="1" customWidth="1"/>
    <col min="15280" max="15299" width="12.21875" style="417" customWidth="1"/>
    <col min="15300" max="15482" width="8.88671875" style="417"/>
    <col min="15483" max="15483" width="4.44140625" style="417" customWidth="1"/>
    <col min="15484" max="15484" width="33.33203125" style="417" customWidth="1"/>
    <col min="15485" max="15485" width="6.44140625" style="417" bestFit="1" customWidth="1"/>
    <col min="15486" max="15486" width="10.6640625" style="417" bestFit="1" customWidth="1"/>
    <col min="15487" max="15487" width="6.44140625" style="417" bestFit="1" customWidth="1"/>
    <col min="15488" max="15488" width="8.109375" style="417" bestFit="1" customWidth="1"/>
    <col min="15489" max="15532" width="9.5546875" style="417" customWidth="1"/>
    <col min="15533" max="15533" width="10" style="417" customWidth="1"/>
    <col min="15534" max="15534" width="9.5546875" style="417" customWidth="1"/>
    <col min="15535" max="15535" width="10" style="417" bestFit="1" customWidth="1"/>
    <col min="15536" max="15555" width="12.21875" style="417" customWidth="1"/>
    <col min="15556" max="15738" width="8.88671875" style="417"/>
    <col min="15739" max="15739" width="4.44140625" style="417" customWidth="1"/>
    <col min="15740" max="15740" width="33.33203125" style="417" customWidth="1"/>
    <col min="15741" max="15741" width="6.44140625" style="417" bestFit="1" customWidth="1"/>
    <col min="15742" max="15742" width="10.6640625" style="417" bestFit="1" customWidth="1"/>
    <col min="15743" max="15743" width="6.44140625" style="417" bestFit="1" customWidth="1"/>
    <col min="15744" max="15744" width="8.109375" style="417" bestFit="1" customWidth="1"/>
    <col min="15745" max="15788" width="9.5546875" style="417" customWidth="1"/>
    <col min="15789" max="15789" width="10" style="417" customWidth="1"/>
    <col min="15790" max="15790" width="9.5546875" style="417" customWidth="1"/>
    <col min="15791" max="15791" width="10" style="417" bestFit="1" customWidth="1"/>
    <col min="15792" max="15811" width="12.21875" style="417" customWidth="1"/>
    <col min="15812" max="15994" width="8.88671875" style="417"/>
    <col min="15995" max="15995" width="4.44140625" style="417" customWidth="1"/>
    <col min="15996" max="15996" width="33.33203125" style="417" customWidth="1"/>
    <col min="15997" max="15997" width="6.44140625" style="417" bestFit="1" customWidth="1"/>
    <col min="15998" max="15998" width="10.6640625" style="417" bestFit="1" customWidth="1"/>
    <col min="15999" max="15999" width="6.44140625" style="417" bestFit="1" customWidth="1"/>
    <col min="16000" max="16000" width="8.109375" style="417" bestFit="1" customWidth="1"/>
    <col min="16001" max="16044" width="9.5546875" style="417" customWidth="1"/>
    <col min="16045" max="16045" width="10" style="417" customWidth="1"/>
    <col min="16046" max="16046" width="9.5546875" style="417" customWidth="1"/>
    <col min="16047" max="16047" width="10" style="417" bestFit="1" customWidth="1"/>
    <col min="16048" max="16067" width="12.21875" style="417" customWidth="1"/>
    <col min="16068" max="16384" width="8.88671875" style="417"/>
  </cols>
  <sheetData>
    <row r="1" spans="1:21">
      <c r="A1" s="414" t="s">
        <v>677</v>
      </c>
      <c r="G1" s="419" t="s">
        <v>678</v>
      </c>
      <c r="H1" s="420" t="s">
        <v>679</v>
      </c>
      <c r="I1" s="420" t="s">
        <v>680</v>
      </c>
      <c r="J1" s="420" t="s">
        <v>681</v>
      </c>
      <c r="K1" s="420" t="s">
        <v>682</v>
      </c>
      <c r="L1" s="420" t="s">
        <v>683</v>
      </c>
      <c r="M1" s="420"/>
      <c r="N1" s="420"/>
      <c r="O1" s="420" t="s">
        <v>684</v>
      </c>
    </row>
    <row r="2" spans="1:21">
      <c r="A2" s="417"/>
      <c r="B2" s="414"/>
      <c r="D2" s="421"/>
      <c r="G2" s="419" t="s">
        <v>685</v>
      </c>
      <c r="H2" s="422">
        <v>0.80179299999999998</v>
      </c>
      <c r="I2" s="422">
        <v>9.6935999999999994E-2</v>
      </c>
      <c r="J2" s="422">
        <v>9.3799999999999994E-3</v>
      </c>
      <c r="K2" s="422">
        <v>4.7679999999999997E-3</v>
      </c>
      <c r="L2" s="422">
        <v>3.6120000000000002E-3</v>
      </c>
      <c r="M2" s="422">
        <v>0</v>
      </c>
      <c r="N2" s="422">
        <v>0</v>
      </c>
      <c r="O2" s="422">
        <v>6.8250000000000003E-3</v>
      </c>
      <c r="P2" s="423">
        <f>SUM(H2:O2)</f>
        <v>0.92331399999999997</v>
      </c>
      <c r="Q2" s="473" t="s">
        <v>686</v>
      </c>
      <c r="R2" s="473" t="s">
        <v>687</v>
      </c>
      <c r="S2" s="473" t="s">
        <v>688</v>
      </c>
      <c r="T2" s="473" t="s">
        <v>689</v>
      </c>
    </row>
    <row r="3" spans="1:21" ht="18.75" customHeight="1">
      <c r="D3" s="424"/>
      <c r="E3" s="425"/>
      <c r="G3" s="419" t="s">
        <v>599</v>
      </c>
      <c r="H3" s="426">
        <v>9.8000000000000004E-2</v>
      </c>
      <c r="I3" s="426">
        <v>9.5000000000000001E-2</v>
      </c>
      <c r="J3" s="426">
        <v>0.06</v>
      </c>
      <c r="K3" s="426">
        <v>7.0000000000000007E-2</v>
      </c>
      <c r="L3" s="426">
        <v>6.25E-2</v>
      </c>
      <c r="M3" s="426">
        <v>0</v>
      </c>
      <c r="N3" s="426">
        <v>0</v>
      </c>
      <c r="O3" s="426">
        <v>7.8100000000000003E-2</v>
      </c>
      <c r="P3" s="424"/>
      <c r="Q3" s="473"/>
      <c r="R3" s="473"/>
      <c r="S3" s="473"/>
      <c r="T3" s="473"/>
      <c r="U3" s="424"/>
    </row>
    <row r="4" spans="1:21" s="432" customFormat="1" ht="33.75">
      <c r="A4" s="427"/>
      <c r="B4" s="428" t="s">
        <v>690</v>
      </c>
      <c r="C4" s="428"/>
      <c r="D4" s="429"/>
      <c r="E4" s="430"/>
      <c r="F4" s="431" t="s">
        <v>676</v>
      </c>
      <c r="G4" s="430" t="s">
        <v>691</v>
      </c>
      <c r="H4" s="430" t="str">
        <f>"State "&amp;H1&amp;" ADIT @ "&amp;ROUND(H2*H3*100,3)&amp;"%"</f>
        <v>State IA ADIT @ 7.858%</v>
      </c>
      <c r="I4" s="430" t="str">
        <f>"State "&amp;I1&amp;" ADIT @ "&amp;ROUND(I2*I3*100,4)&amp;"%"</f>
        <v>State IL ADIT @ 0.9209%</v>
      </c>
      <c r="J4" s="430" t="str">
        <f>"State "&amp;J1&amp;" ADIT @ "&amp;ROUND(J2*J3*100,3)&amp;"%"</f>
        <v>State MI ADIT @ 0.056%</v>
      </c>
      <c r="K4" s="430" t="str">
        <f>"State "&amp;K1&amp;" ADIT @ "&amp;ROUND(K2*K3*100,3)&amp;"%"</f>
        <v>State KS ADIT @ 0.033%</v>
      </c>
      <c r="L4" s="430" t="str">
        <f>"State "&amp;L1&amp;" ADIT @ "&amp;ROUND(L2*L3*100,3)&amp;"%"</f>
        <v>State MO ADIT @ 0.023%</v>
      </c>
      <c r="M4" s="430" t="str">
        <f>"State "&amp;M1&amp;" ADIT @ "&amp;ROUND(M2*M3*100,3)&amp;"%"</f>
        <v>State  ADIT @ 0%</v>
      </c>
      <c r="N4" s="430" t="str">
        <f>"State "&amp;N1&amp;" ADIT @ "&amp;ROUND(N2*N3*100,3)&amp;"%"</f>
        <v>State  ADIT @ 0%</v>
      </c>
      <c r="O4" s="430" t="str">
        <f t="shared" ref="O4" si="0">"State "&amp;O1&amp;" ADIT @ "&amp;ROUND(O2*O3*100,3)&amp;"%"</f>
        <v>State NE ADIT @ 0.053%</v>
      </c>
      <c r="P4" s="430" t="s">
        <v>692</v>
      </c>
      <c r="Q4" s="430" t="s">
        <v>693</v>
      </c>
      <c r="R4" s="430" t="s">
        <v>693</v>
      </c>
      <c r="S4" s="430" t="s">
        <v>694</v>
      </c>
      <c r="T4" s="430" t="s">
        <v>695</v>
      </c>
      <c r="U4" s="430" t="s">
        <v>696</v>
      </c>
    </row>
    <row r="5" spans="1:21" ht="12" thickBot="1">
      <c r="D5" s="433" t="s">
        <v>697</v>
      </c>
      <c r="E5" s="433" t="s">
        <v>698</v>
      </c>
      <c r="F5" s="434"/>
      <c r="G5" s="433"/>
      <c r="H5" s="433"/>
      <c r="I5" s="433"/>
      <c r="J5" s="433"/>
      <c r="K5" s="433"/>
      <c r="L5" s="433"/>
      <c r="M5" s="433"/>
      <c r="N5" s="433"/>
      <c r="O5" s="433"/>
      <c r="P5" s="433"/>
      <c r="Q5" s="433"/>
      <c r="R5" s="433"/>
      <c r="S5" s="433"/>
      <c r="T5" s="433"/>
      <c r="U5" s="433"/>
    </row>
    <row r="6" spans="1:21">
      <c r="D6" s="421"/>
      <c r="E6" s="421"/>
      <c r="F6" s="435"/>
      <c r="G6" s="421"/>
      <c r="H6" s="421"/>
      <c r="I6" s="421"/>
      <c r="J6" s="421"/>
      <c r="K6" s="421"/>
      <c r="L6" s="421"/>
      <c r="M6" s="421"/>
      <c r="N6" s="421"/>
      <c r="O6" s="421"/>
      <c r="P6" s="421"/>
      <c r="Q6" s="421"/>
      <c r="R6" s="421"/>
      <c r="S6" s="421"/>
      <c r="T6" s="421"/>
      <c r="U6" s="421"/>
    </row>
    <row r="7" spans="1:21">
      <c r="D7" s="421"/>
      <c r="E7" s="421"/>
      <c r="F7" s="435"/>
      <c r="G7" s="421"/>
      <c r="H7" s="421"/>
      <c r="I7" s="421"/>
      <c r="J7" s="421"/>
      <c r="K7" s="421"/>
      <c r="L7" s="421"/>
      <c r="M7" s="421"/>
      <c r="N7" s="421"/>
      <c r="O7" s="421"/>
      <c r="P7" s="421"/>
      <c r="Q7" s="421"/>
      <c r="R7" s="421"/>
      <c r="S7" s="421"/>
      <c r="T7" s="421"/>
      <c r="U7" s="421"/>
    </row>
    <row r="8" spans="1:21">
      <c r="B8" s="415" t="s">
        <v>699</v>
      </c>
      <c r="D8" s="421">
        <v>1000000</v>
      </c>
      <c r="E8" s="421">
        <v>279416.4887435335</v>
      </c>
      <c r="F8" s="435">
        <v>0.27941648874353348</v>
      </c>
      <c r="G8" s="421">
        <v>210000</v>
      </c>
      <c r="H8" s="421">
        <v>78575.714000000007</v>
      </c>
      <c r="I8" s="421">
        <v>9208.92</v>
      </c>
      <c r="J8" s="421">
        <v>562.80000000000007</v>
      </c>
      <c r="K8" s="421">
        <v>333.76</v>
      </c>
      <c r="L8" s="421">
        <v>225.75</v>
      </c>
      <c r="M8" s="421">
        <v>0</v>
      </c>
      <c r="N8" s="421">
        <v>0</v>
      </c>
      <c r="O8" s="421">
        <v>533.03300000000002</v>
      </c>
      <c r="P8" s="421">
        <v>-18453</v>
      </c>
      <c r="Q8" s="421">
        <v>0</v>
      </c>
      <c r="R8" s="421">
        <v>-792.53932995240245</v>
      </c>
      <c r="S8" s="421">
        <v>-731.11163325541884</v>
      </c>
      <c r="T8" s="421">
        <v>-46.837293258687517</v>
      </c>
      <c r="U8" s="421">
        <v>0</v>
      </c>
    </row>
    <row r="9" spans="1:21" ht="6" customHeight="1">
      <c r="D9" s="436"/>
      <c r="E9" s="436"/>
      <c r="F9" s="435"/>
      <c r="G9" s="421"/>
      <c r="H9" s="421"/>
      <c r="I9" s="421"/>
      <c r="J9" s="421"/>
      <c r="K9" s="421"/>
      <c r="L9" s="421"/>
      <c r="M9" s="421"/>
      <c r="N9" s="421"/>
      <c r="O9" s="421"/>
      <c r="P9" s="421"/>
      <c r="Q9" s="421"/>
      <c r="R9" s="421"/>
      <c r="S9" s="421"/>
      <c r="T9" s="421"/>
      <c r="U9" s="421"/>
    </row>
    <row r="10" spans="1:21">
      <c r="D10" s="437">
        <v>1000000</v>
      </c>
      <c r="E10" s="437">
        <v>279416.4887435335</v>
      </c>
      <c r="F10" s="435"/>
      <c r="G10" s="437">
        <v>210000</v>
      </c>
      <c r="H10" s="437">
        <v>78575.714000000007</v>
      </c>
      <c r="I10" s="437">
        <v>9208.92</v>
      </c>
      <c r="J10" s="437">
        <v>562.80000000000007</v>
      </c>
      <c r="K10" s="437">
        <v>333.76</v>
      </c>
      <c r="L10" s="437">
        <v>225.75</v>
      </c>
      <c r="M10" s="437">
        <v>0</v>
      </c>
      <c r="N10" s="437">
        <v>0</v>
      </c>
      <c r="O10" s="437">
        <v>533.03300000000002</v>
      </c>
      <c r="P10" s="437">
        <v>-18453</v>
      </c>
      <c r="Q10" s="437">
        <v>0</v>
      </c>
      <c r="R10" s="437">
        <v>-792.53932995240245</v>
      </c>
      <c r="S10" s="437">
        <v>-731.11163325541884</v>
      </c>
      <c r="T10" s="437">
        <v>-46.837293258687517</v>
      </c>
      <c r="U10" s="437">
        <v>0</v>
      </c>
    </row>
    <row r="11" spans="1:21">
      <c r="G11" s="243">
        <v>0.21</v>
      </c>
      <c r="H11" s="243">
        <v>7.8575714000000005E-2</v>
      </c>
      <c r="I11" s="243">
        <v>9.2089200000000006E-3</v>
      </c>
      <c r="J11" s="243">
        <v>5.6280000000000002E-4</v>
      </c>
      <c r="K11" s="243">
        <v>3.3376E-4</v>
      </c>
      <c r="L11" s="243">
        <v>2.2575000000000001E-4</v>
      </c>
      <c r="M11" s="243">
        <v>0</v>
      </c>
      <c r="N11" s="243">
        <v>0</v>
      </c>
      <c r="O11" s="243">
        <v>5.3303300000000003E-4</v>
      </c>
      <c r="P11" s="243">
        <v>-1.8453000000000001E-2</v>
      </c>
      <c r="Q11" s="243">
        <v>0</v>
      </c>
      <c r="R11" s="243">
        <v>-7.9253932995240241E-4</v>
      </c>
      <c r="S11" s="243">
        <v>-7.3111163325541881E-4</v>
      </c>
      <c r="T11" s="243">
        <v>-4.6837293258687515E-5</v>
      </c>
    </row>
    <row r="12" spans="1:21">
      <c r="D12" s="438"/>
      <c r="E12" s="421"/>
      <c r="H12" s="243"/>
      <c r="I12" s="243"/>
      <c r="J12" s="243"/>
      <c r="K12" s="243"/>
      <c r="L12" s="243"/>
      <c r="M12" s="243"/>
      <c r="N12" s="243"/>
      <c r="O12" s="243"/>
      <c r="P12" s="243"/>
      <c r="Q12" s="243"/>
      <c r="R12" s="243"/>
      <c r="S12" s="243"/>
      <c r="T12" s="243"/>
    </row>
    <row r="13" spans="1:21">
      <c r="D13" s="438"/>
      <c r="E13" s="421"/>
      <c r="H13" s="243"/>
      <c r="I13" s="243"/>
      <c r="J13" s="243"/>
      <c r="K13" s="243"/>
      <c r="L13" s="243"/>
      <c r="M13" s="243"/>
      <c r="N13" s="243"/>
      <c r="O13" s="243"/>
      <c r="P13" s="243"/>
      <c r="Q13" s="243"/>
      <c r="R13" s="243"/>
      <c r="S13" s="243"/>
      <c r="T13" s="243"/>
    </row>
    <row r="14" spans="1:21">
      <c r="D14" s="438"/>
      <c r="E14" s="421"/>
      <c r="H14" s="243"/>
      <c r="I14" s="243"/>
      <c r="J14" s="243"/>
      <c r="K14" s="243"/>
      <c r="L14" s="243"/>
      <c r="M14" s="243"/>
      <c r="N14" s="243"/>
      <c r="O14" s="243"/>
      <c r="P14" s="243"/>
      <c r="Q14" s="243"/>
      <c r="R14" s="243"/>
      <c r="S14" s="243"/>
      <c r="T14" s="243"/>
    </row>
    <row r="16" spans="1:21">
      <c r="E16" s="439" t="s">
        <v>700</v>
      </c>
      <c r="F16" s="440" t="s">
        <v>701</v>
      </c>
      <c r="G16" s="440" t="s">
        <v>702</v>
      </c>
      <c r="H16" s="440" t="s">
        <v>703</v>
      </c>
      <c r="I16" s="440" t="s">
        <v>704</v>
      </c>
      <c r="Q16" s="441"/>
    </row>
    <row r="17" spans="4:11">
      <c r="D17" s="417" t="s">
        <v>705</v>
      </c>
      <c r="E17" s="442">
        <v>0.21</v>
      </c>
      <c r="F17" s="442">
        <v>-1.8453000000000001E-2</v>
      </c>
      <c r="G17" s="442"/>
      <c r="H17" s="442"/>
      <c r="I17" s="442">
        <v>0.191547</v>
      </c>
    </row>
    <row r="18" spans="4:11">
      <c r="E18" s="442"/>
      <c r="F18" s="442"/>
      <c r="G18" s="442"/>
      <c r="H18" s="442"/>
      <c r="I18" s="442"/>
      <c r="K18" s="441"/>
    </row>
    <row r="19" spans="4:11">
      <c r="D19" s="417" t="s">
        <v>706</v>
      </c>
      <c r="E19" s="442">
        <v>8.9439977000000004E-2</v>
      </c>
      <c r="F19" s="442"/>
      <c r="G19" s="442">
        <v>0</v>
      </c>
      <c r="H19" s="442">
        <v>-1.5704882564665089E-3</v>
      </c>
      <c r="I19" s="442">
        <v>8.7869488743533494E-2</v>
      </c>
    </row>
    <row r="20" spans="4:11">
      <c r="D20" s="443"/>
      <c r="E20" s="443"/>
      <c r="F20" s="444"/>
      <c r="G20" s="444"/>
      <c r="H20" s="444"/>
      <c r="I20" s="445"/>
    </row>
    <row r="21" spans="4:11" ht="12" thickBot="1">
      <c r="G21" s="418"/>
      <c r="I21" s="446">
        <v>0.27941648874353348</v>
      </c>
    </row>
    <row r="22" spans="4:11" ht="12" thickTop="1"/>
    <row r="23" spans="4:11">
      <c r="I23" s="447">
        <v>1.3877641999555621</v>
      </c>
      <c r="J23" s="417" t="s">
        <v>707</v>
      </c>
    </row>
    <row r="24" spans="4:11">
      <c r="I24" s="442"/>
    </row>
    <row r="25" spans="4:11">
      <c r="I25" s="442"/>
    </row>
  </sheetData>
  <dataConsolidate/>
  <mergeCells count="4">
    <mergeCell ref="Q2:Q3"/>
    <mergeCell ref="R2:R3"/>
    <mergeCell ref="S2:S3"/>
    <mergeCell ref="T2:T3"/>
  </mergeCells>
  <dataValidations count="2">
    <dataValidation type="list" allowBlank="1" showInputMessage="1" showErrorMessage="1" sqref="C9" xr:uid="{FB4B0C8D-22ED-4053-8687-33ADEC811B42}">
      <formula1>"Elec ATL,Elec BTL,Gas ATL,Gas BTL,Nonreg"</formula1>
    </dataValidation>
    <dataValidation type="list" allowBlank="1" showInputMessage="1" showErrorMessage="1" sqref="C7:C8" xr:uid="{B9EC5740-EA01-4207-AFF8-5B7AE416F029}">
      <formula1>"Fed/State,Federal,State,Fed/State Gross-up"</formula1>
    </dataValidation>
  </dataValidations>
  <pageMargins left="0" right="0" top="0.75" bottom="0.5" header="0.5" footer="0.25"/>
  <pageSetup paperSize="5" scale="74" orientation="landscape" r:id="rId1"/>
  <headerFooter alignWithMargins="0">
    <oddFooter>&amp;L&amp;P of &amp;N&amp;R&amp;Z&amp;F\&amp;A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15"/>
  <sheetViews>
    <sheetView workbookViewId="0">
      <selection sqref="A1:XFD1048576"/>
    </sheetView>
  </sheetViews>
  <sheetFormatPr defaultRowHeight="15"/>
  <cols>
    <col min="1" max="2" width="8.88671875" style="448"/>
    <col min="3" max="3" width="14.33203125" style="448" bestFit="1" customWidth="1"/>
    <col min="4" max="16384" width="8.88671875" style="448"/>
  </cols>
  <sheetData>
    <row r="1" spans="1:10">
      <c r="A1" s="448" t="s">
        <v>279</v>
      </c>
    </row>
    <row r="2" spans="1:10">
      <c r="A2" s="448" t="s">
        <v>499</v>
      </c>
    </row>
    <row r="3" spans="1:10">
      <c r="A3" s="448" t="s">
        <v>500</v>
      </c>
    </row>
    <row r="4" spans="1:10">
      <c r="A4" s="449">
        <v>2021</v>
      </c>
    </row>
    <row r="8" spans="1:10" ht="15.75">
      <c r="A8" s="450">
        <v>1</v>
      </c>
      <c r="B8" s="251" t="s">
        <v>156</v>
      </c>
      <c r="C8" s="311">
        <f>'tax '!E17</f>
        <v>0.21</v>
      </c>
      <c r="D8" s="251"/>
      <c r="E8" s="251"/>
      <c r="F8" s="251"/>
      <c r="G8" s="251"/>
      <c r="H8" s="251"/>
      <c r="I8" s="251"/>
      <c r="J8" s="251"/>
    </row>
    <row r="9" spans="1:10" ht="15.75">
      <c r="A9" s="450">
        <v>2</v>
      </c>
      <c r="B9" s="251" t="s">
        <v>157</v>
      </c>
      <c r="C9" s="311">
        <f>'tax '!I19</f>
        <v>8.7869488743533494E-2</v>
      </c>
      <c r="D9" s="455" t="s">
        <v>158</v>
      </c>
      <c r="E9" s="455"/>
      <c r="F9" s="455"/>
      <c r="G9" s="455"/>
      <c r="H9" s="455"/>
      <c r="I9" s="455"/>
      <c r="J9" s="455"/>
    </row>
    <row r="10" spans="1:10" ht="15.75">
      <c r="A10" s="450">
        <v>3</v>
      </c>
      <c r="B10" s="251" t="s">
        <v>159</v>
      </c>
      <c r="C10" s="311">
        <v>0</v>
      </c>
      <c r="D10" s="455" t="s">
        <v>160</v>
      </c>
      <c r="E10" s="455"/>
      <c r="F10" s="455"/>
      <c r="G10" s="455"/>
      <c r="H10" s="455"/>
      <c r="I10" s="455"/>
      <c r="J10" s="455"/>
    </row>
    <row r="11" spans="1:10">
      <c r="B11" s="448" t="s">
        <v>501</v>
      </c>
    </row>
    <row r="15" spans="1:10">
      <c r="B15" s="448" t="s">
        <v>502</v>
      </c>
    </row>
  </sheetData>
  <mergeCells count="2">
    <mergeCell ref="D9:J9"/>
    <mergeCell ref="D10:J10"/>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workbookViewId="0">
      <selection activeCell="D10" sqref="D10:D21"/>
    </sheetView>
  </sheetViews>
  <sheetFormatPr defaultRowHeight="15"/>
  <cols>
    <col min="1" max="1" width="6.77734375" customWidth="1"/>
    <col min="2" max="2" width="12.33203125" customWidth="1"/>
    <col min="3" max="3" width="4.77734375" customWidth="1"/>
    <col min="4" max="4" width="15.88671875" bestFit="1" customWidth="1"/>
    <col min="5" max="6" width="15.88671875" customWidth="1"/>
    <col min="8" max="8" width="14.44140625" bestFit="1" customWidth="1"/>
  </cols>
  <sheetData>
    <row r="1" spans="1:20" ht="15.75">
      <c r="A1" s="39" t="s">
        <v>279</v>
      </c>
    </row>
    <row r="2" spans="1:20" ht="15.75">
      <c r="A2" s="39" t="s">
        <v>580</v>
      </c>
    </row>
    <row r="3" spans="1:20" ht="15.75">
      <c r="A3" s="39" t="str">
        <f>'Plant Balance'!A3</f>
        <v>For the 13 Months Ended December 31, 2022</v>
      </c>
    </row>
    <row r="5" spans="1:20">
      <c r="B5" s="41" t="s">
        <v>350</v>
      </c>
      <c r="C5" s="41"/>
      <c r="D5" s="41" t="s">
        <v>351</v>
      </c>
      <c r="E5" s="41" t="s">
        <v>356</v>
      </c>
    </row>
    <row r="7" spans="1:20" ht="15.75">
      <c r="A7" s="97" t="s">
        <v>4</v>
      </c>
      <c r="B7" s="44"/>
      <c r="C7" s="212"/>
      <c r="D7" s="212"/>
      <c r="E7" s="212"/>
      <c r="F7" s="84"/>
    </row>
    <row r="8" spans="1:20" ht="15.75">
      <c r="A8" s="101" t="s">
        <v>6</v>
      </c>
      <c r="B8" s="215" t="s">
        <v>344</v>
      </c>
      <c r="C8" s="60"/>
      <c r="D8" s="48" t="s">
        <v>345</v>
      </c>
      <c r="E8" s="48" t="s">
        <v>38</v>
      </c>
      <c r="F8" s="216" t="s">
        <v>346</v>
      </c>
    </row>
    <row r="9" spans="1:20">
      <c r="A9" s="213">
        <v>1</v>
      </c>
      <c r="B9" s="65">
        <f>'Plant Balance'!B9</f>
        <v>44531</v>
      </c>
      <c r="C9" s="53"/>
      <c r="D9" s="132">
        <v>571850936</v>
      </c>
      <c r="E9" s="132">
        <v>-2648.78</v>
      </c>
      <c r="F9" s="55">
        <v>-417608</v>
      </c>
    </row>
    <row r="10" spans="1:20">
      <c r="A10" s="214">
        <v>2</v>
      </c>
      <c r="B10" s="66">
        <f>'Plant Balance'!B10</f>
        <v>44562</v>
      </c>
      <c r="C10" s="14"/>
      <c r="D10" s="132">
        <v>571850936</v>
      </c>
      <c r="E10" s="132">
        <v>-2648.78</v>
      </c>
      <c r="F10" s="57">
        <v>-417608</v>
      </c>
    </row>
    <row r="11" spans="1:20">
      <c r="A11" s="214">
        <v>3</v>
      </c>
      <c r="B11" s="66">
        <f>'Plant Balance'!B11</f>
        <v>44593</v>
      </c>
      <c r="C11" s="14"/>
      <c r="D11" s="132">
        <v>571850936</v>
      </c>
      <c r="E11" s="132">
        <v>-2648.7799999999993</v>
      </c>
      <c r="F11" s="57">
        <v>-417608</v>
      </c>
      <c r="H11" s="132"/>
      <c r="I11" s="132"/>
      <c r="J11" s="132"/>
      <c r="K11" s="132"/>
      <c r="L11" s="132"/>
      <c r="M11" s="132"/>
      <c r="N11" s="132"/>
      <c r="O11" s="132"/>
      <c r="P11" s="132"/>
      <c r="Q11" s="132"/>
      <c r="R11" s="132"/>
      <c r="S11" s="132"/>
      <c r="T11" s="132"/>
    </row>
    <row r="12" spans="1:20">
      <c r="A12" s="214">
        <v>4</v>
      </c>
      <c r="B12" s="66">
        <f>'Plant Balance'!B12</f>
        <v>44621</v>
      </c>
      <c r="C12" s="14"/>
      <c r="D12" s="132">
        <v>571850936</v>
      </c>
      <c r="E12" s="132">
        <v>-2648.7799999999993</v>
      </c>
      <c r="F12" s="57">
        <v>-417608</v>
      </c>
    </row>
    <row r="13" spans="1:20">
      <c r="A13" s="214">
        <v>5</v>
      </c>
      <c r="B13" s="66">
        <f>'Plant Balance'!B13</f>
        <v>44652</v>
      </c>
      <c r="C13" s="14"/>
      <c r="D13" s="132">
        <v>571850936</v>
      </c>
      <c r="E13" s="132">
        <v>-2648.7799999999993</v>
      </c>
      <c r="F13" s="57">
        <v>-417608</v>
      </c>
    </row>
    <row r="14" spans="1:20">
      <c r="A14" s="214">
        <v>6</v>
      </c>
      <c r="B14" s="66">
        <f>'Plant Balance'!B14</f>
        <v>44682</v>
      </c>
      <c r="C14" s="14"/>
      <c r="D14" s="132">
        <v>571850936</v>
      </c>
      <c r="E14" s="132">
        <v>-2648.7799999999993</v>
      </c>
      <c r="F14" s="57">
        <v>-417608</v>
      </c>
    </row>
    <row r="15" spans="1:20">
      <c r="A15" s="214">
        <v>7</v>
      </c>
      <c r="B15" s="66">
        <f>'Plant Balance'!B15</f>
        <v>44713</v>
      </c>
      <c r="C15" s="14"/>
      <c r="D15" s="132">
        <v>571850936</v>
      </c>
      <c r="E15" s="132">
        <v>-2648.7799999999993</v>
      </c>
      <c r="F15" s="57">
        <v>-417608</v>
      </c>
    </row>
    <row r="16" spans="1:20">
      <c r="A16" s="214">
        <v>8</v>
      </c>
      <c r="B16" s="66">
        <f>'Plant Balance'!B16</f>
        <v>44743</v>
      </c>
      <c r="C16" s="14"/>
      <c r="D16" s="132">
        <v>571850936</v>
      </c>
      <c r="E16" s="132">
        <v>-2648.7799999999993</v>
      </c>
      <c r="F16" s="57">
        <v>-417608</v>
      </c>
    </row>
    <row r="17" spans="1:6">
      <c r="A17" s="214">
        <v>9</v>
      </c>
      <c r="B17" s="66">
        <f>'Plant Balance'!B17</f>
        <v>44774</v>
      </c>
      <c r="C17" s="14"/>
      <c r="D17" s="132">
        <v>571850936</v>
      </c>
      <c r="E17" s="132">
        <v>-2648.7799999999993</v>
      </c>
      <c r="F17" s="57">
        <v>-417608</v>
      </c>
    </row>
    <row r="18" spans="1:6">
      <c r="A18" s="214">
        <v>10</v>
      </c>
      <c r="B18" s="66">
        <f>'Plant Balance'!B18</f>
        <v>44805</v>
      </c>
      <c r="C18" s="14"/>
      <c r="D18" s="132">
        <v>571850936</v>
      </c>
      <c r="E18" s="132">
        <v>-2648.7799999999993</v>
      </c>
      <c r="F18" s="57">
        <v>-417608</v>
      </c>
    </row>
    <row r="19" spans="1:6">
      <c r="A19" s="214">
        <v>11</v>
      </c>
      <c r="B19" s="66">
        <f>'Plant Balance'!B19</f>
        <v>44835</v>
      </c>
      <c r="C19" s="14"/>
      <c r="D19" s="132">
        <v>571850936</v>
      </c>
      <c r="E19" s="132">
        <v>-2648.78</v>
      </c>
      <c r="F19" s="57">
        <v>-417608</v>
      </c>
    </row>
    <row r="20" spans="1:6">
      <c r="A20" s="214">
        <v>12</v>
      </c>
      <c r="B20" s="66">
        <f>'Plant Balance'!B20</f>
        <v>44866</v>
      </c>
      <c r="C20" s="14"/>
      <c r="D20" s="132">
        <v>571850936</v>
      </c>
      <c r="E20" s="132">
        <v>-2648.78</v>
      </c>
      <c r="F20" s="57">
        <v>-417608</v>
      </c>
    </row>
    <row r="21" spans="1:6">
      <c r="A21" s="214">
        <v>13</v>
      </c>
      <c r="B21" s="66">
        <f>'Plant Balance'!B21</f>
        <v>44896</v>
      </c>
      <c r="C21" s="14"/>
      <c r="D21" s="132">
        <v>571850936</v>
      </c>
      <c r="E21" s="132">
        <v>-2648.78</v>
      </c>
      <c r="F21" s="57">
        <v>-417608</v>
      </c>
    </row>
    <row r="22" spans="1:6">
      <c r="A22" s="214">
        <v>14</v>
      </c>
      <c r="B22" s="12"/>
      <c r="C22" s="14"/>
      <c r="D22" s="14"/>
      <c r="E22" s="14"/>
      <c r="F22" s="13"/>
    </row>
    <row r="23" spans="1:6" ht="15.75">
      <c r="A23" s="214">
        <v>15</v>
      </c>
      <c r="B23" s="12" t="s">
        <v>349</v>
      </c>
      <c r="C23" s="14"/>
      <c r="D23" s="94">
        <f>AVERAGE(D9:D21)</f>
        <v>571850936</v>
      </c>
      <c r="E23" s="94">
        <f>AVERAGE(E9:E21)</f>
        <v>-2648.7799999999993</v>
      </c>
      <c r="F23" s="79">
        <f>AVERAGE(F9:F21)</f>
        <v>-417608</v>
      </c>
    </row>
    <row r="24" spans="1:6">
      <c r="A24" s="58"/>
      <c r="B24" s="58"/>
      <c r="C24" s="40"/>
      <c r="D24" s="40"/>
      <c r="E24" s="40"/>
      <c r="F24" s="59"/>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6"/>
  <sheetViews>
    <sheetView workbookViewId="0">
      <selection activeCell="G10" sqref="G10"/>
    </sheetView>
  </sheetViews>
  <sheetFormatPr defaultRowHeight="15"/>
  <cols>
    <col min="1" max="1" width="5.33203125" customWidth="1"/>
    <col min="2" max="2" width="5.109375" customWidth="1"/>
    <col min="3" max="3" width="29.88671875" customWidth="1"/>
    <col min="4" max="4" width="8.5546875" customWidth="1"/>
    <col min="6" max="6" width="5.6640625" customWidth="1"/>
    <col min="7" max="7" width="11.88671875" bestFit="1" customWidth="1"/>
  </cols>
  <sheetData>
    <row r="1" spans="1:7">
      <c r="A1" s="225" t="s">
        <v>279</v>
      </c>
      <c r="B1" s="226"/>
      <c r="C1" s="226"/>
      <c r="D1" s="226"/>
      <c r="E1" s="226"/>
      <c r="F1" s="226"/>
      <c r="G1" s="226"/>
    </row>
    <row r="2" spans="1:7">
      <c r="A2" s="225" t="s">
        <v>718</v>
      </c>
      <c r="B2" s="226"/>
      <c r="C2" s="226"/>
      <c r="D2" s="226"/>
      <c r="E2" s="226"/>
      <c r="F2" s="226"/>
      <c r="G2" s="226"/>
    </row>
    <row r="3" spans="1:7">
      <c r="A3" s="225" t="s">
        <v>719</v>
      </c>
      <c r="B3" s="226"/>
      <c r="C3" s="226"/>
      <c r="D3" s="226"/>
      <c r="E3" s="226"/>
      <c r="F3" s="226"/>
      <c r="G3" s="226"/>
    </row>
    <row r="4" spans="1:7">
      <c r="A4" s="226"/>
      <c r="B4" s="226"/>
      <c r="C4" s="226"/>
      <c r="D4" s="226"/>
      <c r="E4" s="226"/>
      <c r="F4" s="226"/>
      <c r="G4" s="226"/>
    </row>
    <row r="5" spans="1:7">
      <c r="A5" s="226"/>
      <c r="B5" s="226"/>
      <c r="C5" s="226"/>
      <c r="D5" s="226"/>
      <c r="E5" s="226"/>
      <c r="F5" s="226"/>
      <c r="G5" s="226"/>
    </row>
    <row r="6" spans="1:7">
      <c r="A6" s="226"/>
      <c r="B6" s="226"/>
      <c r="C6" s="226"/>
      <c r="D6" s="226"/>
      <c r="E6" s="226"/>
      <c r="F6" s="226"/>
      <c r="G6" s="226"/>
    </row>
    <row r="7" spans="1:7" ht="25.5">
      <c r="A7" s="227" t="s">
        <v>471</v>
      </c>
      <c r="B7" s="228" t="s">
        <v>472</v>
      </c>
      <c r="C7" s="226" t="s">
        <v>473</v>
      </c>
      <c r="D7" s="226"/>
      <c r="E7" s="226"/>
      <c r="F7" s="226"/>
      <c r="G7" s="226"/>
    </row>
    <row r="8" spans="1:7">
      <c r="A8" s="226"/>
      <c r="B8" s="228"/>
      <c r="C8" s="226"/>
      <c r="D8" s="226"/>
      <c r="E8" s="226"/>
      <c r="F8" s="226"/>
      <c r="G8" s="226"/>
    </row>
    <row r="9" spans="1:7">
      <c r="A9" s="229">
        <v>1</v>
      </c>
      <c r="B9" s="228"/>
      <c r="C9" s="226" t="s">
        <v>474</v>
      </c>
      <c r="D9" s="226"/>
      <c r="E9" s="226"/>
      <c r="F9" s="226"/>
      <c r="G9" s="230">
        <v>108828935</v>
      </c>
    </row>
    <row r="10" spans="1:7">
      <c r="A10" s="229">
        <v>2</v>
      </c>
      <c r="B10" s="228"/>
      <c r="C10" s="226" t="s">
        <v>475</v>
      </c>
      <c r="D10" s="226"/>
      <c r="E10" s="226"/>
      <c r="F10" s="226"/>
      <c r="G10" s="141">
        <v>117663209</v>
      </c>
    </row>
    <row r="11" spans="1:7">
      <c r="A11" s="229">
        <v>3</v>
      </c>
      <c r="B11" s="228"/>
      <c r="C11" s="226" t="s">
        <v>476</v>
      </c>
      <c r="D11" s="226"/>
      <c r="E11" s="226"/>
      <c r="F11" s="226"/>
      <c r="G11" s="142">
        <f>G9-G10</f>
        <v>-8834274</v>
      </c>
    </row>
    <row r="12" spans="1:7">
      <c r="A12" s="229"/>
      <c r="B12" s="228"/>
      <c r="C12" s="226" t="s">
        <v>477</v>
      </c>
      <c r="D12" s="226"/>
      <c r="E12" s="226"/>
      <c r="F12" s="226"/>
      <c r="G12" s="226"/>
    </row>
    <row r="13" spans="1:7">
      <c r="A13" s="229"/>
      <c r="B13" s="228"/>
      <c r="C13" s="226"/>
      <c r="D13" s="226"/>
      <c r="E13" s="226"/>
      <c r="F13" s="226"/>
      <c r="G13" s="226"/>
    </row>
    <row r="14" spans="1:7">
      <c r="A14" s="229"/>
      <c r="B14" s="228" t="s">
        <v>478</v>
      </c>
      <c r="C14" s="226" t="s">
        <v>479</v>
      </c>
      <c r="D14" s="226"/>
      <c r="E14" s="226"/>
      <c r="F14" s="226"/>
      <c r="G14" s="226"/>
    </row>
    <row r="15" spans="1:7">
      <c r="A15" s="229"/>
      <c r="B15" s="228"/>
      <c r="C15" s="226"/>
      <c r="D15" s="226"/>
      <c r="E15" s="226"/>
      <c r="F15" s="226"/>
      <c r="G15" s="226"/>
    </row>
    <row r="16" spans="1:7">
      <c r="A16" s="229">
        <v>4</v>
      </c>
      <c r="B16" s="228"/>
      <c r="C16" s="226" t="s">
        <v>480</v>
      </c>
      <c r="D16" s="226"/>
      <c r="E16" s="226"/>
      <c r="F16" s="226"/>
      <c r="G16" s="231">
        <v>4195917</v>
      </c>
    </row>
    <row r="17" spans="1:7">
      <c r="A17" s="229">
        <v>5</v>
      </c>
      <c r="B17" s="228"/>
      <c r="C17" s="226" t="s">
        <v>481</v>
      </c>
      <c r="D17" s="226"/>
      <c r="E17" s="226"/>
      <c r="F17" s="226"/>
      <c r="G17" s="232">
        <v>4279421</v>
      </c>
    </row>
    <row r="18" spans="1:7">
      <c r="A18" s="229">
        <v>6</v>
      </c>
      <c r="B18" s="228"/>
      <c r="C18" s="226" t="s">
        <v>482</v>
      </c>
      <c r="D18" s="226"/>
      <c r="E18" s="226"/>
      <c r="F18" s="226"/>
      <c r="G18" s="231">
        <f>G17-G16</f>
        <v>83504</v>
      </c>
    </row>
    <row r="19" spans="1:7">
      <c r="A19" s="229"/>
      <c r="B19" s="228"/>
      <c r="C19" s="226" t="s">
        <v>483</v>
      </c>
      <c r="D19" s="226"/>
      <c r="E19" s="226"/>
      <c r="F19" s="226"/>
      <c r="G19" s="231"/>
    </row>
    <row r="20" spans="1:7">
      <c r="A20" s="229">
        <v>7</v>
      </c>
      <c r="B20" s="228"/>
      <c r="C20" s="226" t="s">
        <v>484</v>
      </c>
      <c r="D20" s="226"/>
      <c r="E20" s="226"/>
      <c r="F20" s="226"/>
      <c r="G20" s="140">
        <v>27.495126187750284</v>
      </c>
    </row>
    <row r="21" spans="1:7">
      <c r="A21" s="229">
        <v>8</v>
      </c>
      <c r="B21" s="228"/>
      <c r="C21" s="226" t="s">
        <v>485</v>
      </c>
      <c r="D21" s="226"/>
      <c r="E21" s="226"/>
      <c r="F21" s="226"/>
      <c r="G21" s="142">
        <f>G18*G20</f>
        <v>2295953.0171818999</v>
      </c>
    </row>
    <row r="22" spans="1:7">
      <c r="A22" s="229"/>
      <c r="B22" s="228"/>
      <c r="C22" s="226" t="s">
        <v>486</v>
      </c>
      <c r="D22" s="226"/>
      <c r="E22" s="226"/>
      <c r="F22" s="226"/>
      <c r="G22" s="226"/>
    </row>
    <row r="23" spans="1:7">
      <c r="A23" s="229"/>
      <c r="B23" s="228"/>
      <c r="C23" s="226"/>
      <c r="D23" s="226"/>
      <c r="E23" s="226"/>
      <c r="F23" s="226"/>
      <c r="G23" s="226"/>
    </row>
    <row r="24" spans="1:7">
      <c r="A24" s="229"/>
      <c r="B24" s="228" t="s">
        <v>487</v>
      </c>
      <c r="C24" s="226" t="s">
        <v>488</v>
      </c>
      <c r="D24" s="226"/>
      <c r="E24" s="226"/>
      <c r="F24" s="226"/>
      <c r="G24" s="226"/>
    </row>
    <row r="25" spans="1:7">
      <c r="A25" s="229"/>
      <c r="B25" s="228"/>
      <c r="C25" s="226"/>
      <c r="D25" s="226"/>
      <c r="E25" s="226"/>
      <c r="F25" s="226"/>
      <c r="G25" s="226"/>
    </row>
    <row r="26" spans="1:7">
      <c r="A26" s="229">
        <v>9</v>
      </c>
      <c r="B26" s="228"/>
      <c r="C26" s="226" t="s">
        <v>489</v>
      </c>
      <c r="D26" s="226"/>
      <c r="E26" s="226"/>
      <c r="F26" s="226"/>
      <c r="G26" s="142">
        <f>G11</f>
        <v>-8834274</v>
      </c>
    </row>
    <row r="27" spans="1:7">
      <c r="A27" s="229">
        <v>10</v>
      </c>
      <c r="B27" s="228"/>
      <c r="C27" s="226" t="s">
        <v>490</v>
      </c>
      <c r="D27" s="226"/>
      <c r="E27" s="226"/>
      <c r="F27" s="226"/>
      <c r="G27" s="141">
        <f>G21</f>
        <v>2295953.0171818999</v>
      </c>
    </row>
    <row r="28" spans="1:7">
      <c r="A28" s="229">
        <v>11</v>
      </c>
      <c r="B28" s="228"/>
      <c r="C28" s="226" t="s">
        <v>721</v>
      </c>
      <c r="D28" s="226"/>
      <c r="E28" s="226"/>
      <c r="F28" s="226"/>
      <c r="G28" s="142">
        <f>G26+G27</f>
        <v>-6538320.9828181006</v>
      </c>
    </row>
    <row r="29" spans="1:7">
      <c r="A29" s="229"/>
      <c r="B29" s="228"/>
      <c r="C29" s="226" t="s">
        <v>491</v>
      </c>
      <c r="D29" s="226"/>
      <c r="E29" s="226"/>
      <c r="F29" s="226"/>
      <c r="G29" s="231"/>
    </row>
    <row r="30" spans="1:7">
      <c r="A30" s="229"/>
      <c r="B30" s="228"/>
      <c r="C30" s="226"/>
      <c r="D30" s="226"/>
      <c r="E30" s="226"/>
      <c r="F30" s="226"/>
      <c r="G30" s="226"/>
    </row>
    <row r="31" spans="1:7">
      <c r="A31" s="229"/>
      <c r="B31" s="228"/>
      <c r="C31" s="233" t="s">
        <v>492</v>
      </c>
      <c r="D31" s="226"/>
      <c r="E31" s="226"/>
      <c r="F31" s="226"/>
      <c r="G31" s="226"/>
    </row>
    <row r="32" spans="1:7">
      <c r="A32" s="229">
        <v>12</v>
      </c>
      <c r="B32" s="228"/>
      <c r="C32" s="226" t="s">
        <v>577</v>
      </c>
      <c r="D32" s="226"/>
      <c r="E32" s="226"/>
      <c r="F32" s="226"/>
      <c r="G32" s="234">
        <f>'prime interest rate'!C25</f>
        <v>2.8595435365868075E-3</v>
      </c>
    </row>
    <row r="33" spans="1:7">
      <c r="A33" s="229">
        <v>13</v>
      </c>
      <c r="B33" s="228"/>
      <c r="C33" s="226" t="s">
        <v>722</v>
      </c>
      <c r="D33" s="226"/>
      <c r="E33" s="226"/>
      <c r="F33" s="226"/>
      <c r="G33" s="141">
        <f>ROUND(G28*G32*24,0)</f>
        <v>-448719</v>
      </c>
    </row>
    <row r="34" spans="1:7">
      <c r="A34" s="229"/>
      <c r="B34" s="228"/>
      <c r="C34" s="226" t="s">
        <v>493</v>
      </c>
      <c r="D34" s="226"/>
      <c r="E34" s="226"/>
      <c r="F34" s="226"/>
      <c r="G34" s="235"/>
    </row>
    <row r="35" spans="1:7" ht="15.75" thickBot="1">
      <c r="A35" s="229">
        <v>14</v>
      </c>
      <c r="B35" s="228"/>
      <c r="C35" s="226" t="s">
        <v>494</v>
      </c>
      <c r="D35" s="226"/>
      <c r="E35" s="226"/>
      <c r="F35" s="226"/>
      <c r="G35" s="236">
        <f>G28+G33</f>
        <v>-6987039.9828181006</v>
      </c>
    </row>
    <row r="36" spans="1:7" ht="15.75" thickTop="1">
      <c r="A36" s="226"/>
      <c r="B36" s="226"/>
      <c r="C36" s="226" t="s">
        <v>495</v>
      </c>
      <c r="D36" s="226"/>
      <c r="E36" s="226"/>
      <c r="F36" s="226"/>
      <c r="G36" s="226"/>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5"/>
  <sheetViews>
    <sheetView workbookViewId="0">
      <selection activeCell="C22" sqref="C22"/>
    </sheetView>
  </sheetViews>
  <sheetFormatPr defaultRowHeight="15"/>
  <cols>
    <col min="2" max="2" width="9.88671875" bestFit="1" customWidth="1"/>
    <col min="3" max="3" width="10.77734375" customWidth="1"/>
  </cols>
  <sheetData>
    <row r="1" spans="1:3">
      <c r="A1" s="143" t="s">
        <v>279</v>
      </c>
      <c r="B1" s="143"/>
      <c r="C1" s="143"/>
    </row>
    <row r="2" spans="1:3">
      <c r="A2" s="143" t="s">
        <v>578</v>
      </c>
      <c r="B2" s="143"/>
      <c r="C2" s="143"/>
    </row>
    <row r="3" spans="1:3">
      <c r="A3" s="143"/>
      <c r="B3" s="143"/>
      <c r="C3" s="143"/>
    </row>
    <row r="4" spans="1:3">
      <c r="A4" s="143"/>
      <c r="B4" s="143"/>
      <c r="C4" s="143"/>
    </row>
    <row r="5" spans="1:3">
      <c r="A5" s="143"/>
      <c r="B5" s="144">
        <v>43831</v>
      </c>
      <c r="C5" s="241">
        <f>(0.0475/366)*31</f>
        <v>4.0232240437158466E-3</v>
      </c>
    </row>
    <row r="6" spans="1:3">
      <c r="A6" s="143"/>
      <c r="B6" s="144">
        <v>43862</v>
      </c>
      <c r="C6" s="241">
        <f>(0.0475/366)*29</f>
        <v>3.7636612021857922E-3</v>
      </c>
    </row>
    <row r="7" spans="1:3">
      <c r="A7" s="143"/>
      <c r="B7" s="144">
        <v>43891</v>
      </c>
      <c r="C7" s="241">
        <f>(0.0373/366)*31</f>
        <v>3.159289617486339E-3</v>
      </c>
    </row>
    <row r="8" spans="1:3">
      <c r="A8" s="143"/>
      <c r="B8" s="144">
        <v>43922</v>
      </c>
      <c r="C8" s="241">
        <f>(0.0325/366)*30</f>
        <v>2.663934426229508E-3</v>
      </c>
    </row>
    <row r="9" spans="1:3">
      <c r="A9" s="143"/>
      <c r="B9" s="144">
        <v>43952</v>
      </c>
      <c r="C9" s="241">
        <f>(0.0325/366)*31</f>
        <v>2.7527322404371584E-3</v>
      </c>
    </row>
    <row r="10" spans="1:3">
      <c r="A10" s="143"/>
      <c r="B10" s="144">
        <v>43983</v>
      </c>
      <c r="C10" s="241">
        <f>(0.0325/366)*30</f>
        <v>2.663934426229508E-3</v>
      </c>
    </row>
    <row r="11" spans="1:3">
      <c r="A11" s="143"/>
      <c r="B11" s="144">
        <v>44013</v>
      </c>
      <c r="C11" s="241">
        <f>(0.0325/366)*31</f>
        <v>2.7527322404371584E-3</v>
      </c>
    </row>
    <row r="12" spans="1:3">
      <c r="A12" s="143"/>
      <c r="B12" s="144">
        <v>44044</v>
      </c>
      <c r="C12" s="241">
        <f>(0.0325/366)*31</f>
        <v>2.7527322404371584E-3</v>
      </c>
    </row>
    <row r="13" spans="1:3">
      <c r="A13" s="143"/>
      <c r="B13" s="144">
        <v>44075</v>
      </c>
      <c r="C13" s="241">
        <f>(0.0325/366)*30</f>
        <v>2.663934426229508E-3</v>
      </c>
    </row>
    <row r="14" spans="1:3">
      <c r="A14" s="143"/>
      <c r="B14" s="144">
        <v>44105</v>
      </c>
      <c r="C14" s="241">
        <f>(0.0325/366)*31</f>
        <v>2.7527322404371584E-3</v>
      </c>
    </row>
    <row r="15" spans="1:3">
      <c r="A15" s="143"/>
      <c r="B15" s="144">
        <v>44136</v>
      </c>
      <c r="C15" s="241">
        <f>(0.0325/366)*30</f>
        <v>2.663934426229508E-3</v>
      </c>
    </row>
    <row r="16" spans="1:3">
      <c r="A16" s="143"/>
      <c r="B16" s="144">
        <v>44166</v>
      </c>
      <c r="C16" s="241">
        <f>(0.0325/366)*31</f>
        <v>2.7527322404371584E-3</v>
      </c>
    </row>
    <row r="17" spans="1:3">
      <c r="A17" s="143"/>
      <c r="B17" s="144">
        <v>44197</v>
      </c>
      <c r="C17" s="241">
        <f>(0.0325/365)*31</f>
        <v>2.7602739726027398E-3</v>
      </c>
    </row>
    <row r="18" spans="1:3">
      <c r="A18" s="143"/>
      <c r="B18" s="144">
        <v>44228</v>
      </c>
      <c r="C18" s="241">
        <f>(0.0325/365)*29</f>
        <v>2.5821917808219177E-3</v>
      </c>
    </row>
    <row r="19" spans="1:3">
      <c r="A19" s="143"/>
      <c r="B19" s="144">
        <v>44256</v>
      </c>
      <c r="C19" s="241">
        <f>(0.0325/365)*31</f>
        <v>2.7602739726027398E-3</v>
      </c>
    </row>
    <row r="20" spans="1:3">
      <c r="A20" s="143"/>
      <c r="B20" s="144">
        <v>44287</v>
      </c>
      <c r="C20" s="241">
        <f>(0.0325/365)*30</f>
        <v>2.6712328767123285E-3</v>
      </c>
    </row>
    <row r="21" spans="1:3">
      <c r="A21" s="143"/>
      <c r="B21" s="144">
        <v>44317</v>
      </c>
      <c r="C21" s="241">
        <f>(0.0325/365)*31</f>
        <v>2.7602739726027398E-3</v>
      </c>
    </row>
    <row r="22" spans="1:3">
      <c r="A22" s="143"/>
      <c r="B22" s="144">
        <v>44348</v>
      </c>
      <c r="C22" s="241">
        <f>((0.0325/365)*30)</f>
        <v>2.6712328767123285E-3</v>
      </c>
    </row>
    <row r="23" spans="1:3">
      <c r="A23" s="143"/>
      <c r="B23" s="144">
        <v>44378</v>
      </c>
      <c r="C23" s="241">
        <f>(0.0325/365)*31</f>
        <v>2.7602739726027398E-3</v>
      </c>
    </row>
    <row r="24" spans="1:3">
      <c r="A24" s="143"/>
      <c r="B24" s="145"/>
      <c r="C24" s="143"/>
    </row>
    <row r="25" spans="1:3">
      <c r="A25" s="143"/>
      <c r="B25" s="145" t="s">
        <v>496</v>
      </c>
      <c r="C25" s="222">
        <f>AVERAGE(C5:C23)</f>
        <v>2.8595435365868075E-3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
  <sheetViews>
    <sheetView workbookViewId="0">
      <selection activeCell="F21" sqref="F21"/>
    </sheetView>
  </sheetViews>
  <sheetFormatPr defaultRowHeight="15"/>
  <cols>
    <col min="1" max="1" width="6.77734375" customWidth="1"/>
    <col min="2" max="2" width="12.33203125" customWidth="1"/>
    <col min="3" max="3" width="4.77734375" customWidth="1"/>
    <col min="4" max="4" width="15.88671875" bestFit="1" customWidth="1"/>
    <col min="5" max="7" width="15.88671875" customWidth="1"/>
    <col min="8" max="8" width="16.88671875" bestFit="1" customWidth="1"/>
    <col min="10" max="22" width="14" bestFit="1" customWidth="1"/>
  </cols>
  <sheetData>
    <row r="1" spans="1:22" ht="15.75">
      <c r="A1" s="39" t="s">
        <v>279</v>
      </c>
    </row>
    <row r="2" spans="1:22" ht="15.75">
      <c r="A2" s="39" t="s">
        <v>355</v>
      </c>
    </row>
    <row r="3" spans="1:22" ht="15.75">
      <c r="A3" s="39" t="str">
        <f>'Plant Balance'!A3</f>
        <v>For the 13 Months Ended December 31, 2022</v>
      </c>
    </row>
    <row r="5" spans="1:22">
      <c r="B5" s="41" t="s">
        <v>350</v>
      </c>
      <c r="C5" s="41"/>
      <c r="D5" s="41" t="s">
        <v>351</v>
      </c>
      <c r="E5" s="41" t="s">
        <v>356</v>
      </c>
      <c r="F5" s="41" t="s">
        <v>352</v>
      </c>
      <c r="G5" s="41" t="s">
        <v>353</v>
      </c>
      <c r="H5" s="41" t="s">
        <v>354</v>
      </c>
    </row>
    <row r="7" spans="1:22" ht="15.75">
      <c r="A7" s="42" t="s">
        <v>4</v>
      </c>
      <c r="B7" s="44"/>
      <c r="C7" s="45"/>
      <c r="D7" s="45"/>
      <c r="E7" s="45"/>
      <c r="F7" s="45"/>
      <c r="G7" s="45" t="s">
        <v>347</v>
      </c>
      <c r="H7" s="46"/>
    </row>
    <row r="8" spans="1:22" ht="15.75">
      <c r="A8" s="43" t="s">
        <v>6</v>
      </c>
      <c r="B8" s="47" t="s">
        <v>344</v>
      </c>
      <c r="C8" s="48"/>
      <c r="D8" s="48" t="s">
        <v>345</v>
      </c>
      <c r="E8" s="48" t="s">
        <v>38</v>
      </c>
      <c r="F8" s="48" t="s">
        <v>346</v>
      </c>
      <c r="G8" s="48" t="s">
        <v>348</v>
      </c>
      <c r="H8" s="49" t="s">
        <v>9</v>
      </c>
    </row>
    <row r="9" spans="1:22">
      <c r="A9" s="50">
        <v>1</v>
      </c>
      <c r="B9" s="65">
        <f>'Plant Balance'!B9</f>
        <v>44531</v>
      </c>
      <c r="C9" s="53"/>
      <c r="D9" s="132">
        <v>4183707212.1647701</v>
      </c>
      <c r="E9" s="132">
        <v>641526180.69339204</v>
      </c>
      <c r="F9" s="132">
        <v>1640587063.7957499</v>
      </c>
      <c r="G9" s="56">
        <v>362773853</v>
      </c>
      <c r="H9" s="55">
        <f>SUM(D9:G9)</f>
        <v>6828594309.6539116</v>
      </c>
      <c r="J9" s="132"/>
      <c r="K9" s="132"/>
      <c r="L9" s="132"/>
      <c r="M9" s="132"/>
      <c r="N9" s="132"/>
      <c r="O9" s="132"/>
      <c r="P9" s="132"/>
      <c r="Q9" s="132"/>
      <c r="R9" s="132"/>
      <c r="S9" s="132"/>
      <c r="T9" s="132"/>
      <c r="U9" s="132"/>
      <c r="V9" s="132"/>
    </row>
    <row r="10" spans="1:22">
      <c r="A10" s="51">
        <v>2</v>
      </c>
      <c r="B10" s="66">
        <f>'Plant Balance'!B10</f>
        <v>44562</v>
      </c>
      <c r="C10" s="14"/>
      <c r="D10" s="132">
        <v>4228524813.9011598</v>
      </c>
      <c r="E10" s="132">
        <v>645796142.94830298</v>
      </c>
      <c r="F10" s="132">
        <v>1653146411.8215599</v>
      </c>
      <c r="G10" s="56">
        <v>362773853</v>
      </c>
      <c r="H10" s="57">
        <f t="shared" ref="H10:H21" si="0">SUM(D10:G10)</f>
        <v>6890241221.6710224</v>
      </c>
      <c r="J10" s="132"/>
      <c r="K10" s="132"/>
      <c r="L10" s="132"/>
      <c r="M10" s="132"/>
      <c r="N10" s="132"/>
      <c r="O10" s="132"/>
      <c r="P10" s="132"/>
      <c r="Q10" s="132"/>
      <c r="R10" s="132"/>
      <c r="S10" s="132"/>
      <c r="T10" s="132"/>
      <c r="U10" s="132"/>
      <c r="V10" s="132"/>
    </row>
    <row r="11" spans="1:22">
      <c r="A11" s="51">
        <v>3</v>
      </c>
      <c r="B11" s="66">
        <f>'Plant Balance'!B11</f>
        <v>44593</v>
      </c>
      <c r="C11" s="14"/>
      <c r="D11" s="132">
        <v>4273022512.6592498</v>
      </c>
      <c r="E11" s="132">
        <v>650125183.06464803</v>
      </c>
      <c r="F11" s="132">
        <v>1665909931.66927</v>
      </c>
      <c r="G11" s="56">
        <v>362773853</v>
      </c>
      <c r="H11" s="57">
        <f t="shared" si="0"/>
        <v>6951831480.3931675</v>
      </c>
      <c r="J11" s="132"/>
      <c r="K11" s="132"/>
      <c r="L11" s="132"/>
      <c r="M11" s="132"/>
      <c r="N11" s="132"/>
      <c r="O11" s="132"/>
      <c r="P11" s="132"/>
      <c r="Q11" s="132"/>
      <c r="R11" s="132"/>
      <c r="S11" s="132"/>
      <c r="T11" s="132"/>
      <c r="U11" s="132"/>
      <c r="V11" s="132"/>
    </row>
    <row r="12" spans="1:22">
      <c r="A12" s="51">
        <v>4</v>
      </c>
      <c r="B12" s="66">
        <f>'Plant Balance'!B12</f>
        <v>44621</v>
      </c>
      <c r="C12" s="14"/>
      <c r="D12" s="132">
        <v>4317843628.27386</v>
      </c>
      <c r="E12" s="132">
        <v>654507286.75877595</v>
      </c>
      <c r="F12" s="132">
        <v>1678635920.67694</v>
      </c>
      <c r="G12" s="56">
        <v>362773853</v>
      </c>
      <c r="H12" s="57">
        <f t="shared" si="0"/>
        <v>7013760688.7095757</v>
      </c>
    </row>
    <row r="13" spans="1:22">
      <c r="A13" s="51">
        <v>5</v>
      </c>
      <c r="B13" s="66">
        <f>'Plant Balance'!B13</f>
        <v>44652</v>
      </c>
      <c r="C13" s="14"/>
      <c r="D13" s="132">
        <v>4359374337.8299799</v>
      </c>
      <c r="E13" s="132">
        <v>658915365.60202801</v>
      </c>
      <c r="F13" s="132">
        <v>1691250885.9192901</v>
      </c>
      <c r="G13" s="56">
        <v>362773853</v>
      </c>
      <c r="H13" s="57">
        <f t="shared" si="0"/>
        <v>7072314442.3512974</v>
      </c>
    </row>
    <row r="14" spans="1:22">
      <c r="A14" s="51">
        <v>6</v>
      </c>
      <c r="B14" s="66">
        <f>'Plant Balance'!B14</f>
        <v>44682</v>
      </c>
      <c r="C14" s="14"/>
      <c r="D14" s="132">
        <v>4406326363.3054104</v>
      </c>
      <c r="E14" s="132">
        <v>663340967.34055698</v>
      </c>
      <c r="F14" s="132">
        <v>1704171952.1873901</v>
      </c>
      <c r="G14" s="56">
        <v>362773853</v>
      </c>
      <c r="H14" s="57">
        <f t="shared" si="0"/>
        <v>7136613135.8333578</v>
      </c>
    </row>
    <row r="15" spans="1:22">
      <c r="A15" s="51">
        <v>7</v>
      </c>
      <c r="B15" s="66">
        <f>'Plant Balance'!B15</f>
        <v>44713</v>
      </c>
      <c r="C15" s="14"/>
      <c r="D15" s="132">
        <v>4453551686.9071798</v>
      </c>
      <c r="E15" s="132">
        <v>667785061.10847604</v>
      </c>
      <c r="F15" s="132">
        <v>1717098879.0002</v>
      </c>
      <c r="G15" s="56">
        <v>362773853</v>
      </c>
      <c r="H15" s="57">
        <f t="shared" si="0"/>
        <v>7201209480.0158558</v>
      </c>
    </row>
    <row r="16" spans="1:22">
      <c r="A16" s="51">
        <v>8</v>
      </c>
      <c r="B16" s="66">
        <f>'Plant Balance'!B16</f>
        <v>44743</v>
      </c>
      <c r="C16" s="14"/>
      <c r="D16" s="132">
        <v>4494117934.2742004</v>
      </c>
      <c r="E16" s="132">
        <v>672274575.51563394</v>
      </c>
      <c r="F16" s="132">
        <v>1730317415.94767</v>
      </c>
      <c r="G16" s="56">
        <v>362773853</v>
      </c>
      <c r="H16" s="57">
        <f t="shared" si="0"/>
        <v>7259483778.737504</v>
      </c>
    </row>
    <row r="17" spans="1:8">
      <c r="A17" s="51">
        <v>9</v>
      </c>
      <c r="B17" s="66">
        <f>'Plant Balance'!B17</f>
        <v>44774</v>
      </c>
      <c r="C17" s="14"/>
      <c r="D17" s="132">
        <v>4541010173.7602901</v>
      </c>
      <c r="E17" s="132">
        <v>676792873.96693802</v>
      </c>
      <c r="F17" s="132">
        <v>1743771237.38586</v>
      </c>
      <c r="G17" s="56">
        <v>362773853</v>
      </c>
      <c r="H17" s="57">
        <f t="shared" si="0"/>
        <v>7324348138.1130886</v>
      </c>
    </row>
    <row r="18" spans="1:8">
      <c r="A18" s="51">
        <v>10</v>
      </c>
      <c r="B18" s="66">
        <f>'Plant Balance'!B18</f>
        <v>44805</v>
      </c>
      <c r="C18" s="14"/>
      <c r="D18" s="132">
        <v>4589765216.1178503</v>
      </c>
      <c r="E18" s="132">
        <v>681326657.234851</v>
      </c>
      <c r="F18" s="132">
        <v>1757346205.18314</v>
      </c>
      <c r="G18" s="56">
        <v>362773853</v>
      </c>
      <c r="H18" s="57">
        <f t="shared" si="0"/>
        <v>7391211931.535841</v>
      </c>
    </row>
    <row r="19" spans="1:8">
      <c r="A19" s="51">
        <v>11</v>
      </c>
      <c r="B19" s="66">
        <f>'Plant Balance'!B19</f>
        <v>44835</v>
      </c>
      <c r="C19" s="14"/>
      <c r="D19" s="132">
        <v>4637769610.3393097</v>
      </c>
      <c r="E19" s="132">
        <v>685873146.74682796</v>
      </c>
      <c r="F19" s="132">
        <v>1771178421.86163</v>
      </c>
      <c r="G19" s="56">
        <v>362773853</v>
      </c>
      <c r="H19" s="57">
        <f t="shared" si="0"/>
        <v>7457595031.9477673</v>
      </c>
    </row>
    <row r="20" spans="1:8">
      <c r="A20" s="51">
        <v>12</v>
      </c>
      <c r="B20" s="66">
        <f>'Plant Balance'!B20</f>
        <v>44866</v>
      </c>
      <c r="C20" s="14"/>
      <c r="D20" s="132">
        <v>4688018520.8378401</v>
      </c>
      <c r="E20" s="132">
        <v>690437915.75373602</v>
      </c>
      <c r="F20" s="132">
        <v>1785229927.3440199</v>
      </c>
      <c r="G20" s="56">
        <v>362773853</v>
      </c>
      <c r="H20" s="57">
        <f t="shared" si="0"/>
        <v>7526460216.9355955</v>
      </c>
    </row>
    <row r="21" spans="1:8">
      <c r="A21" s="51">
        <v>13</v>
      </c>
      <c r="B21" s="66">
        <f>'Plant Balance'!B21</f>
        <v>44896</v>
      </c>
      <c r="C21" s="14"/>
      <c r="D21" s="132">
        <v>4724430718.66154</v>
      </c>
      <c r="E21" s="132">
        <v>692948407.67623198</v>
      </c>
      <c r="F21" s="132">
        <v>1775941148.4672699</v>
      </c>
      <c r="G21" s="56">
        <v>362773853</v>
      </c>
      <c r="H21" s="57">
        <f t="shared" si="0"/>
        <v>7556094127.8050423</v>
      </c>
    </row>
    <row r="22" spans="1:8">
      <c r="A22" s="51">
        <v>14</v>
      </c>
      <c r="B22" s="12"/>
      <c r="C22" s="14"/>
      <c r="D22" s="14"/>
      <c r="E22" s="14"/>
      <c r="F22" s="14"/>
      <c r="G22" s="14"/>
      <c r="H22" s="57"/>
    </row>
    <row r="23" spans="1:8" ht="15.75">
      <c r="A23" s="51">
        <v>15</v>
      </c>
      <c r="B23" s="12" t="s">
        <v>349</v>
      </c>
      <c r="C23" s="14"/>
      <c r="D23" s="94">
        <f>AVERAGE(D9:D21)-(G23*'Labor Ratios'!D11)</f>
        <v>4288744263.5059676</v>
      </c>
      <c r="E23" s="94">
        <f>AVERAGE(E9:E21)-(G23*'Labor Ratios'!D13)</f>
        <v>645167192.87580454</v>
      </c>
      <c r="F23" s="94">
        <f>AVERAGE(F9:F21)-(G23*'Labor Ratios'!D15)</f>
        <v>1603752379.7619219</v>
      </c>
      <c r="G23" s="94">
        <f t="shared" ref="G23:H23" si="1">AVERAGE(G9:G21)</f>
        <v>362773853</v>
      </c>
      <c r="H23" s="95">
        <f t="shared" si="1"/>
        <v>7200750614.1310015</v>
      </c>
    </row>
    <row r="24" spans="1:8">
      <c r="A24" s="52"/>
      <c r="B24" s="58"/>
      <c r="C24" s="40"/>
      <c r="D24" s="40"/>
      <c r="E24" s="40"/>
      <c r="F24" s="40"/>
      <c r="G24" s="40"/>
      <c r="H24" s="59"/>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4"/>
  <sheetViews>
    <sheetView workbookViewId="0">
      <selection activeCell="E22" sqref="E22"/>
    </sheetView>
  </sheetViews>
  <sheetFormatPr defaultRowHeight="15"/>
  <cols>
    <col min="1" max="1" width="6.77734375" customWidth="1"/>
    <col min="2" max="2" width="12.33203125" customWidth="1"/>
    <col min="3" max="3" width="4.77734375" customWidth="1"/>
    <col min="4" max="4" width="15.88671875" bestFit="1" customWidth="1"/>
    <col min="5" max="6" width="15.88671875" customWidth="1"/>
    <col min="8" max="8" width="14.5546875" bestFit="1" customWidth="1"/>
    <col min="9" max="20" width="13.44140625" bestFit="1" customWidth="1"/>
  </cols>
  <sheetData>
    <row r="1" spans="1:20" ht="15.75">
      <c r="A1" s="39" t="s">
        <v>279</v>
      </c>
    </row>
    <row r="2" spans="1:20" ht="15.75">
      <c r="A2" s="39" t="s">
        <v>581</v>
      </c>
    </row>
    <row r="3" spans="1:20" ht="15.75">
      <c r="A3" s="39" t="str">
        <f>'Plant Balance'!A3</f>
        <v>For the 13 Months Ended December 31, 2022</v>
      </c>
    </row>
    <row r="5" spans="1:20">
      <c r="B5" s="41" t="s">
        <v>350</v>
      </c>
      <c r="C5" s="41"/>
      <c r="D5" s="41" t="s">
        <v>351</v>
      </c>
      <c r="E5" s="41" t="s">
        <v>356</v>
      </c>
      <c r="F5" s="41" t="s">
        <v>352</v>
      </c>
    </row>
    <row r="7" spans="1:20" ht="15.75">
      <c r="A7" s="97" t="s">
        <v>4</v>
      </c>
      <c r="B7" s="44"/>
      <c r="C7" s="212"/>
      <c r="D7" s="212"/>
      <c r="E7" s="212"/>
      <c r="F7" s="84"/>
    </row>
    <row r="8" spans="1:20" ht="15.75">
      <c r="A8" s="101" t="s">
        <v>6</v>
      </c>
      <c r="B8" s="47" t="s">
        <v>344</v>
      </c>
      <c r="C8" s="48"/>
      <c r="D8" s="48" t="s">
        <v>345</v>
      </c>
      <c r="E8" s="48" t="s">
        <v>38</v>
      </c>
      <c r="F8" s="114" t="s">
        <v>346</v>
      </c>
    </row>
    <row r="9" spans="1:20">
      <c r="A9" s="213">
        <v>1</v>
      </c>
      <c r="B9" s="65">
        <f>'Plant Balance'!B9</f>
        <v>44531</v>
      </c>
      <c r="C9" s="53"/>
      <c r="D9" s="132">
        <v>298177000</v>
      </c>
      <c r="E9" s="132">
        <v>1004</v>
      </c>
      <c r="F9" s="55">
        <v>322240</v>
      </c>
    </row>
    <row r="10" spans="1:20">
      <c r="A10" s="214">
        <v>2</v>
      </c>
      <c r="B10" s="66">
        <f>'Plant Balance'!B10</f>
        <v>44562</v>
      </c>
      <c r="C10" s="14"/>
      <c r="D10" s="132">
        <v>303644000</v>
      </c>
      <c r="E10" s="132">
        <v>699</v>
      </c>
      <c r="F10" s="57">
        <v>304878</v>
      </c>
    </row>
    <row r="11" spans="1:20">
      <c r="A11" s="214">
        <v>3</v>
      </c>
      <c r="B11" s="66">
        <f>'Plant Balance'!B11</f>
        <v>44593</v>
      </c>
      <c r="C11" s="14"/>
      <c r="D11" s="132">
        <v>309111000</v>
      </c>
      <c r="E11" s="132">
        <v>394</v>
      </c>
      <c r="F11" s="57">
        <v>287516</v>
      </c>
      <c r="H11" s="132"/>
      <c r="I11" s="132"/>
      <c r="J11" s="132"/>
      <c r="K11" s="132"/>
      <c r="L11" s="132"/>
      <c r="M11" s="132"/>
      <c r="N11" s="132"/>
      <c r="O11" s="132"/>
      <c r="P11" s="132"/>
      <c r="Q11" s="132"/>
      <c r="R11" s="132"/>
      <c r="S11" s="132"/>
      <c r="T11" s="132"/>
    </row>
    <row r="12" spans="1:20">
      <c r="A12" s="214">
        <v>4</v>
      </c>
      <c r="B12" s="66">
        <f>'Plant Balance'!B12</f>
        <v>44621</v>
      </c>
      <c r="C12" s="14"/>
      <c r="D12" s="132">
        <v>314578000</v>
      </c>
      <c r="E12" s="132">
        <v>89</v>
      </c>
      <c r="F12" s="57">
        <v>270154</v>
      </c>
      <c r="H12" s="132"/>
    </row>
    <row r="13" spans="1:20">
      <c r="A13" s="214">
        <v>5</v>
      </c>
      <c r="B13" s="66">
        <f>'Plant Balance'!B13</f>
        <v>44652</v>
      </c>
      <c r="C13" s="14"/>
      <c r="D13" s="132">
        <v>320045000</v>
      </c>
      <c r="E13" s="132">
        <v>-216</v>
      </c>
      <c r="F13" s="57">
        <v>252792</v>
      </c>
      <c r="H13" s="132"/>
      <c r="I13" s="132"/>
      <c r="J13" s="132"/>
      <c r="K13" s="132"/>
      <c r="L13" s="132"/>
      <c r="M13" s="132"/>
      <c r="N13" s="132"/>
      <c r="O13" s="132"/>
      <c r="P13" s="132"/>
      <c r="Q13" s="132"/>
      <c r="R13" s="132"/>
      <c r="S13" s="132"/>
      <c r="T13" s="132"/>
    </row>
    <row r="14" spans="1:20">
      <c r="A14" s="214">
        <v>6</v>
      </c>
      <c r="B14" s="66">
        <f>'Plant Balance'!B14</f>
        <v>44682</v>
      </c>
      <c r="C14" s="14"/>
      <c r="D14" s="132">
        <v>325512000</v>
      </c>
      <c r="E14" s="132">
        <v>-521</v>
      </c>
      <c r="F14" s="57">
        <v>235430</v>
      </c>
    </row>
    <row r="15" spans="1:20">
      <c r="A15" s="214">
        <v>7</v>
      </c>
      <c r="B15" s="66">
        <f>'Plant Balance'!B15</f>
        <v>44713</v>
      </c>
      <c r="C15" s="14"/>
      <c r="D15" s="132">
        <v>330979000</v>
      </c>
      <c r="E15" s="132">
        <v>-826</v>
      </c>
      <c r="F15" s="57">
        <v>218068</v>
      </c>
    </row>
    <row r="16" spans="1:20">
      <c r="A16" s="214">
        <v>8</v>
      </c>
      <c r="B16" s="66">
        <f>'Plant Balance'!B16</f>
        <v>44743</v>
      </c>
      <c r="C16" s="14"/>
      <c r="D16" s="132">
        <v>336446000</v>
      </c>
      <c r="E16" s="132">
        <v>-1131</v>
      </c>
      <c r="F16" s="57">
        <v>200706</v>
      </c>
      <c r="H16" s="132"/>
      <c r="I16" s="132"/>
      <c r="J16" s="132"/>
      <c r="K16" s="132"/>
      <c r="L16" s="132"/>
      <c r="M16" s="132"/>
      <c r="N16" s="132"/>
      <c r="O16" s="132"/>
      <c r="P16" s="132"/>
      <c r="Q16" s="132"/>
      <c r="R16" s="132"/>
      <c r="S16" s="132"/>
      <c r="T16" s="132"/>
    </row>
    <row r="17" spans="1:6">
      <c r="A17" s="214">
        <v>9</v>
      </c>
      <c r="B17" s="66">
        <f>'Plant Balance'!B17</f>
        <v>44774</v>
      </c>
      <c r="C17" s="14"/>
      <c r="D17" s="132">
        <v>341913000</v>
      </c>
      <c r="E17" s="132">
        <v>-1436</v>
      </c>
      <c r="F17" s="57">
        <v>183344</v>
      </c>
    </row>
    <row r="18" spans="1:6">
      <c r="A18" s="214">
        <v>10</v>
      </c>
      <c r="B18" s="66">
        <f>'Plant Balance'!B18</f>
        <v>44805</v>
      </c>
      <c r="C18" s="14"/>
      <c r="D18" s="132">
        <v>347380000</v>
      </c>
      <c r="E18" s="132">
        <v>-1741</v>
      </c>
      <c r="F18" s="57">
        <v>165982</v>
      </c>
    </row>
    <row r="19" spans="1:6">
      <c r="A19" s="214">
        <v>11</v>
      </c>
      <c r="B19" s="66">
        <f>'Plant Balance'!B19</f>
        <v>44835</v>
      </c>
      <c r="C19" s="14"/>
      <c r="D19" s="132">
        <v>352847000</v>
      </c>
      <c r="E19" s="132">
        <v>-2046</v>
      </c>
      <c r="F19" s="57">
        <v>148620</v>
      </c>
    </row>
    <row r="20" spans="1:6">
      <c r="A20" s="214">
        <v>12</v>
      </c>
      <c r="B20" s="66">
        <f>'Plant Balance'!B20</f>
        <v>44866</v>
      </c>
      <c r="C20" s="14"/>
      <c r="D20" s="132">
        <v>358314000</v>
      </c>
      <c r="E20" s="132">
        <v>-2351</v>
      </c>
      <c r="F20" s="57">
        <v>131258</v>
      </c>
    </row>
    <row r="21" spans="1:6">
      <c r="A21" s="214">
        <v>13</v>
      </c>
      <c r="B21" s="66">
        <f>'Plant Balance'!B21</f>
        <v>44896</v>
      </c>
      <c r="C21" s="14"/>
      <c r="D21" s="132">
        <v>363781000</v>
      </c>
      <c r="E21" s="132">
        <v>-2649</v>
      </c>
      <c r="F21" s="57">
        <v>113896</v>
      </c>
    </row>
    <row r="22" spans="1:6">
      <c r="A22" s="214">
        <v>14</v>
      </c>
      <c r="B22" s="12"/>
      <c r="C22" s="14"/>
      <c r="D22" s="14"/>
      <c r="E22" s="14"/>
      <c r="F22" s="57"/>
    </row>
    <row r="23" spans="1:6" ht="15.75">
      <c r="A23" s="214">
        <v>15</v>
      </c>
      <c r="B23" s="12" t="s">
        <v>349</v>
      </c>
      <c r="C23" s="14"/>
      <c r="D23" s="94">
        <f>AVERAGE(D9:D21)</f>
        <v>330979000</v>
      </c>
      <c r="E23" s="94">
        <f>AVERAGE(E9:E21)</f>
        <v>-825.46153846153845</v>
      </c>
      <c r="F23" s="95">
        <f>AVERAGE(F9:F21)</f>
        <v>218068</v>
      </c>
    </row>
    <row r="24" spans="1:6">
      <c r="A24" s="58"/>
      <c r="B24" s="58"/>
      <c r="C24" s="40"/>
      <c r="D24" s="40"/>
      <c r="E24" s="40"/>
      <c r="F24" s="5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workbookViewId="0">
      <selection activeCell="E13" sqref="E13"/>
    </sheetView>
  </sheetViews>
  <sheetFormatPr defaultRowHeight="15"/>
  <cols>
    <col min="1" max="1" width="6.77734375" customWidth="1"/>
    <col min="2" max="7" width="16.77734375" customWidth="1"/>
  </cols>
  <sheetData>
    <row r="1" spans="1:7" ht="15.75">
      <c r="A1" s="39" t="s">
        <v>279</v>
      </c>
    </row>
    <row r="2" spans="1:7" ht="15.75">
      <c r="A2" s="39" t="s">
        <v>399</v>
      </c>
    </row>
    <row r="3" spans="1:7" ht="15.75">
      <c r="A3" s="39" t="str">
        <f>'Plant Balance'!A3</f>
        <v>For the 13 Months Ended December 31, 2022</v>
      </c>
    </row>
    <row r="5" spans="1:7">
      <c r="B5" s="41" t="s">
        <v>350</v>
      </c>
      <c r="C5" s="41" t="s">
        <v>351</v>
      </c>
      <c r="D5" s="41" t="s">
        <v>356</v>
      </c>
      <c r="E5" s="41" t="s">
        <v>352</v>
      </c>
      <c r="F5" s="41" t="s">
        <v>353</v>
      </c>
      <c r="G5" s="41" t="s">
        <v>354</v>
      </c>
    </row>
    <row r="7" spans="1:7" ht="15.75">
      <c r="A7" s="97" t="s">
        <v>4</v>
      </c>
      <c r="B7" s="67"/>
      <c r="C7" s="139" t="s">
        <v>498</v>
      </c>
      <c r="D7" s="139" t="s">
        <v>497</v>
      </c>
      <c r="E7" s="165" t="s">
        <v>586</v>
      </c>
      <c r="F7" s="148" t="s">
        <v>504</v>
      </c>
      <c r="G7" s="93"/>
    </row>
    <row r="8" spans="1:7" ht="15.75">
      <c r="A8" s="101" t="s">
        <v>6</v>
      </c>
      <c r="B8" s="68" t="s">
        <v>344</v>
      </c>
      <c r="C8" s="48" t="s">
        <v>506</v>
      </c>
      <c r="D8" s="48" t="s">
        <v>505</v>
      </c>
      <c r="E8" s="48" t="s">
        <v>582</v>
      </c>
      <c r="F8" s="48" t="s">
        <v>503</v>
      </c>
      <c r="G8" s="49" t="s">
        <v>9</v>
      </c>
    </row>
    <row r="9" spans="1:7">
      <c r="A9" s="62">
        <v>1</v>
      </c>
      <c r="B9" s="65">
        <f>'Plant Balance'!B9</f>
        <v>44531</v>
      </c>
      <c r="C9" s="53">
        <v>0</v>
      </c>
      <c r="D9" s="53">
        <v>0</v>
      </c>
      <c r="E9" s="53">
        <v>0</v>
      </c>
      <c r="F9" s="53">
        <v>0</v>
      </c>
      <c r="G9" s="84">
        <f t="shared" ref="G9:G21" si="0">SUM(C9:F9)</f>
        <v>0</v>
      </c>
    </row>
    <row r="10" spans="1:7">
      <c r="A10" s="63">
        <v>2</v>
      </c>
      <c r="B10" s="66">
        <f>'Plant Balance'!B10</f>
        <v>44562</v>
      </c>
      <c r="C10" s="14">
        <v>0</v>
      </c>
      <c r="D10" s="14">
        <v>0</v>
      </c>
      <c r="E10" s="14">
        <v>0</v>
      </c>
      <c r="F10" s="149">
        <v>0</v>
      </c>
      <c r="G10" s="13">
        <f t="shared" si="0"/>
        <v>0</v>
      </c>
    </row>
    <row r="11" spans="1:7">
      <c r="A11" s="63">
        <v>3</v>
      </c>
      <c r="B11" s="66">
        <f>'Plant Balance'!B11</f>
        <v>44593</v>
      </c>
      <c r="C11" s="14">
        <v>0</v>
      </c>
      <c r="D11" s="14">
        <v>0</v>
      </c>
      <c r="E11" s="14">
        <v>0</v>
      </c>
      <c r="F11" s="149">
        <v>0</v>
      </c>
      <c r="G11" s="13">
        <f t="shared" si="0"/>
        <v>0</v>
      </c>
    </row>
    <row r="12" spans="1:7">
      <c r="A12" s="63">
        <v>4</v>
      </c>
      <c r="B12" s="66">
        <f>'Plant Balance'!B12</f>
        <v>44621</v>
      </c>
      <c r="C12" s="14">
        <v>0</v>
      </c>
      <c r="D12" s="14">
        <v>0</v>
      </c>
      <c r="E12" s="14">
        <v>0</v>
      </c>
      <c r="F12" s="149">
        <v>0</v>
      </c>
      <c r="G12" s="13">
        <f t="shared" si="0"/>
        <v>0</v>
      </c>
    </row>
    <row r="13" spans="1:7">
      <c r="A13" s="63">
        <v>5</v>
      </c>
      <c r="B13" s="66">
        <f>'Plant Balance'!B13</f>
        <v>44652</v>
      </c>
      <c r="C13" s="14">
        <v>0</v>
      </c>
      <c r="D13" s="14">
        <v>0</v>
      </c>
      <c r="E13" s="14">
        <v>0</v>
      </c>
      <c r="F13" s="149">
        <v>0</v>
      </c>
      <c r="G13" s="13">
        <f t="shared" si="0"/>
        <v>0</v>
      </c>
    </row>
    <row r="14" spans="1:7">
      <c r="A14" s="63">
        <v>6</v>
      </c>
      <c r="B14" s="66">
        <f>'Plant Balance'!B14</f>
        <v>44682</v>
      </c>
      <c r="C14" s="14">
        <v>0</v>
      </c>
      <c r="D14" s="14">
        <v>0</v>
      </c>
      <c r="E14" s="14">
        <v>0</v>
      </c>
      <c r="F14" s="149">
        <v>0</v>
      </c>
      <c r="G14" s="13">
        <f t="shared" si="0"/>
        <v>0</v>
      </c>
    </row>
    <row r="15" spans="1:7">
      <c r="A15" s="63">
        <v>7</v>
      </c>
      <c r="B15" s="66">
        <f>'Plant Balance'!B15</f>
        <v>44713</v>
      </c>
      <c r="C15" s="14">
        <v>0</v>
      </c>
      <c r="D15" s="14">
        <v>0</v>
      </c>
      <c r="E15" s="14">
        <v>0</v>
      </c>
      <c r="F15" s="149">
        <v>0</v>
      </c>
      <c r="G15" s="13">
        <f t="shared" si="0"/>
        <v>0</v>
      </c>
    </row>
    <row r="16" spans="1:7">
      <c r="A16" s="63">
        <v>8</v>
      </c>
      <c r="B16" s="66">
        <f>'Plant Balance'!B16</f>
        <v>44743</v>
      </c>
      <c r="C16" s="14">
        <v>0</v>
      </c>
      <c r="D16" s="14">
        <v>0</v>
      </c>
      <c r="E16" s="14">
        <v>0</v>
      </c>
      <c r="F16" s="14">
        <v>0</v>
      </c>
      <c r="G16" s="13">
        <f t="shared" si="0"/>
        <v>0</v>
      </c>
    </row>
    <row r="17" spans="1:7">
      <c r="A17" s="63">
        <v>9</v>
      </c>
      <c r="B17" s="66">
        <f>'Plant Balance'!B17</f>
        <v>44774</v>
      </c>
      <c r="C17" s="14">
        <v>0</v>
      </c>
      <c r="D17" s="14">
        <v>0</v>
      </c>
      <c r="E17" s="14">
        <v>0</v>
      </c>
      <c r="F17" s="14">
        <v>0</v>
      </c>
      <c r="G17" s="13">
        <f t="shared" si="0"/>
        <v>0</v>
      </c>
    </row>
    <row r="18" spans="1:7">
      <c r="A18" s="63">
        <v>10</v>
      </c>
      <c r="B18" s="66">
        <f>'Plant Balance'!B18</f>
        <v>44805</v>
      </c>
      <c r="C18" s="14">
        <v>0</v>
      </c>
      <c r="D18" s="14">
        <v>0</v>
      </c>
      <c r="E18" s="149">
        <v>0</v>
      </c>
      <c r="F18" s="14">
        <v>0</v>
      </c>
      <c r="G18" s="13">
        <f t="shared" si="0"/>
        <v>0</v>
      </c>
    </row>
    <row r="19" spans="1:7">
      <c r="A19" s="63">
        <v>11</v>
      </c>
      <c r="B19" s="66">
        <f>'Plant Balance'!B19</f>
        <v>44835</v>
      </c>
      <c r="C19" s="14">
        <v>0</v>
      </c>
      <c r="D19" s="14">
        <v>0</v>
      </c>
      <c r="E19" s="149">
        <v>0</v>
      </c>
      <c r="F19" s="14">
        <v>0</v>
      </c>
      <c r="G19" s="13">
        <f t="shared" si="0"/>
        <v>0</v>
      </c>
    </row>
    <row r="20" spans="1:7">
      <c r="A20" s="63">
        <v>12</v>
      </c>
      <c r="B20" s="66">
        <f>'Plant Balance'!B20</f>
        <v>44866</v>
      </c>
      <c r="C20" s="14">
        <v>0</v>
      </c>
      <c r="D20" s="14">
        <v>0</v>
      </c>
      <c r="E20" s="149">
        <v>0</v>
      </c>
      <c r="F20" s="14">
        <v>0</v>
      </c>
      <c r="G20" s="13">
        <f t="shared" si="0"/>
        <v>0</v>
      </c>
    </row>
    <row r="21" spans="1:7">
      <c r="A21" s="63">
        <v>13</v>
      </c>
      <c r="B21" s="66">
        <f>'Plant Balance'!B21</f>
        <v>44896</v>
      </c>
      <c r="C21" s="40">
        <v>0</v>
      </c>
      <c r="D21" s="40">
        <v>0</v>
      </c>
      <c r="E21" s="40">
        <v>0</v>
      </c>
      <c r="F21" s="40">
        <v>0</v>
      </c>
      <c r="G21" s="59">
        <f t="shared" si="0"/>
        <v>0</v>
      </c>
    </row>
    <row r="22" spans="1:7">
      <c r="A22" s="63">
        <v>14</v>
      </c>
      <c r="B22" s="12"/>
      <c r="C22" s="14"/>
      <c r="D22" s="14"/>
      <c r="E22" s="14"/>
      <c r="F22" s="14"/>
      <c r="G22" s="13"/>
    </row>
    <row r="23" spans="1:7" ht="15.75">
      <c r="A23" s="63">
        <v>15</v>
      </c>
      <c r="B23" s="74" t="s">
        <v>349</v>
      </c>
      <c r="C23" s="14">
        <f>AVERAGE(C9:C21)</f>
        <v>0</v>
      </c>
      <c r="D23" s="14">
        <f>AVERAGE(D9:D21)</f>
        <v>0</v>
      </c>
      <c r="E23" s="14">
        <f>AVERAGE(E9:E21)</f>
        <v>0</v>
      </c>
      <c r="F23" s="14">
        <f t="shared" ref="F23" si="1">AVERAGE(F9:F21)</f>
        <v>0</v>
      </c>
      <c r="G23" s="79">
        <f>AVERAGE(G9:G21)</f>
        <v>0</v>
      </c>
    </row>
    <row r="24" spans="1:7">
      <c r="A24" s="52"/>
      <c r="B24" s="58"/>
      <c r="C24" s="40"/>
      <c r="D24" s="40"/>
      <c r="E24" s="40"/>
      <c r="F24" s="40"/>
      <c r="G24" s="59"/>
    </row>
    <row r="26" spans="1:7">
      <c r="A26" s="146"/>
    </row>
    <row r="27" spans="1:7">
      <c r="A27" s="146"/>
    </row>
  </sheetData>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2"/>
  <sheetViews>
    <sheetView zoomScaleNormal="100" workbookViewId="0">
      <selection sqref="A1:XFD1048576"/>
    </sheetView>
  </sheetViews>
  <sheetFormatPr defaultRowHeight="16.5"/>
  <cols>
    <col min="1" max="1" width="8.88671875" style="163"/>
    <col min="2" max="2" width="9.88671875" style="163" customWidth="1"/>
    <col min="3" max="3" width="8.21875" style="163" bestFit="1" customWidth="1"/>
    <col min="4" max="4" width="8.88671875" style="163"/>
    <col min="5" max="5" width="13.88671875" style="163" bestFit="1" customWidth="1"/>
    <col min="6" max="6" width="13.109375" style="163" bestFit="1" customWidth="1"/>
    <col min="7" max="7" width="12.5546875" style="163" bestFit="1" customWidth="1"/>
    <col min="8" max="8" width="12.6640625" style="163" bestFit="1" customWidth="1"/>
    <col min="9" max="9" width="10.33203125" style="163" bestFit="1" customWidth="1"/>
    <col min="10" max="10" width="13.21875" style="163" bestFit="1" customWidth="1"/>
    <col min="11" max="11" width="11" style="163" bestFit="1" customWidth="1"/>
    <col min="12" max="12" width="15.6640625" style="163" bestFit="1" customWidth="1"/>
    <col min="13" max="13" width="13.109375" style="163" bestFit="1" customWidth="1"/>
    <col min="14" max="14" width="8.88671875" style="163"/>
    <col min="15" max="16384" width="8.88671875" style="401"/>
  </cols>
  <sheetData>
    <row r="1" spans="1:19" s="163" customFormat="1">
      <c r="M1" s="154" t="s">
        <v>516</v>
      </c>
      <c r="O1" s="401"/>
      <c r="P1" s="401"/>
      <c r="Q1" s="401"/>
      <c r="R1" s="401"/>
      <c r="S1" s="401"/>
    </row>
    <row r="2" spans="1:19" s="163" customFormat="1">
      <c r="M2" s="154" t="s">
        <v>575</v>
      </c>
      <c r="O2" s="401"/>
      <c r="P2" s="401"/>
      <c r="Q2" s="401"/>
      <c r="R2" s="401"/>
      <c r="S2" s="401"/>
    </row>
    <row r="3" spans="1:19" s="163" customFormat="1">
      <c r="M3" s="154" t="s">
        <v>517</v>
      </c>
      <c r="O3" s="401"/>
      <c r="P3" s="401"/>
      <c r="Q3" s="401"/>
      <c r="R3" s="401"/>
      <c r="S3" s="401"/>
    </row>
    <row r="4" spans="1:19" s="163" customFormat="1">
      <c r="A4" s="462" t="s">
        <v>574</v>
      </c>
      <c r="B4" s="462"/>
      <c r="C4" s="462"/>
      <c r="D4" s="462"/>
      <c r="E4" s="462"/>
      <c r="F4" s="462"/>
      <c r="G4" s="462"/>
      <c r="H4" s="462"/>
      <c r="I4" s="462"/>
      <c r="J4" s="462"/>
      <c r="K4" s="462"/>
      <c r="L4" s="462"/>
      <c r="M4" s="462"/>
      <c r="O4" s="401"/>
      <c r="P4" s="401"/>
      <c r="Q4" s="401"/>
      <c r="R4" s="401"/>
      <c r="S4" s="401"/>
    </row>
    <row r="5" spans="1:19" s="163" customFormat="1">
      <c r="E5" s="402"/>
      <c r="F5" s="402"/>
      <c r="G5" s="402"/>
      <c r="H5" s="402"/>
      <c r="I5" s="402"/>
      <c r="J5" s="402"/>
      <c r="K5" s="402"/>
      <c r="L5" s="402"/>
      <c r="O5" s="401"/>
      <c r="P5" s="401"/>
      <c r="Q5" s="401"/>
      <c r="R5" s="401"/>
      <c r="S5" s="401"/>
    </row>
    <row r="6" spans="1:19" s="163" customFormat="1">
      <c r="E6" s="402"/>
      <c r="F6" s="402"/>
      <c r="G6" s="402"/>
      <c r="H6" s="402"/>
      <c r="I6" s="402"/>
      <c r="J6" s="402"/>
      <c r="K6" s="402"/>
      <c r="L6" s="402"/>
      <c r="O6" s="401"/>
      <c r="P6" s="401"/>
      <c r="Q6" s="401"/>
      <c r="R6" s="401"/>
      <c r="S6" s="401"/>
    </row>
    <row r="7" spans="1:19" s="163" customFormat="1">
      <c r="A7" s="403" t="s">
        <v>518</v>
      </c>
      <c r="E7" s="402"/>
      <c r="F7" s="402"/>
      <c r="G7" s="402"/>
      <c r="H7" s="402"/>
      <c r="I7" s="402"/>
      <c r="J7" s="402"/>
      <c r="K7" s="402"/>
      <c r="L7" s="402"/>
      <c r="O7" s="401"/>
      <c r="P7" s="401"/>
      <c r="Q7" s="401"/>
      <c r="R7" s="401"/>
      <c r="S7" s="401"/>
    </row>
    <row r="8" spans="1:19" s="163" customFormat="1">
      <c r="E8" s="402"/>
      <c r="F8" s="402"/>
      <c r="G8" s="402"/>
      <c r="H8" s="402"/>
      <c r="I8" s="402"/>
      <c r="J8" s="402"/>
      <c r="K8" s="402"/>
      <c r="L8" s="402"/>
      <c r="O8" s="401"/>
      <c r="P8" s="401"/>
      <c r="Q8" s="401"/>
      <c r="R8" s="401"/>
      <c r="S8" s="401"/>
    </row>
    <row r="9" spans="1:19" s="163" customFormat="1">
      <c r="B9" s="163" t="s">
        <v>519</v>
      </c>
      <c r="C9" s="163" t="s">
        <v>520</v>
      </c>
      <c r="D9" s="163" t="s">
        <v>521</v>
      </c>
      <c r="E9" s="402" t="s">
        <v>522</v>
      </c>
      <c r="F9" s="402" t="s">
        <v>523</v>
      </c>
      <c r="G9" s="402" t="s">
        <v>524</v>
      </c>
      <c r="H9" s="402" t="s">
        <v>525</v>
      </c>
      <c r="I9" s="402" t="s">
        <v>526</v>
      </c>
      <c r="J9" s="402" t="s">
        <v>527</v>
      </c>
      <c r="K9" s="402" t="s">
        <v>528</v>
      </c>
      <c r="L9" s="402" t="s">
        <v>529</v>
      </c>
      <c r="M9" s="402" t="s">
        <v>530</v>
      </c>
      <c r="O9" s="401"/>
      <c r="P9" s="401"/>
      <c r="Q9" s="401"/>
      <c r="R9" s="401"/>
      <c r="S9" s="401"/>
    </row>
    <row r="10" spans="1:19" s="163" customFormat="1">
      <c r="B10" s="402" t="s">
        <v>531</v>
      </c>
      <c r="E10" s="402" t="s">
        <v>532</v>
      </c>
      <c r="F10" s="402"/>
      <c r="G10" s="404">
        <v>1</v>
      </c>
      <c r="H10" s="402" t="s">
        <v>533</v>
      </c>
      <c r="I10" s="402" t="s">
        <v>534</v>
      </c>
      <c r="J10" s="402" t="s">
        <v>535</v>
      </c>
      <c r="K10" s="402" t="s">
        <v>536</v>
      </c>
      <c r="L10" s="402" t="s">
        <v>537</v>
      </c>
      <c r="M10" s="402" t="s">
        <v>538</v>
      </c>
      <c r="O10" s="401"/>
      <c r="P10" s="401"/>
      <c r="Q10" s="401"/>
      <c r="R10" s="401"/>
      <c r="S10" s="401"/>
    </row>
    <row r="11" spans="1:19" s="163" customFormat="1">
      <c r="B11" s="402" t="s">
        <v>539</v>
      </c>
      <c r="E11" s="402" t="s">
        <v>540</v>
      </c>
      <c r="F11" s="402" t="s">
        <v>7</v>
      </c>
      <c r="G11" s="402" t="s">
        <v>38</v>
      </c>
      <c r="H11" s="404" t="s">
        <v>541</v>
      </c>
      <c r="I11" s="402" t="s">
        <v>542</v>
      </c>
      <c r="J11" s="404" t="s">
        <v>543</v>
      </c>
      <c r="K11" s="402" t="s">
        <v>544</v>
      </c>
      <c r="L11" s="404" t="s">
        <v>545</v>
      </c>
      <c r="M11" s="402" t="s">
        <v>546</v>
      </c>
      <c r="O11" s="401"/>
      <c r="P11" s="401"/>
      <c r="Q11" s="401"/>
      <c r="R11" s="401"/>
      <c r="S11" s="401"/>
    </row>
    <row r="12" spans="1:19" s="163" customFormat="1">
      <c r="B12" s="402" t="s">
        <v>547</v>
      </c>
      <c r="E12" s="402"/>
      <c r="F12" s="402"/>
      <c r="G12" s="402"/>
      <c r="H12" s="155">
        <v>1</v>
      </c>
      <c r="I12" s="402"/>
      <c r="J12" s="166">
        <f>'Nonlevelized-IOU'!G114</f>
        <v>0.1064166664339168</v>
      </c>
      <c r="K12" s="402"/>
      <c r="L12" s="166">
        <f>'Nonlevelized-IOU'!I262</f>
        <v>6.2441158820641843E-2</v>
      </c>
      <c r="M12" s="402" t="s">
        <v>548</v>
      </c>
      <c r="O12" s="401"/>
      <c r="P12" s="401"/>
      <c r="Q12" s="401"/>
      <c r="R12" s="401"/>
      <c r="S12" s="401"/>
    </row>
    <row r="13" spans="1:19" s="163" customFormat="1">
      <c r="B13" s="402" t="s">
        <v>549</v>
      </c>
      <c r="E13" s="402"/>
      <c r="F13" s="402"/>
      <c r="G13" s="402"/>
      <c r="H13" s="156"/>
      <c r="I13" s="402"/>
      <c r="J13" s="402" t="s">
        <v>550</v>
      </c>
      <c r="K13" s="402"/>
      <c r="L13" s="402" t="s">
        <v>550</v>
      </c>
      <c r="M13" s="402"/>
      <c r="O13" s="401"/>
      <c r="P13" s="401"/>
      <c r="Q13" s="401"/>
      <c r="R13" s="401"/>
      <c r="S13" s="401"/>
    </row>
    <row r="14" spans="1:19">
      <c r="B14" s="159"/>
      <c r="C14" s="157" t="s">
        <v>551</v>
      </c>
      <c r="E14" s="402"/>
      <c r="F14" s="402"/>
      <c r="G14" s="402"/>
      <c r="H14" s="402"/>
      <c r="I14" s="402"/>
      <c r="J14" s="402" t="s">
        <v>552</v>
      </c>
      <c r="K14" s="402"/>
      <c r="L14" s="402" t="s">
        <v>553</v>
      </c>
      <c r="M14" s="402"/>
    </row>
    <row r="15" spans="1:19">
      <c r="B15" s="163" t="s">
        <v>554</v>
      </c>
      <c r="C15" s="163" t="s">
        <v>555</v>
      </c>
      <c r="D15" s="405">
        <v>2021</v>
      </c>
      <c r="E15" s="406">
        <v>1</v>
      </c>
      <c r="F15" s="158">
        <v>-3414638440.3354402</v>
      </c>
      <c r="G15" s="158">
        <v>-286225932.29487199</v>
      </c>
      <c r="H15" s="158">
        <f t="shared" ref="H15:H27" si="0">+H$12*G15</f>
        <v>-286225932.29487199</v>
      </c>
      <c r="I15" s="158">
        <v>0</v>
      </c>
      <c r="J15" s="158">
        <f t="shared" ref="J15:J27" si="1">+I15*J$12</f>
        <v>0</v>
      </c>
      <c r="K15" s="158">
        <v>-60457898.697149999</v>
      </c>
      <c r="L15" s="158">
        <f t="shared" ref="L15:L27" si="2">+K15*L$12</f>
        <v>-3775061.2545110187</v>
      </c>
      <c r="M15" s="407">
        <f t="shared" ref="M15:M27" si="3">(L15+J15+H15)*E15</f>
        <v>-290000993.54938298</v>
      </c>
      <c r="N15" s="408"/>
      <c r="O15" s="409"/>
      <c r="P15" s="409"/>
      <c r="Q15" s="409"/>
      <c r="R15" s="409"/>
      <c r="S15" s="409"/>
    </row>
    <row r="16" spans="1:19">
      <c r="B16" s="163" t="s">
        <v>556</v>
      </c>
      <c r="C16" s="163" t="s">
        <v>557</v>
      </c>
      <c r="D16" s="405">
        <v>2022</v>
      </c>
      <c r="E16" s="406">
        <v>0.9178082191780822</v>
      </c>
      <c r="F16" s="158">
        <v>2059046.3756499812</v>
      </c>
      <c r="G16" s="158">
        <v>-959545.74661597144</v>
      </c>
      <c r="H16" s="158">
        <f t="shared" si="0"/>
        <v>-959545.74661597144</v>
      </c>
      <c r="I16" s="158">
        <v>0</v>
      </c>
      <c r="J16" s="158">
        <f t="shared" si="1"/>
        <v>0</v>
      </c>
      <c r="K16" s="407">
        <v>55243.424061714904</v>
      </c>
      <c r="L16" s="158">
        <f t="shared" si="2"/>
        <v>3449.4634156336074</v>
      </c>
      <c r="M16" s="407">
        <f t="shared" si="3"/>
        <v>-877513.02704688534</v>
      </c>
      <c r="N16" s="410"/>
      <c r="O16" s="411"/>
      <c r="P16" s="409"/>
      <c r="Q16" s="409"/>
      <c r="R16" s="409"/>
      <c r="S16" s="411"/>
    </row>
    <row r="17" spans="2:19">
      <c r="B17" s="163" t="s">
        <v>556</v>
      </c>
      <c r="C17" s="159" t="s">
        <v>558</v>
      </c>
      <c r="D17" s="405">
        <f>D16</f>
        <v>2022</v>
      </c>
      <c r="E17" s="406">
        <v>0.84109589041095889</v>
      </c>
      <c r="F17" s="158">
        <v>2612778.179729823</v>
      </c>
      <c r="G17" s="158">
        <v>-920231.30656802095</v>
      </c>
      <c r="H17" s="158">
        <f t="shared" si="0"/>
        <v>-920231.30656802095</v>
      </c>
      <c r="I17" s="158">
        <v>0</v>
      </c>
      <c r="J17" s="158">
        <f t="shared" si="1"/>
        <v>0</v>
      </c>
      <c r="K17" s="407">
        <v>46246.173781219113</v>
      </c>
      <c r="L17" s="158">
        <f t="shared" si="2"/>
        <v>2887.6646819201055</v>
      </c>
      <c r="M17" s="407">
        <f t="shared" si="3"/>
        <v>-771573.96728502179</v>
      </c>
      <c r="N17" s="410"/>
      <c r="O17" s="411"/>
      <c r="P17" s="409"/>
      <c r="Q17" s="409"/>
      <c r="R17" s="409"/>
      <c r="S17" s="411"/>
    </row>
    <row r="18" spans="2:19">
      <c r="B18" s="163" t="s">
        <v>556</v>
      </c>
      <c r="C18" s="159" t="s">
        <v>559</v>
      </c>
      <c r="D18" s="405">
        <f t="shared" ref="D18:D28" si="4">D17</f>
        <v>2022</v>
      </c>
      <c r="E18" s="406">
        <v>0.75616438356164384</v>
      </c>
      <c r="F18" s="158">
        <v>14043852.053220384</v>
      </c>
      <c r="G18" s="158">
        <v>-890205.48794197384</v>
      </c>
      <c r="H18" s="158">
        <f t="shared" si="0"/>
        <v>-890205.48794197384</v>
      </c>
      <c r="I18" s="158">
        <v>0</v>
      </c>
      <c r="J18" s="158">
        <f t="shared" si="1"/>
        <v>0</v>
      </c>
      <c r="K18" s="407">
        <v>248576.18134199583</v>
      </c>
      <c r="L18" s="158">
        <f t="shared" si="2"/>
        <v>15521.384818204229</v>
      </c>
      <c r="M18" s="407">
        <f t="shared" si="3"/>
        <v>-661404.96564975462</v>
      </c>
      <c r="N18" s="410"/>
      <c r="O18" s="411"/>
      <c r="P18" s="409"/>
      <c r="Q18" s="409"/>
      <c r="R18" s="409"/>
      <c r="S18" s="411"/>
    </row>
    <row r="19" spans="2:19">
      <c r="B19" s="163" t="s">
        <v>556</v>
      </c>
      <c r="C19" s="159" t="s">
        <v>560</v>
      </c>
      <c r="D19" s="405">
        <f t="shared" si="4"/>
        <v>2022</v>
      </c>
      <c r="E19" s="406">
        <v>0.67397260273972603</v>
      </c>
      <c r="F19" s="158">
        <v>35606045.946239963</v>
      </c>
      <c r="G19" s="158">
        <v>-893253.24844702845</v>
      </c>
      <c r="H19" s="158">
        <f t="shared" si="0"/>
        <v>-893253.24844702845</v>
      </c>
      <c r="I19" s="158">
        <v>0</v>
      </c>
      <c r="J19" s="158">
        <f t="shared" si="1"/>
        <v>0</v>
      </c>
      <c r="K19" s="407">
        <v>630227.01324844826</v>
      </c>
      <c r="L19" s="158">
        <f t="shared" si="2"/>
        <v>39352.105027305108</v>
      </c>
      <c r="M19" s="407">
        <f t="shared" si="3"/>
        <v>-575505.97611301905</v>
      </c>
      <c r="N19" s="410"/>
      <c r="O19" s="411"/>
      <c r="P19" s="409"/>
      <c r="Q19" s="409"/>
      <c r="R19" s="409"/>
      <c r="S19" s="411"/>
    </row>
    <row r="20" spans="2:19">
      <c r="B20" s="163" t="s">
        <v>556</v>
      </c>
      <c r="C20" s="159" t="s">
        <v>561</v>
      </c>
      <c r="D20" s="405">
        <f t="shared" si="4"/>
        <v>2022</v>
      </c>
      <c r="E20" s="406">
        <v>0.58904109589041098</v>
      </c>
      <c r="F20" s="158">
        <v>5703434.7381200641</v>
      </c>
      <c r="G20" s="158">
        <v>-887845.75443097856</v>
      </c>
      <c r="H20" s="158">
        <f t="shared" si="0"/>
        <v>-887845.75443097856</v>
      </c>
      <c r="I20" s="158">
        <v>0</v>
      </c>
      <c r="J20" s="158">
        <f t="shared" si="1"/>
        <v>0</v>
      </c>
      <c r="K20" s="407">
        <v>100950.79486472969</v>
      </c>
      <c r="L20" s="158">
        <f t="shared" si="2"/>
        <v>6303.484615218621</v>
      </c>
      <c r="M20" s="407">
        <f t="shared" si="3"/>
        <v>-519264.62468599563</v>
      </c>
      <c r="N20" s="410"/>
      <c r="O20" s="411"/>
      <c r="P20" s="409"/>
      <c r="Q20" s="409"/>
      <c r="R20" s="409"/>
      <c r="S20" s="411"/>
    </row>
    <row r="21" spans="2:19">
      <c r="B21" s="163" t="s">
        <v>556</v>
      </c>
      <c r="C21" s="159" t="s">
        <v>562</v>
      </c>
      <c r="D21" s="405">
        <f t="shared" si="4"/>
        <v>2022</v>
      </c>
      <c r="E21" s="406">
        <v>0.50684931506849318</v>
      </c>
      <c r="F21" s="158">
        <v>-45378257.112240419</v>
      </c>
      <c r="G21" s="158">
        <v>-1010930.0231350353</v>
      </c>
      <c r="H21" s="158">
        <f t="shared" si="0"/>
        <v>-1010930.0231350353</v>
      </c>
      <c r="I21" s="158">
        <v>0</v>
      </c>
      <c r="J21" s="158">
        <f t="shared" si="1"/>
        <v>0</v>
      </c>
      <c r="K21" s="407">
        <v>-803195.15088665509</v>
      </c>
      <c r="L21" s="158">
        <f t="shared" si="2"/>
        <v>-50152.435980483016</v>
      </c>
      <c r="M21" s="407">
        <f t="shared" si="3"/>
        <v>-537808.91763389285</v>
      </c>
      <c r="N21" s="410"/>
      <c r="O21" s="411"/>
      <c r="P21" s="409"/>
      <c r="Q21" s="409"/>
      <c r="R21" s="409"/>
      <c r="S21" s="411"/>
    </row>
    <row r="22" spans="2:19">
      <c r="B22" s="163" t="s">
        <v>556</v>
      </c>
      <c r="C22" s="159" t="s">
        <v>563</v>
      </c>
      <c r="D22" s="405">
        <f t="shared" si="4"/>
        <v>2022</v>
      </c>
      <c r="E22" s="406">
        <v>0.42191780821917807</v>
      </c>
      <c r="F22" s="158">
        <v>-58413408.169149891</v>
      </c>
      <c r="G22" s="158">
        <v>-1025389.2824020004</v>
      </c>
      <c r="H22" s="158">
        <f t="shared" si="0"/>
        <v>-1025389.2824020004</v>
      </c>
      <c r="I22" s="158">
        <v>0</v>
      </c>
      <c r="J22" s="158">
        <f t="shared" si="1"/>
        <v>0</v>
      </c>
      <c r="K22" s="407">
        <v>-1033917.3245939601</v>
      </c>
      <c r="L22" s="158">
        <f t="shared" si="2"/>
        <v>-64558.995872384563</v>
      </c>
      <c r="M22" s="407">
        <f t="shared" si="3"/>
        <v>-459868.58864179533</v>
      </c>
      <c r="N22" s="410"/>
      <c r="O22" s="411"/>
      <c r="P22" s="409"/>
      <c r="Q22" s="409"/>
      <c r="R22" s="409"/>
      <c r="S22" s="411"/>
    </row>
    <row r="23" spans="2:19">
      <c r="B23" s="163" t="s">
        <v>556</v>
      </c>
      <c r="C23" s="159" t="s">
        <v>564</v>
      </c>
      <c r="D23" s="405">
        <f t="shared" si="4"/>
        <v>2022</v>
      </c>
      <c r="E23" s="406">
        <v>0.33698630136986302</v>
      </c>
      <c r="F23" s="158">
        <v>-57199194.954860024</v>
      </c>
      <c r="G23" s="158">
        <v>-987095.62842798186</v>
      </c>
      <c r="H23" s="158">
        <f t="shared" si="0"/>
        <v>-987095.62842798186</v>
      </c>
      <c r="I23" s="158">
        <v>0</v>
      </c>
      <c r="J23" s="158">
        <f t="shared" si="1"/>
        <v>0</v>
      </c>
      <c r="K23" s="407">
        <v>-1012425.7507010188</v>
      </c>
      <c r="L23" s="158">
        <f t="shared" si="2"/>
        <v>-63217.037093629864</v>
      </c>
      <c r="M23" s="407">
        <f t="shared" si="3"/>
        <v>-353940.98043604998</v>
      </c>
      <c r="N23" s="410"/>
      <c r="O23" s="411"/>
      <c r="P23" s="409"/>
      <c r="Q23" s="409"/>
      <c r="R23" s="409"/>
      <c r="S23" s="411"/>
    </row>
    <row r="24" spans="2:19">
      <c r="B24" s="163" t="s">
        <v>556</v>
      </c>
      <c r="C24" s="159" t="s">
        <v>565</v>
      </c>
      <c r="D24" s="405">
        <f t="shared" si="4"/>
        <v>2022</v>
      </c>
      <c r="E24" s="406">
        <v>0.25479452054794521</v>
      </c>
      <c r="F24" s="158">
        <v>-35860904.289969712</v>
      </c>
      <c r="G24" s="158">
        <v>-952113.9510590001</v>
      </c>
      <c r="H24" s="158">
        <f t="shared" si="0"/>
        <v>-952113.9510590001</v>
      </c>
      <c r="I24" s="158">
        <v>0</v>
      </c>
      <c r="J24" s="158">
        <f t="shared" si="1"/>
        <v>0</v>
      </c>
      <c r="K24" s="407">
        <v>-634738.00593246415</v>
      </c>
      <c r="L24" s="158">
        <f t="shared" si="2"/>
        <v>-39633.776637926501</v>
      </c>
      <c r="M24" s="407">
        <f t="shared" si="3"/>
        <v>-252691.88678305253</v>
      </c>
      <c r="N24" s="410"/>
      <c r="O24" s="411"/>
      <c r="P24" s="409"/>
      <c r="Q24" s="409"/>
      <c r="R24" s="409"/>
      <c r="S24" s="411"/>
    </row>
    <row r="25" spans="2:19">
      <c r="B25" s="163" t="s">
        <v>556</v>
      </c>
      <c r="C25" s="159" t="s">
        <v>566</v>
      </c>
      <c r="D25" s="405">
        <f t="shared" si="4"/>
        <v>2022</v>
      </c>
      <c r="E25" s="406">
        <v>0.16986301369863013</v>
      </c>
      <c r="F25" s="158">
        <v>442487.12273966521</v>
      </c>
      <c r="G25" s="158">
        <v>-963412.03895199578</v>
      </c>
      <c r="H25" s="158">
        <f t="shared" si="0"/>
        <v>-963412.03895199578</v>
      </c>
      <c r="I25" s="158">
        <v>0</v>
      </c>
      <c r="J25" s="158">
        <f t="shared" si="1"/>
        <v>0</v>
      </c>
      <c r="K25" s="407">
        <v>7832.0220724926912</v>
      </c>
      <c r="L25" s="158">
        <f t="shared" si="2"/>
        <v>489.04053411528861</v>
      </c>
      <c r="M25" s="407">
        <f t="shared" si="3"/>
        <v>-163565.00247098244</v>
      </c>
      <c r="N25" s="410"/>
      <c r="O25" s="411"/>
      <c r="P25" s="409"/>
      <c r="Q25" s="409"/>
      <c r="R25" s="409"/>
      <c r="S25" s="411"/>
    </row>
    <row r="26" spans="2:19">
      <c r="B26" s="163" t="s">
        <v>556</v>
      </c>
      <c r="C26" s="159" t="s">
        <v>567</v>
      </c>
      <c r="D26" s="405">
        <f t="shared" si="4"/>
        <v>2022</v>
      </c>
      <c r="E26" s="406">
        <v>8.7671232876712329E-2</v>
      </c>
      <c r="F26" s="158">
        <v>4444506.3751502894</v>
      </c>
      <c r="G26" s="158">
        <v>-989031.08019602951</v>
      </c>
      <c r="H26" s="158">
        <f t="shared" si="0"/>
        <v>-989031.08019602951</v>
      </c>
      <c r="I26" s="158">
        <v>0</v>
      </c>
      <c r="J26" s="158">
        <f t="shared" si="1"/>
        <v>0</v>
      </c>
      <c r="K26" s="407">
        <v>78667.762840159412</v>
      </c>
      <c r="L26" s="158">
        <f t="shared" si="2"/>
        <v>4912.1062735669802</v>
      </c>
      <c r="M26" s="407">
        <f t="shared" si="3"/>
        <v>-86278.923741147402</v>
      </c>
      <c r="N26" s="410"/>
      <c r="O26" s="411"/>
      <c r="P26" s="409"/>
      <c r="Q26" s="409"/>
      <c r="R26" s="409"/>
      <c r="S26" s="411"/>
    </row>
    <row r="27" spans="2:19">
      <c r="B27" s="163" t="s">
        <v>556</v>
      </c>
      <c r="C27" s="163" t="str">
        <f>+C15</f>
        <v xml:space="preserve">December </v>
      </c>
      <c r="D27" s="405">
        <f t="shared" si="4"/>
        <v>2022</v>
      </c>
      <c r="E27" s="406">
        <v>2.7397260273972603E-3</v>
      </c>
      <c r="F27" s="158">
        <v>8526919.6448996663</v>
      </c>
      <c r="G27" s="158">
        <v>-1350954.8023259849</v>
      </c>
      <c r="H27" s="158">
        <f t="shared" si="0"/>
        <v>-1350954.8023259849</v>
      </c>
      <c r="I27" s="158">
        <v>0</v>
      </c>
      <c r="J27" s="158">
        <f t="shared" si="1"/>
        <v>0</v>
      </c>
      <c r="K27" s="407">
        <v>150926.47771472548</v>
      </c>
      <c r="L27" s="158">
        <f t="shared" si="2"/>
        <v>9424.0241652252353</v>
      </c>
      <c r="M27" s="407">
        <f t="shared" si="3"/>
        <v>-3675.4267894815334</v>
      </c>
      <c r="N27" s="410"/>
      <c r="O27" s="411"/>
      <c r="P27" s="409"/>
      <c r="Q27" s="409"/>
      <c r="R27" s="409"/>
      <c r="S27" s="411"/>
    </row>
    <row r="28" spans="2:19">
      <c r="B28" s="163" t="s">
        <v>568</v>
      </c>
      <c r="D28" s="405">
        <f t="shared" si="4"/>
        <v>2022</v>
      </c>
      <c r="E28" s="160" t="s">
        <v>554</v>
      </c>
      <c r="F28" s="158">
        <f>SUM(F15:F27)</f>
        <v>-3538051134.4259105</v>
      </c>
      <c r="G28" s="160"/>
      <c r="H28" s="160"/>
      <c r="I28" s="160"/>
      <c r="J28" s="161"/>
      <c r="K28" s="161"/>
      <c r="L28" s="163" t="s">
        <v>569</v>
      </c>
      <c r="M28" s="407">
        <f>SUM(M15:M27)</f>
        <v>-295264085.83666009</v>
      </c>
    </row>
    <row r="29" spans="2:19">
      <c r="D29" s="162"/>
      <c r="E29" s="160"/>
      <c r="F29" s="160"/>
      <c r="G29" s="160"/>
      <c r="H29" s="160"/>
      <c r="I29" s="160"/>
      <c r="J29" s="161"/>
      <c r="K29" s="161"/>
    </row>
    <row r="30" spans="2:19" s="163" customFormat="1">
      <c r="O30" s="401"/>
      <c r="P30" s="401"/>
      <c r="Q30" s="401"/>
      <c r="R30" s="401"/>
      <c r="S30" s="401"/>
    </row>
    <row r="31" spans="2:19" s="163" customFormat="1">
      <c r="B31" s="159"/>
      <c r="C31" s="157" t="s">
        <v>570</v>
      </c>
      <c r="O31" s="401"/>
      <c r="P31" s="401"/>
      <c r="Q31" s="401"/>
      <c r="R31" s="401"/>
      <c r="S31" s="401"/>
    </row>
    <row r="32" spans="2:19" s="163" customFormat="1">
      <c r="B32" s="159" t="s">
        <v>554</v>
      </c>
      <c r="C32" s="159" t="s">
        <v>555</v>
      </c>
      <c r="D32" s="162">
        <f>D15</f>
        <v>2021</v>
      </c>
      <c r="F32" s="158">
        <v>-308303321.08000004</v>
      </c>
      <c r="G32" s="158">
        <v>0</v>
      </c>
      <c r="H32" s="158"/>
      <c r="I32" s="158">
        <v>-8015604.3000000007</v>
      </c>
      <c r="J32" s="158"/>
      <c r="K32" s="158">
        <v>-17901178.600000001</v>
      </c>
      <c r="L32" s="158"/>
      <c r="O32" s="401"/>
      <c r="P32" s="401"/>
      <c r="Q32" s="401"/>
      <c r="R32" s="401"/>
      <c r="S32" s="401"/>
    </row>
    <row r="33" spans="2:19" s="163" customFormat="1">
      <c r="B33" s="159" t="s">
        <v>554</v>
      </c>
      <c r="C33" s="159" t="str">
        <f>+C32</f>
        <v xml:space="preserve">December </v>
      </c>
      <c r="D33" s="162">
        <f>D16</f>
        <v>2022</v>
      </c>
      <c r="F33" s="158">
        <v>-308303321.08000004</v>
      </c>
      <c r="G33" s="158">
        <v>0</v>
      </c>
      <c r="H33" s="158"/>
      <c r="I33" s="158">
        <v>-8015604.3000000007</v>
      </c>
      <c r="J33" s="158"/>
      <c r="K33" s="158">
        <v>-17901178.600000001</v>
      </c>
      <c r="L33" s="158"/>
      <c r="O33" s="401"/>
      <c r="P33" s="401"/>
      <c r="Q33" s="401"/>
      <c r="R33" s="401"/>
      <c r="S33" s="401"/>
    </row>
    <row r="34" spans="2:19" s="163" customFormat="1">
      <c r="B34" s="159"/>
      <c r="C34" s="159" t="s">
        <v>496</v>
      </c>
      <c r="D34" s="412"/>
      <c r="F34" s="158">
        <f>+F32/2+F33/2</f>
        <v>-308303321.08000004</v>
      </c>
      <c r="G34" s="158">
        <f>+G32/2+G33/2</f>
        <v>0</v>
      </c>
      <c r="H34" s="158">
        <f>+H$12*G34</f>
        <v>0</v>
      </c>
      <c r="I34" s="158">
        <f>+I32/2+I33/2</f>
        <v>-8015604.3000000007</v>
      </c>
      <c r="J34" s="158">
        <f>+I34*J$12</f>
        <v>-852993.88905936922</v>
      </c>
      <c r="K34" s="158">
        <f>+K32/2+K33/2</f>
        <v>-17901178.600000001</v>
      </c>
      <c r="L34" s="158">
        <f>+K34*L12</f>
        <v>-1117770.3360392752</v>
      </c>
      <c r="M34" s="413">
        <f>+L34+J34+H34</f>
        <v>-1970764.2250986444</v>
      </c>
      <c r="O34" s="401"/>
      <c r="P34" s="401"/>
      <c r="Q34" s="401"/>
      <c r="R34" s="401"/>
      <c r="S34" s="401"/>
    </row>
    <row r="35" spans="2:19" s="163" customFormat="1">
      <c r="B35" s="159"/>
      <c r="C35" s="159"/>
      <c r="D35" s="412"/>
      <c r="E35" s="158"/>
      <c r="G35" s="164"/>
      <c r="H35" s="158"/>
      <c r="I35" s="158"/>
      <c r="J35" s="158"/>
      <c r="K35" s="158"/>
      <c r="O35" s="401"/>
      <c r="P35" s="401"/>
      <c r="Q35" s="401"/>
      <c r="R35" s="401"/>
      <c r="S35" s="401"/>
    </row>
    <row r="36" spans="2:19" s="163" customFormat="1">
      <c r="B36" s="159"/>
      <c r="C36" s="159"/>
      <c r="D36" s="412"/>
      <c r="E36" s="158"/>
      <c r="F36" s="158"/>
      <c r="G36" s="158"/>
      <c r="I36" s="164"/>
      <c r="J36" s="158"/>
      <c r="K36" s="158"/>
      <c r="O36" s="401"/>
      <c r="P36" s="401"/>
      <c r="Q36" s="401"/>
      <c r="R36" s="401"/>
      <c r="S36" s="401"/>
    </row>
    <row r="37" spans="2:19" s="163" customFormat="1">
      <c r="B37" s="159"/>
      <c r="C37" s="157" t="s">
        <v>571</v>
      </c>
      <c r="O37" s="401"/>
      <c r="P37" s="401"/>
      <c r="Q37" s="401"/>
      <c r="R37" s="401"/>
      <c r="S37" s="401"/>
    </row>
    <row r="38" spans="2:19" s="163" customFormat="1">
      <c r="B38" s="159" t="s">
        <v>554</v>
      </c>
      <c r="C38" s="159" t="s">
        <v>555</v>
      </c>
      <c r="D38" s="162">
        <f>D15</f>
        <v>2021</v>
      </c>
      <c r="E38" s="401"/>
      <c r="F38" s="161" t="s">
        <v>45</v>
      </c>
      <c r="G38" s="161" t="s">
        <v>45</v>
      </c>
      <c r="H38" s="161"/>
      <c r="I38" s="161" t="s">
        <v>45</v>
      </c>
      <c r="J38" s="161"/>
      <c r="K38" s="161" t="s">
        <v>45</v>
      </c>
      <c r="L38" s="161"/>
      <c r="M38" s="161"/>
      <c r="O38" s="401"/>
      <c r="P38" s="401"/>
      <c r="Q38" s="401"/>
      <c r="R38" s="401"/>
      <c r="S38" s="401"/>
    </row>
    <row r="39" spans="2:19" s="163" customFormat="1">
      <c r="B39" s="159" t="s">
        <v>554</v>
      </c>
      <c r="C39" s="159" t="str">
        <f>+C38</f>
        <v xml:space="preserve">December </v>
      </c>
      <c r="D39" s="162">
        <f>D16</f>
        <v>2022</v>
      </c>
      <c r="E39" s="401"/>
      <c r="F39" s="161" t="s">
        <v>45</v>
      </c>
      <c r="G39" s="161" t="s">
        <v>45</v>
      </c>
      <c r="H39" s="161"/>
      <c r="I39" s="161" t="s">
        <v>45</v>
      </c>
      <c r="J39" s="161"/>
      <c r="K39" s="161" t="s">
        <v>45</v>
      </c>
      <c r="L39" s="161"/>
      <c r="M39" s="161"/>
      <c r="O39" s="401"/>
      <c r="P39" s="401"/>
      <c r="Q39" s="401"/>
      <c r="R39" s="401"/>
      <c r="S39" s="401"/>
    </row>
    <row r="40" spans="2:19" s="163" customFormat="1">
      <c r="B40" s="159"/>
      <c r="C40" s="159" t="s">
        <v>496</v>
      </c>
      <c r="D40" s="412"/>
      <c r="E40" s="401"/>
      <c r="F40" s="161" t="s">
        <v>45</v>
      </c>
      <c r="G40" s="161" t="s">
        <v>45</v>
      </c>
      <c r="H40" s="161" t="s">
        <v>45</v>
      </c>
      <c r="I40" s="161" t="s">
        <v>45</v>
      </c>
      <c r="J40" s="161" t="s">
        <v>45</v>
      </c>
      <c r="K40" s="161" t="s">
        <v>45</v>
      </c>
      <c r="L40" s="161" t="s">
        <v>45</v>
      </c>
      <c r="M40" s="161" t="s">
        <v>45</v>
      </c>
      <c r="O40" s="401"/>
      <c r="P40" s="401"/>
      <c r="Q40" s="401"/>
      <c r="R40" s="401"/>
      <c r="S40" s="401"/>
    </row>
    <row r="41" spans="2:19" s="163" customFormat="1">
      <c r="B41" s="159"/>
      <c r="C41" s="159"/>
      <c r="D41" s="412"/>
      <c r="E41" s="158"/>
      <c r="F41" s="158"/>
      <c r="G41" s="158"/>
      <c r="H41" s="158"/>
      <c r="I41" s="158"/>
      <c r="J41" s="158"/>
      <c r="K41" s="158"/>
      <c r="L41" s="413"/>
      <c r="O41" s="401"/>
      <c r="P41" s="401"/>
      <c r="Q41" s="401"/>
      <c r="R41" s="401"/>
      <c r="S41" s="401"/>
    </row>
    <row r="42" spans="2:19" s="163" customFormat="1">
      <c r="B42" s="159"/>
      <c r="C42" s="159"/>
      <c r="E42" s="161"/>
      <c r="F42" s="161"/>
      <c r="G42" s="161"/>
      <c r="H42" s="161"/>
      <c r="I42" s="161"/>
      <c r="J42" s="161"/>
      <c r="K42" s="161"/>
      <c r="O42" s="401"/>
      <c r="P42" s="401"/>
      <c r="Q42" s="401"/>
      <c r="R42" s="401"/>
      <c r="S42" s="401"/>
    </row>
    <row r="43" spans="2:19" s="163" customFormat="1">
      <c r="B43" s="159"/>
      <c r="C43" s="157" t="s">
        <v>572</v>
      </c>
      <c r="E43" s="161"/>
      <c r="F43" s="161"/>
      <c r="G43" s="161"/>
      <c r="H43" s="161"/>
      <c r="I43" s="161"/>
      <c r="J43" s="161"/>
      <c r="K43" s="161"/>
      <c r="O43" s="401"/>
      <c r="P43" s="401"/>
      <c r="Q43" s="401"/>
      <c r="R43" s="401"/>
      <c r="S43" s="401"/>
    </row>
    <row r="44" spans="2:19" s="163" customFormat="1">
      <c r="B44" s="159" t="s">
        <v>554</v>
      </c>
      <c r="C44" s="159" t="s">
        <v>555</v>
      </c>
      <c r="D44" s="162">
        <f>D15</f>
        <v>2021</v>
      </c>
      <c r="F44" s="158">
        <v>378615579.50000006</v>
      </c>
      <c r="G44" s="158">
        <v>-220939.79</v>
      </c>
      <c r="H44" s="158"/>
      <c r="I44" s="158">
        <v>33882634.499999993</v>
      </c>
      <c r="J44" s="158"/>
      <c r="K44" s="158">
        <v>33464031.300000001</v>
      </c>
      <c r="L44" s="158"/>
      <c r="O44" s="401"/>
      <c r="P44" s="401"/>
      <c r="Q44" s="401"/>
      <c r="R44" s="401"/>
      <c r="S44" s="401"/>
    </row>
    <row r="45" spans="2:19" s="163" customFormat="1">
      <c r="B45" s="159" t="s">
        <v>554</v>
      </c>
      <c r="C45" s="159" t="str">
        <f>+C44</f>
        <v xml:space="preserve">December </v>
      </c>
      <c r="D45" s="162">
        <f>D16</f>
        <v>2022</v>
      </c>
      <c r="F45" s="158">
        <v>378615579.50000006</v>
      </c>
      <c r="G45" s="158">
        <v>-220939.79</v>
      </c>
      <c r="H45" s="158"/>
      <c r="I45" s="158">
        <v>33882634.499999993</v>
      </c>
      <c r="J45" s="158"/>
      <c r="K45" s="158">
        <v>33464031.300000008</v>
      </c>
      <c r="L45" s="158"/>
      <c r="O45" s="401"/>
      <c r="P45" s="401"/>
      <c r="Q45" s="401"/>
      <c r="R45" s="401"/>
      <c r="S45" s="401"/>
    </row>
    <row r="46" spans="2:19" s="163" customFormat="1">
      <c r="B46" s="159"/>
      <c r="C46" s="159" t="s">
        <v>496</v>
      </c>
      <c r="D46" s="412"/>
      <c r="F46" s="158">
        <f>+F44/2+F45/2</f>
        <v>378615579.50000006</v>
      </c>
      <c r="G46" s="158">
        <f>+G44/2+G45/2</f>
        <v>-220939.79</v>
      </c>
      <c r="H46" s="158">
        <f>+H$12*G46</f>
        <v>-220939.79</v>
      </c>
      <c r="I46" s="158">
        <f>+I44/2+I45/2</f>
        <v>33882634.499999993</v>
      </c>
      <c r="J46" s="158">
        <f>+I46*J$12</f>
        <v>3605677.0134888203</v>
      </c>
      <c r="K46" s="158">
        <f>+K44/2+K45/2</f>
        <v>33464031.300000004</v>
      </c>
      <c r="L46" s="158">
        <f>+K46*L12</f>
        <v>2089532.8931822299</v>
      </c>
      <c r="M46" s="413">
        <f>+L46+J46+H46</f>
        <v>5474270.11667105</v>
      </c>
      <c r="O46" s="401"/>
      <c r="P46" s="401"/>
      <c r="Q46" s="401"/>
      <c r="R46" s="401"/>
      <c r="S46" s="401"/>
    </row>
    <row r="47" spans="2:19" s="163" customFormat="1">
      <c r="D47" s="412"/>
      <c r="E47" s="158"/>
      <c r="F47" s="164"/>
      <c r="G47" s="164"/>
      <c r="H47" s="158"/>
      <c r="I47" s="158"/>
      <c r="J47" s="158"/>
      <c r="K47" s="158"/>
      <c r="O47" s="401"/>
      <c r="P47" s="401"/>
      <c r="Q47" s="401"/>
      <c r="R47" s="401"/>
      <c r="S47" s="401"/>
    </row>
    <row r="48" spans="2:19" s="163" customFormat="1">
      <c r="B48" s="163" t="s">
        <v>573</v>
      </c>
      <c r="D48" s="412"/>
      <c r="E48" s="158"/>
      <c r="F48" s="164"/>
      <c r="G48" s="164"/>
      <c r="H48" s="158"/>
      <c r="I48" s="158"/>
      <c r="J48" s="158"/>
      <c r="K48" s="158"/>
      <c r="M48" s="413">
        <f>+M28+M34+M46</f>
        <v>-291760579.94508773</v>
      </c>
      <c r="O48" s="401"/>
      <c r="P48" s="401"/>
      <c r="Q48" s="401"/>
      <c r="R48" s="401"/>
      <c r="S48" s="401"/>
    </row>
    <row r="49" spans="4:19" s="163" customFormat="1">
      <c r="D49" s="412"/>
      <c r="E49" s="158"/>
      <c r="F49" s="164"/>
      <c r="G49" s="164"/>
      <c r="H49" s="158"/>
      <c r="I49" s="158"/>
      <c r="J49" s="158"/>
      <c r="K49" s="158"/>
      <c r="O49" s="401"/>
      <c r="P49" s="401"/>
      <c r="Q49" s="401"/>
      <c r="R49" s="401"/>
      <c r="S49" s="401"/>
    </row>
    <row r="50" spans="4:19" s="163" customFormat="1">
      <c r="D50" s="412"/>
      <c r="E50" s="158"/>
      <c r="F50" s="158"/>
      <c r="G50" s="158"/>
      <c r="H50" s="164"/>
      <c r="I50" s="164"/>
      <c r="J50" s="158"/>
      <c r="K50" s="158"/>
      <c r="O50" s="401"/>
      <c r="P50" s="401"/>
      <c r="Q50" s="401"/>
      <c r="R50" s="401"/>
      <c r="S50" s="401"/>
    </row>
    <row r="51" spans="4:19" s="163" customFormat="1">
      <c r="L51" s="407"/>
      <c r="M51" s="407"/>
      <c r="O51" s="401"/>
      <c r="P51" s="401"/>
      <c r="Q51" s="401"/>
      <c r="R51" s="401"/>
      <c r="S51" s="401"/>
    </row>
    <row r="52" spans="4:19" s="163" customFormat="1">
      <c r="L52" s="407"/>
      <c r="O52" s="401"/>
      <c r="P52" s="401"/>
      <c r="Q52" s="401"/>
      <c r="R52" s="401"/>
      <c r="S52" s="401"/>
    </row>
  </sheetData>
  <mergeCells count="1">
    <mergeCell ref="A4:M4"/>
  </mergeCells>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29"/>
  <sheetViews>
    <sheetView zoomScaleNormal="100" workbookViewId="0">
      <selection activeCell="H101" sqref="H101"/>
    </sheetView>
  </sheetViews>
  <sheetFormatPr defaultRowHeight="15"/>
  <cols>
    <col min="1" max="1" width="11.6640625" style="218" customWidth="1"/>
    <col min="2" max="2" width="15.77734375" style="218" customWidth="1"/>
    <col min="3" max="3" width="13.44140625" style="218" customWidth="1"/>
    <col min="4" max="4" width="12.5546875" style="218" customWidth="1"/>
    <col min="5" max="5" width="1.5546875" style="218" customWidth="1"/>
    <col min="6" max="8" width="12.5546875" style="218" customWidth="1"/>
    <col min="9" max="9" width="1.5546875" style="218" customWidth="1"/>
    <col min="10" max="10" width="13.109375" style="218" customWidth="1"/>
    <col min="11" max="11" width="12.109375" style="218" customWidth="1"/>
    <col min="12" max="12" width="12.5546875" style="218" customWidth="1"/>
    <col min="13" max="13" width="1.44140625" style="218" customWidth="1"/>
    <col min="14" max="14" width="14.21875" style="218" customWidth="1"/>
    <col min="15" max="16384" width="8.88671875" style="218"/>
  </cols>
  <sheetData>
    <row r="1" spans="1:14" ht="129.75" customHeight="1">
      <c r="A1" s="463" t="s">
        <v>602</v>
      </c>
      <c r="B1" s="464"/>
      <c r="C1" s="464"/>
    </row>
    <row r="2" spans="1:14">
      <c r="A2" s="465"/>
      <c r="B2" s="465"/>
    </row>
    <row r="4" spans="1:14">
      <c r="B4" s="218" t="s">
        <v>603</v>
      </c>
    </row>
    <row r="5" spans="1:14">
      <c r="B5" s="318" t="s">
        <v>350</v>
      </c>
      <c r="C5" s="319" t="s">
        <v>351</v>
      </c>
      <c r="D5" s="319" t="s">
        <v>356</v>
      </c>
      <c r="E5" s="320"/>
      <c r="F5" s="319" t="s">
        <v>352</v>
      </c>
      <c r="G5" s="319" t="s">
        <v>353</v>
      </c>
      <c r="H5" s="319" t="s">
        <v>354</v>
      </c>
      <c r="I5" s="320"/>
      <c r="J5" s="319" t="s">
        <v>416</v>
      </c>
      <c r="K5" s="319" t="s">
        <v>417</v>
      </c>
      <c r="L5" s="319" t="s">
        <v>604</v>
      </c>
      <c r="N5" s="319" t="s">
        <v>605</v>
      </c>
    </row>
    <row r="6" spans="1:14">
      <c r="B6" s="321"/>
      <c r="C6" s="321"/>
      <c r="D6" s="318" t="s">
        <v>606</v>
      </c>
      <c r="E6" s="322"/>
      <c r="F6" s="321"/>
      <c r="G6" s="321"/>
      <c r="H6" s="318" t="s">
        <v>607</v>
      </c>
      <c r="J6" s="321"/>
      <c r="K6" s="321"/>
      <c r="L6" s="318" t="s">
        <v>608</v>
      </c>
      <c r="N6" s="318" t="s">
        <v>609</v>
      </c>
    </row>
    <row r="7" spans="1:14" ht="124.5" customHeight="1">
      <c r="A7" s="323"/>
      <c r="B7" s="324" t="s">
        <v>610</v>
      </c>
      <c r="C7" s="217" t="s">
        <v>611</v>
      </c>
      <c r="D7" s="324" t="s">
        <v>612</v>
      </c>
      <c r="E7" s="325"/>
      <c r="F7" s="217" t="s">
        <v>613</v>
      </c>
      <c r="G7" s="217" t="s">
        <v>614</v>
      </c>
      <c r="H7" s="217" t="s">
        <v>615</v>
      </c>
      <c r="J7" s="217" t="s">
        <v>616</v>
      </c>
      <c r="K7" s="217" t="s">
        <v>617</v>
      </c>
      <c r="L7" s="217" t="s">
        <v>618</v>
      </c>
      <c r="N7" s="217" t="s">
        <v>619</v>
      </c>
    </row>
    <row r="8" spans="1:14" ht="15.75">
      <c r="A8" s="326">
        <v>44531</v>
      </c>
      <c r="B8" s="327">
        <v>268884079</v>
      </c>
      <c r="C8" s="328">
        <v>27148948</v>
      </c>
      <c r="D8" s="329">
        <f>+B8-C8</f>
        <v>241735131</v>
      </c>
      <c r="E8" s="330"/>
      <c r="F8" s="331">
        <v>37816349.160000019</v>
      </c>
      <c r="G8" s="327">
        <v>1967369</v>
      </c>
      <c r="H8" s="329">
        <f>+F8-G8</f>
        <v>35848980.160000019</v>
      </c>
      <c r="J8" s="327">
        <v>0</v>
      </c>
      <c r="K8" s="327">
        <v>0</v>
      </c>
      <c r="L8" s="329">
        <f>+J8-K8</f>
        <v>0</v>
      </c>
      <c r="N8" s="332">
        <f>+C8-G8+K8</f>
        <v>25181579</v>
      </c>
    </row>
    <row r="9" spans="1:14" ht="15.75">
      <c r="A9" s="326">
        <v>44562</v>
      </c>
      <c r="B9" s="333">
        <v>268884079</v>
      </c>
      <c r="C9" s="328">
        <v>27148948</v>
      </c>
      <c r="D9" s="334">
        <f t="shared" ref="D9:D20" si="0">+B9-C9</f>
        <v>241735131</v>
      </c>
      <c r="E9" s="330"/>
      <c r="F9" s="244">
        <v>38390109.540000021</v>
      </c>
      <c r="G9" s="333">
        <v>2005489</v>
      </c>
      <c r="H9" s="334">
        <f t="shared" ref="H9:H20" si="1">+F9-G9</f>
        <v>36384620.540000021</v>
      </c>
      <c r="J9" s="333">
        <v>0</v>
      </c>
      <c r="K9" s="333">
        <v>0</v>
      </c>
      <c r="L9" s="334">
        <f t="shared" ref="L9:L20" si="2">+J9-K9</f>
        <v>0</v>
      </c>
      <c r="N9" s="221">
        <f t="shared" ref="N9:N20" si="3">+C9-G9+K9</f>
        <v>25143459</v>
      </c>
    </row>
    <row r="10" spans="1:14" ht="15.75">
      <c r="A10" s="326">
        <v>44593</v>
      </c>
      <c r="B10" s="333">
        <v>268884079</v>
      </c>
      <c r="C10" s="328">
        <v>27148948</v>
      </c>
      <c r="D10" s="334">
        <f t="shared" si="0"/>
        <v>241735131</v>
      </c>
      <c r="E10" s="330"/>
      <c r="F10" s="244">
        <v>38963869.920000024</v>
      </c>
      <c r="G10" s="333">
        <v>2043609</v>
      </c>
      <c r="H10" s="334">
        <f t="shared" si="1"/>
        <v>36920260.920000024</v>
      </c>
      <c r="J10" s="333">
        <v>0</v>
      </c>
      <c r="K10" s="333">
        <v>0</v>
      </c>
      <c r="L10" s="334">
        <f t="shared" si="2"/>
        <v>0</v>
      </c>
      <c r="N10" s="221">
        <f t="shared" si="3"/>
        <v>25105339</v>
      </c>
    </row>
    <row r="11" spans="1:14" ht="15.75">
      <c r="A11" s="326">
        <v>44621</v>
      </c>
      <c r="B11" s="333">
        <v>268884079</v>
      </c>
      <c r="C11" s="328">
        <v>27148948</v>
      </c>
      <c r="D11" s="334">
        <f t="shared" si="0"/>
        <v>241735131</v>
      </c>
      <c r="E11" s="330"/>
      <c r="F11" s="244">
        <v>39537630.300000027</v>
      </c>
      <c r="G11" s="333">
        <v>2081729</v>
      </c>
      <c r="H11" s="334">
        <f t="shared" si="1"/>
        <v>37455901.300000027</v>
      </c>
      <c r="J11" s="333">
        <v>0</v>
      </c>
      <c r="K11" s="333">
        <v>0</v>
      </c>
      <c r="L11" s="334">
        <f t="shared" si="2"/>
        <v>0</v>
      </c>
      <c r="N11" s="221">
        <f t="shared" si="3"/>
        <v>25067219</v>
      </c>
    </row>
    <row r="12" spans="1:14" ht="15.75">
      <c r="A12" s="326">
        <v>44652</v>
      </c>
      <c r="B12" s="333">
        <v>268884079</v>
      </c>
      <c r="C12" s="328">
        <v>27148948</v>
      </c>
      <c r="D12" s="334">
        <f t="shared" si="0"/>
        <v>241735131</v>
      </c>
      <c r="E12" s="330"/>
      <c r="F12" s="244">
        <v>40111390.68000003</v>
      </c>
      <c r="G12" s="333">
        <v>2119849</v>
      </c>
      <c r="H12" s="334">
        <f t="shared" si="1"/>
        <v>37991541.68000003</v>
      </c>
      <c r="J12" s="333">
        <v>0</v>
      </c>
      <c r="K12" s="333">
        <v>0</v>
      </c>
      <c r="L12" s="334">
        <f t="shared" si="2"/>
        <v>0</v>
      </c>
      <c r="N12" s="221">
        <f t="shared" si="3"/>
        <v>25029099</v>
      </c>
    </row>
    <row r="13" spans="1:14" ht="15.75">
      <c r="A13" s="326">
        <v>44682</v>
      </c>
      <c r="B13" s="333">
        <v>268884079</v>
      </c>
      <c r="C13" s="328">
        <v>27148948</v>
      </c>
      <c r="D13" s="334">
        <f t="shared" si="0"/>
        <v>241735131</v>
      </c>
      <c r="E13" s="330"/>
      <c r="F13" s="244">
        <v>40685151.060000032</v>
      </c>
      <c r="G13" s="333">
        <v>2157969</v>
      </c>
      <c r="H13" s="334">
        <f t="shared" si="1"/>
        <v>38527182.060000032</v>
      </c>
      <c r="J13" s="333">
        <v>0</v>
      </c>
      <c r="K13" s="333">
        <v>0</v>
      </c>
      <c r="L13" s="334">
        <f t="shared" si="2"/>
        <v>0</v>
      </c>
      <c r="N13" s="221">
        <f t="shared" si="3"/>
        <v>24990979</v>
      </c>
    </row>
    <row r="14" spans="1:14" ht="15.75">
      <c r="A14" s="326">
        <v>44713</v>
      </c>
      <c r="B14" s="333">
        <v>268884079</v>
      </c>
      <c r="C14" s="328">
        <v>27148948</v>
      </c>
      <c r="D14" s="334">
        <f t="shared" si="0"/>
        <v>241735131</v>
      </c>
      <c r="E14" s="330"/>
      <c r="F14" s="244">
        <v>41258911.440000035</v>
      </c>
      <c r="G14" s="333">
        <v>2196089</v>
      </c>
      <c r="H14" s="334">
        <f t="shared" si="1"/>
        <v>39062822.440000035</v>
      </c>
      <c r="J14" s="333">
        <v>0</v>
      </c>
      <c r="K14" s="333">
        <v>0</v>
      </c>
      <c r="L14" s="334">
        <f t="shared" si="2"/>
        <v>0</v>
      </c>
      <c r="N14" s="221">
        <f t="shared" si="3"/>
        <v>24952859</v>
      </c>
    </row>
    <row r="15" spans="1:14" ht="15.75">
      <c r="A15" s="326">
        <v>44743</v>
      </c>
      <c r="B15" s="333">
        <v>268884079</v>
      </c>
      <c r="C15" s="328">
        <v>27148948</v>
      </c>
      <c r="D15" s="334">
        <f t="shared" si="0"/>
        <v>241735131</v>
      </c>
      <c r="E15" s="330"/>
      <c r="F15" s="244">
        <v>41832671.820000038</v>
      </c>
      <c r="G15" s="333">
        <v>2234209</v>
      </c>
      <c r="H15" s="334">
        <f t="shared" si="1"/>
        <v>39598462.820000038</v>
      </c>
      <c r="J15" s="333">
        <v>0</v>
      </c>
      <c r="K15" s="333">
        <v>0</v>
      </c>
      <c r="L15" s="334">
        <f t="shared" si="2"/>
        <v>0</v>
      </c>
      <c r="N15" s="221">
        <f t="shared" si="3"/>
        <v>24914739</v>
      </c>
    </row>
    <row r="16" spans="1:14" ht="15.75">
      <c r="A16" s="326">
        <v>44774</v>
      </c>
      <c r="B16" s="333">
        <v>268884079</v>
      </c>
      <c r="C16" s="328">
        <v>27148948</v>
      </c>
      <c r="D16" s="334">
        <f t="shared" si="0"/>
        <v>241735131</v>
      </c>
      <c r="E16" s="330"/>
      <c r="F16" s="244">
        <v>42406432.20000004</v>
      </c>
      <c r="G16" s="333">
        <v>2272329</v>
      </c>
      <c r="H16" s="334">
        <f t="shared" si="1"/>
        <v>40134103.20000004</v>
      </c>
      <c r="J16" s="333">
        <v>0</v>
      </c>
      <c r="K16" s="333">
        <v>0</v>
      </c>
      <c r="L16" s="334">
        <f t="shared" si="2"/>
        <v>0</v>
      </c>
      <c r="N16" s="221">
        <f t="shared" si="3"/>
        <v>24876619</v>
      </c>
    </row>
    <row r="17" spans="1:14" ht="15.75">
      <c r="A17" s="326">
        <v>44805</v>
      </c>
      <c r="B17" s="333">
        <v>268884079</v>
      </c>
      <c r="C17" s="328">
        <v>27148948</v>
      </c>
      <c r="D17" s="334">
        <f t="shared" si="0"/>
        <v>241735131</v>
      </c>
      <c r="E17" s="330"/>
      <c r="F17" s="244">
        <v>42980192.580000043</v>
      </c>
      <c r="G17" s="333">
        <v>2310449</v>
      </c>
      <c r="H17" s="334">
        <f t="shared" si="1"/>
        <v>40669743.580000043</v>
      </c>
      <c r="J17" s="333">
        <v>0</v>
      </c>
      <c r="K17" s="333">
        <v>0</v>
      </c>
      <c r="L17" s="334">
        <f t="shared" si="2"/>
        <v>0</v>
      </c>
      <c r="N17" s="221">
        <f t="shared" si="3"/>
        <v>24838499</v>
      </c>
    </row>
    <row r="18" spans="1:14" ht="15.75">
      <c r="A18" s="326">
        <v>44835</v>
      </c>
      <c r="B18" s="333">
        <v>268884079</v>
      </c>
      <c r="C18" s="328">
        <v>27148948</v>
      </c>
      <c r="D18" s="334">
        <f t="shared" si="0"/>
        <v>241735131</v>
      </c>
      <c r="E18" s="330"/>
      <c r="F18" s="244">
        <v>43553952.960000046</v>
      </c>
      <c r="G18" s="333">
        <v>2348569</v>
      </c>
      <c r="H18" s="334">
        <f t="shared" si="1"/>
        <v>41205383.960000046</v>
      </c>
      <c r="J18" s="333">
        <v>0</v>
      </c>
      <c r="K18" s="333">
        <v>0</v>
      </c>
      <c r="L18" s="334">
        <f t="shared" si="2"/>
        <v>0</v>
      </c>
      <c r="N18" s="221">
        <f t="shared" si="3"/>
        <v>24800379</v>
      </c>
    </row>
    <row r="19" spans="1:14" ht="15.75">
      <c r="A19" s="326">
        <v>44866</v>
      </c>
      <c r="B19" s="333">
        <v>268884079</v>
      </c>
      <c r="C19" s="328">
        <v>27148948</v>
      </c>
      <c r="D19" s="334">
        <f t="shared" si="0"/>
        <v>241735131</v>
      </c>
      <c r="E19" s="330"/>
      <c r="F19" s="244">
        <v>44127713.340000048</v>
      </c>
      <c r="G19" s="333">
        <v>2386689</v>
      </c>
      <c r="H19" s="334">
        <f t="shared" si="1"/>
        <v>41741024.340000048</v>
      </c>
      <c r="J19" s="333">
        <v>0</v>
      </c>
      <c r="K19" s="333">
        <v>0</v>
      </c>
      <c r="L19" s="334">
        <f t="shared" si="2"/>
        <v>0</v>
      </c>
      <c r="N19" s="221">
        <f t="shared" si="3"/>
        <v>24762259</v>
      </c>
    </row>
    <row r="20" spans="1:14" ht="15.75">
      <c r="A20" s="326">
        <v>44896</v>
      </c>
      <c r="B20" s="335">
        <v>268884079</v>
      </c>
      <c r="C20" s="336">
        <v>27148948</v>
      </c>
      <c r="D20" s="337">
        <f t="shared" si="0"/>
        <v>241735131</v>
      </c>
      <c r="E20" s="330"/>
      <c r="F20" s="338">
        <v>44701473.720000051</v>
      </c>
      <c r="G20" s="335">
        <v>2424809</v>
      </c>
      <c r="H20" s="337">
        <f t="shared" si="1"/>
        <v>42276664.720000051</v>
      </c>
      <c r="J20" s="335">
        <v>0</v>
      </c>
      <c r="K20" s="335">
        <v>0</v>
      </c>
      <c r="L20" s="337">
        <f t="shared" si="2"/>
        <v>0</v>
      </c>
      <c r="N20" s="339">
        <f t="shared" si="3"/>
        <v>24724139</v>
      </c>
    </row>
    <row r="21" spans="1:14">
      <c r="B21" s="220"/>
      <c r="C21" s="245"/>
      <c r="D21" s="220"/>
      <c r="F21" s="220"/>
      <c r="G21" s="220"/>
      <c r="H21" s="220"/>
      <c r="J21" s="220"/>
      <c r="K21" s="220"/>
      <c r="L21" s="220"/>
      <c r="N21" s="220"/>
    </row>
    <row r="22" spans="1:14">
      <c r="A22" s="218" t="s">
        <v>620</v>
      </c>
      <c r="B22" s="339">
        <f>AVERAGE(B8:B20)</f>
        <v>268884079</v>
      </c>
      <c r="C22" s="339">
        <f>AVERAGE(C8:C20)</f>
        <v>27148948</v>
      </c>
      <c r="D22" s="339">
        <f>AVERAGE(D8:D20)</f>
        <v>241735131</v>
      </c>
      <c r="E22" s="219"/>
      <c r="F22" s="339">
        <f>AVERAGE(F8:F20)</f>
        <v>41258911.440000035</v>
      </c>
      <c r="G22" s="339">
        <f>AVERAGE(G8:G20)</f>
        <v>2196089</v>
      </c>
      <c r="H22" s="339">
        <f>AVERAGE(H8:H20)</f>
        <v>39062822.440000027</v>
      </c>
      <c r="J22" s="339">
        <f>AVERAGE(J8:J20)</f>
        <v>0</v>
      </c>
      <c r="K22" s="339">
        <f>AVERAGE(K8:K20)</f>
        <v>0</v>
      </c>
      <c r="L22" s="339">
        <f>AVERAGE(L8:L20)</f>
        <v>0</v>
      </c>
      <c r="N22" s="339">
        <f>AVERAGE(N8:N20)</f>
        <v>24952859</v>
      </c>
    </row>
    <row r="23" spans="1:14">
      <c r="B23" s="321"/>
      <c r="D23" s="321"/>
      <c r="H23" s="321"/>
      <c r="J23" s="321"/>
      <c r="K23" s="321"/>
      <c r="L23" s="321"/>
      <c r="N23" s="321"/>
    </row>
    <row r="24" spans="1:14" ht="75">
      <c r="B24" s="217" t="s">
        <v>621</v>
      </c>
      <c r="C24" s="340"/>
      <c r="D24" s="217" t="s">
        <v>622</v>
      </c>
      <c r="E24" s="325"/>
      <c r="H24" s="217" t="s">
        <v>623</v>
      </c>
      <c r="J24" s="217" t="s">
        <v>624</v>
      </c>
      <c r="K24" s="217" t="s">
        <v>625</v>
      </c>
      <c r="L24" s="217" t="s">
        <v>622</v>
      </c>
      <c r="N24" s="217" t="s">
        <v>625</v>
      </c>
    </row>
    <row r="25" spans="1:14">
      <c r="F25" s="219"/>
      <c r="G25" s="219"/>
    </row>
    <row r="28" spans="1:14">
      <c r="B28" s="218" t="s">
        <v>626</v>
      </c>
    </row>
    <row r="29" spans="1:14">
      <c r="B29" s="318" t="s">
        <v>350</v>
      </c>
      <c r="C29" s="319" t="s">
        <v>351</v>
      </c>
      <c r="D29" s="319" t="s">
        <v>356</v>
      </c>
      <c r="E29" s="320"/>
      <c r="F29" s="319" t="s">
        <v>352</v>
      </c>
      <c r="G29" s="319" t="s">
        <v>353</v>
      </c>
      <c r="H29" s="319" t="s">
        <v>354</v>
      </c>
      <c r="I29" s="320"/>
      <c r="J29" s="319" t="s">
        <v>416</v>
      </c>
      <c r="K29" s="319" t="s">
        <v>417</v>
      </c>
      <c r="L29" s="319" t="s">
        <v>604</v>
      </c>
      <c r="N29" s="319" t="s">
        <v>605</v>
      </c>
    </row>
    <row r="30" spans="1:14">
      <c r="B30" s="321"/>
      <c r="C30" s="321"/>
      <c r="D30" s="318" t="s">
        <v>606</v>
      </c>
      <c r="E30" s="322"/>
      <c r="F30" s="321"/>
      <c r="G30" s="321"/>
      <c r="H30" s="318" t="s">
        <v>607</v>
      </c>
      <c r="J30" s="321"/>
      <c r="K30" s="321"/>
      <c r="L30" s="318" t="s">
        <v>608</v>
      </c>
      <c r="N30" s="318" t="s">
        <v>609</v>
      </c>
    </row>
    <row r="31" spans="1:14" ht="120">
      <c r="B31" s="217" t="s">
        <v>627</v>
      </c>
      <c r="C31" s="217" t="s">
        <v>628</v>
      </c>
      <c r="D31" s="217" t="s">
        <v>629</v>
      </c>
      <c r="E31" s="325"/>
      <c r="F31" s="217" t="s">
        <v>613</v>
      </c>
      <c r="G31" s="217" t="s">
        <v>630</v>
      </c>
      <c r="H31" s="217" t="s">
        <v>615</v>
      </c>
      <c r="J31" s="217" t="s">
        <v>616</v>
      </c>
      <c r="K31" s="217" t="s">
        <v>631</v>
      </c>
      <c r="L31" s="217" t="s">
        <v>618</v>
      </c>
      <c r="N31" s="217" t="s">
        <v>619</v>
      </c>
    </row>
    <row r="32" spans="1:14" ht="15.75">
      <c r="A32" s="341">
        <f>A8</f>
        <v>44531</v>
      </c>
      <c r="B32" s="342">
        <v>153132942</v>
      </c>
      <c r="C32" s="328">
        <v>10531504</v>
      </c>
      <c r="D32" s="329">
        <f>+B32-C32</f>
        <v>142601438</v>
      </c>
      <c r="E32" s="330"/>
      <c r="F32" s="331">
        <v>22706100.6316</v>
      </c>
      <c r="G32" s="327">
        <v>656231</v>
      </c>
      <c r="H32" s="329">
        <f>+F32-G32</f>
        <v>22049869.6316</v>
      </c>
      <c r="J32" s="327">
        <v>0</v>
      </c>
      <c r="K32" s="327">
        <v>0</v>
      </c>
      <c r="L32" s="329">
        <f>+J32-K32</f>
        <v>0</v>
      </c>
      <c r="N32" s="332">
        <f>+C32-G32+K32</f>
        <v>9875273</v>
      </c>
    </row>
    <row r="33" spans="1:14" ht="15.75">
      <c r="A33" s="341">
        <f t="shared" ref="A33:A44" si="4">A9</f>
        <v>44562</v>
      </c>
      <c r="B33" s="343">
        <v>153132942</v>
      </c>
      <c r="C33" s="328">
        <v>10531504</v>
      </c>
      <c r="D33" s="334">
        <f t="shared" ref="D33:D44" si="5">+B33-C33</f>
        <v>142601438</v>
      </c>
      <c r="E33" s="330"/>
      <c r="F33" s="244">
        <v>23032873.2245</v>
      </c>
      <c r="G33" s="333">
        <v>668719</v>
      </c>
      <c r="H33" s="334">
        <f t="shared" ref="H33:H44" si="6">+F33-G33</f>
        <v>22364154.2245</v>
      </c>
      <c r="J33" s="333">
        <v>0</v>
      </c>
      <c r="K33" s="333">
        <v>0</v>
      </c>
      <c r="L33" s="334">
        <f t="shared" ref="L33:L44" si="7">+J33-K33</f>
        <v>0</v>
      </c>
      <c r="N33" s="221">
        <f t="shared" ref="N33:N44" si="8">+C33-G33+K33</f>
        <v>9862785</v>
      </c>
    </row>
    <row r="34" spans="1:14" ht="15.75">
      <c r="A34" s="341">
        <f t="shared" si="4"/>
        <v>44593</v>
      </c>
      <c r="B34" s="343">
        <v>153132942</v>
      </c>
      <c r="C34" s="328">
        <v>10531504</v>
      </c>
      <c r="D34" s="334">
        <f t="shared" si="5"/>
        <v>142601438</v>
      </c>
      <c r="E34" s="330"/>
      <c r="F34" s="244">
        <v>23359645.817400001</v>
      </c>
      <c r="G34" s="333">
        <v>681207</v>
      </c>
      <c r="H34" s="334">
        <f t="shared" si="6"/>
        <v>22678438.817400001</v>
      </c>
      <c r="J34" s="333">
        <v>0</v>
      </c>
      <c r="K34" s="333">
        <v>0</v>
      </c>
      <c r="L34" s="334">
        <f t="shared" si="7"/>
        <v>0</v>
      </c>
      <c r="N34" s="221">
        <f t="shared" si="8"/>
        <v>9850297</v>
      </c>
    </row>
    <row r="35" spans="1:14" ht="15.75">
      <c r="A35" s="341">
        <f t="shared" si="4"/>
        <v>44621</v>
      </c>
      <c r="B35" s="343">
        <v>153132942</v>
      </c>
      <c r="C35" s="328">
        <v>10531504</v>
      </c>
      <c r="D35" s="334">
        <f t="shared" si="5"/>
        <v>142601438</v>
      </c>
      <c r="E35" s="330"/>
      <c r="F35" s="244">
        <v>23686418.410299998</v>
      </c>
      <c r="G35" s="333">
        <v>693695</v>
      </c>
      <c r="H35" s="334">
        <f t="shared" si="6"/>
        <v>22992723.410299998</v>
      </c>
      <c r="J35" s="333">
        <v>0</v>
      </c>
      <c r="K35" s="333">
        <v>0</v>
      </c>
      <c r="L35" s="334">
        <f t="shared" si="7"/>
        <v>0</v>
      </c>
      <c r="N35" s="221">
        <f t="shared" si="8"/>
        <v>9837809</v>
      </c>
    </row>
    <row r="36" spans="1:14" ht="15.75">
      <c r="A36" s="341">
        <f t="shared" si="4"/>
        <v>44652</v>
      </c>
      <c r="B36" s="343">
        <v>153132942</v>
      </c>
      <c r="C36" s="328">
        <v>10531504</v>
      </c>
      <c r="D36" s="334">
        <f t="shared" si="5"/>
        <v>142601438</v>
      </c>
      <c r="E36" s="330"/>
      <c r="F36" s="244">
        <v>24013191.003199998</v>
      </c>
      <c r="G36" s="333">
        <v>706183</v>
      </c>
      <c r="H36" s="334">
        <f t="shared" si="6"/>
        <v>23307008.003199998</v>
      </c>
      <c r="J36" s="333">
        <v>0</v>
      </c>
      <c r="K36" s="333">
        <v>0</v>
      </c>
      <c r="L36" s="334">
        <f t="shared" si="7"/>
        <v>0</v>
      </c>
      <c r="N36" s="221">
        <f t="shared" si="8"/>
        <v>9825321</v>
      </c>
    </row>
    <row r="37" spans="1:14" ht="15.75">
      <c r="A37" s="341">
        <f t="shared" si="4"/>
        <v>44682</v>
      </c>
      <c r="B37" s="343">
        <v>153132942</v>
      </c>
      <c r="C37" s="328">
        <v>10531504</v>
      </c>
      <c r="D37" s="334">
        <f t="shared" si="5"/>
        <v>142601438</v>
      </c>
      <c r="E37" s="330"/>
      <c r="F37" s="244">
        <v>24339963.596099999</v>
      </c>
      <c r="G37" s="333">
        <v>718671</v>
      </c>
      <c r="H37" s="334">
        <f t="shared" si="6"/>
        <v>23621292.596099999</v>
      </c>
      <c r="J37" s="333">
        <v>0</v>
      </c>
      <c r="K37" s="333">
        <v>0</v>
      </c>
      <c r="L37" s="334">
        <f t="shared" si="7"/>
        <v>0</v>
      </c>
      <c r="N37" s="221">
        <f t="shared" si="8"/>
        <v>9812833</v>
      </c>
    </row>
    <row r="38" spans="1:14" ht="15.75">
      <c r="A38" s="341">
        <f t="shared" si="4"/>
        <v>44713</v>
      </c>
      <c r="B38" s="343">
        <v>153132942</v>
      </c>
      <c r="C38" s="328">
        <v>10531504</v>
      </c>
      <c r="D38" s="334">
        <f t="shared" si="5"/>
        <v>142601438</v>
      </c>
      <c r="E38" s="330"/>
      <c r="F38" s="244">
        <v>24666736.188999996</v>
      </c>
      <c r="G38" s="333">
        <v>731159</v>
      </c>
      <c r="H38" s="334">
        <f t="shared" si="6"/>
        <v>23935577.188999996</v>
      </c>
      <c r="J38" s="333">
        <v>0</v>
      </c>
      <c r="K38" s="333">
        <v>0</v>
      </c>
      <c r="L38" s="334">
        <f t="shared" si="7"/>
        <v>0</v>
      </c>
      <c r="N38" s="221">
        <f t="shared" si="8"/>
        <v>9800345</v>
      </c>
    </row>
    <row r="39" spans="1:14" ht="15.75">
      <c r="A39" s="341">
        <f t="shared" si="4"/>
        <v>44743</v>
      </c>
      <c r="B39" s="343">
        <v>153132942</v>
      </c>
      <c r="C39" s="328">
        <v>10531504</v>
      </c>
      <c r="D39" s="334">
        <f t="shared" si="5"/>
        <v>142601438</v>
      </c>
      <c r="E39" s="330"/>
      <c r="F39" s="244">
        <v>24993508.781899996</v>
      </c>
      <c r="G39" s="333">
        <v>743647</v>
      </c>
      <c r="H39" s="334">
        <f t="shared" si="6"/>
        <v>24249861.781899996</v>
      </c>
      <c r="J39" s="333">
        <v>0</v>
      </c>
      <c r="K39" s="333">
        <v>0</v>
      </c>
      <c r="L39" s="334">
        <f t="shared" si="7"/>
        <v>0</v>
      </c>
      <c r="N39" s="221">
        <f t="shared" si="8"/>
        <v>9787857</v>
      </c>
    </row>
    <row r="40" spans="1:14" ht="15.75">
      <c r="A40" s="341">
        <f t="shared" si="4"/>
        <v>44774</v>
      </c>
      <c r="B40" s="343">
        <v>153132942</v>
      </c>
      <c r="C40" s="328">
        <v>10531504</v>
      </c>
      <c r="D40" s="334">
        <f t="shared" si="5"/>
        <v>142601438</v>
      </c>
      <c r="E40" s="330"/>
      <c r="F40" s="244">
        <v>25320281.374799997</v>
      </c>
      <c r="G40" s="333">
        <v>756135</v>
      </c>
      <c r="H40" s="334">
        <f t="shared" si="6"/>
        <v>24564146.374799997</v>
      </c>
      <c r="J40" s="333">
        <v>0</v>
      </c>
      <c r="K40" s="333">
        <v>0</v>
      </c>
      <c r="L40" s="334">
        <f t="shared" si="7"/>
        <v>0</v>
      </c>
      <c r="N40" s="221">
        <f t="shared" si="8"/>
        <v>9775369</v>
      </c>
    </row>
    <row r="41" spans="1:14" ht="15.75">
      <c r="A41" s="341">
        <f t="shared" si="4"/>
        <v>44805</v>
      </c>
      <c r="B41" s="343">
        <v>153132942</v>
      </c>
      <c r="C41" s="328">
        <v>10531504</v>
      </c>
      <c r="D41" s="334">
        <f t="shared" si="5"/>
        <v>142601438</v>
      </c>
      <c r="E41" s="330"/>
      <c r="F41" s="244">
        <v>25647053.967699997</v>
      </c>
      <c r="G41" s="333">
        <v>768623</v>
      </c>
      <c r="H41" s="334">
        <f t="shared" si="6"/>
        <v>24878430.967699997</v>
      </c>
      <c r="J41" s="333">
        <v>0</v>
      </c>
      <c r="K41" s="333">
        <v>0</v>
      </c>
      <c r="L41" s="334">
        <f t="shared" si="7"/>
        <v>0</v>
      </c>
      <c r="N41" s="221">
        <f t="shared" si="8"/>
        <v>9762881</v>
      </c>
    </row>
    <row r="42" spans="1:14" ht="15.75">
      <c r="A42" s="341">
        <f t="shared" si="4"/>
        <v>44835</v>
      </c>
      <c r="B42" s="343">
        <v>153132942</v>
      </c>
      <c r="C42" s="328">
        <v>10531504</v>
      </c>
      <c r="D42" s="334">
        <f t="shared" si="5"/>
        <v>142601438</v>
      </c>
      <c r="E42" s="330"/>
      <c r="F42" s="244">
        <v>25973826.560599998</v>
      </c>
      <c r="G42" s="333">
        <v>781111</v>
      </c>
      <c r="H42" s="334">
        <f t="shared" si="6"/>
        <v>25192715.560599998</v>
      </c>
      <c r="J42" s="333">
        <v>0</v>
      </c>
      <c r="K42" s="333">
        <v>0</v>
      </c>
      <c r="L42" s="334">
        <f t="shared" si="7"/>
        <v>0</v>
      </c>
      <c r="N42" s="221">
        <f t="shared" si="8"/>
        <v>9750393</v>
      </c>
    </row>
    <row r="43" spans="1:14" ht="15.75">
      <c r="A43" s="341">
        <f t="shared" si="4"/>
        <v>44866</v>
      </c>
      <c r="B43" s="343">
        <v>153132942</v>
      </c>
      <c r="C43" s="328">
        <v>10531504</v>
      </c>
      <c r="D43" s="334">
        <f t="shared" si="5"/>
        <v>142601438</v>
      </c>
      <c r="E43" s="330"/>
      <c r="F43" s="244">
        <v>26300599.153499994</v>
      </c>
      <c r="G43" s="333">
        <v>793599</v>
      </c>
      <c r="H43" s="334">
        <f t="shared" si="6"/>
        <v>25507000.153499994</v>
      </c>
      <c r="J43" s="333">
        <v>0</v>
      </c>
      <c r="K43" s="333">
        <v>0</v>
      </c>
      <c r="L43" s="334">
        <f t="shared" si="7"/>
        <v>0</v>
      </c>
      <c r="N43" s="221">
        <f t="shared" si="8"/>
        <v>9737905</v>
      </c>
    </row>
    <row r="44" spans="1:14" ht="15.75">
      <c r="A44" s="341">
        <f t="shared" si="4"/>
        <v>44896</v>
      </c>
      <c r="B44" s="335">
        <v>153132942</v>
      </c>
      <c r="C44" s="344">
        <v>10531504</v>
      </c>
      <c r="D44" s="337">
        <f t="shared" si="5"/>
        <v>142601438</v>
      </c>
      <c r="E44" s="330"/>
      <c r="F44" s="338">
        <v>26627371.746399995</v>
      </c>
      <c r="G44" s="335">
        <v>806087</v>
      </c>
      <c r="H44" s="337">
        <f t="shared" si="6"/>
        <v>25821284.746399995</v>
      </c>
      <c r="J44" s="335">
        <v>0</v>
      </c>
      <c r="K44" s="335">
        <v>0</v>
      </c>
      <c r="L44" s="337">
        <f t="shared" si="7"/>
        <v>0</v>
      </c>
      <c r="N44" s="339">
        <f t="shared" si="8"/>
        <v>9725417</v>
      </c>
    </row>
    <row r="45" spans="1:14">
      <c r="B45" s="220"/>
      <c r="C45" s="220"/>
      <c r="D45" s="220"/>
      <c r="F45" s="244"/>
      <c r="G45" s="220"/>
      <c r="H45" s="220"/>
      <c r="J45" s="220"/>
      <c r="K45" s="220"/>
      <c r="L45" s="220"/>
      <c r="N45" s="220"/>
    </row>
    <row r="46" spans="1:14">
      <c r="A46" s="218" t="s">
        <v>620</v>
      </c>
      <c r="B46" s="339">
        <f>AVERAGE(B32:B44)</f>
        <v>153132942</v>
      </c>
      <c r="C46" s="339">
        <f>AVERAGE(C32:C44)</f>
        <v>10531504</v>
      </c>
      <c r="D46" s="339">
        <f>AVERAGE(D32:D44)</f>
        <v>142601438</v>
      </c>
      <c r="E46" s="219"/>
      <c r="F46" s="339">
        <f>AVERAGE(F32:F44)</f>
        <v>24666736.189000003</v>
      </c>
      <c r="G46" s="339">
        <f>AVERAGE(G32:G44)</f>
        <v>731159</v>
      </c>
      <c r="H46" s="339">
        <f>AVERAGE(H32:H44)</f>
        <v>23935577.189000003</v>
      </c>
      <c r="J46" s="339">
        <f>AVERAGE(J32:J44)</f>
        <v>0</v>
      </c>
      <c r="K46" s="339">
        <f>AVERAGE(K32:K44)</f>
        <v>0</v>
      </c>
      <c r="L46" s="339" t="s">
        <v>2</v>
      </c>
      <c r="N46" s="339">
        <f>AVERAGE(N32:N44)</f>
        <v>9800345</v>
      </c>
    </row>
    <row r="47" spans="1:14">
      <c r="B47" s="321"/>
      <c r="D47" s="321"/>
      <c r="H47" s="321"/>
      <c r="J47" s="321"/>
      <c r="K47" s="321"/>
      <c r="L47" s="321"/>
      <c r="N47" s="321"/>
    </row>
    <row r="48" spans="1:14" ht="75">
      <c r="B48" s="217" t="s">
        <v>621</v>
      </c>
      <c r="C48" s="340"/>
      <c r="D48" s="217" t="s">
        <v>622</v>
      </c>
      <c r="E48" s="325"/>
      <c r="F48" s="219"/>
      <c r="H48" s="217" t="s">
        <v>623</v>
      </c>
      <c r="J48" s="217" t="s">
        <v>624</v>
      </c>
      <c r="K48" s="217" t="s">
        <v>625</v>
      </c>
      <c r="L48" s="217" t="s">
        <v>622</v>
      </c>
      <c r="N48" s="217" t="s">
        <v>625</v>
      </c>
    </row>
    <row r="50" spans="1:14">
      <c r="G50" s="219"/>
    </row>
    <row r="52" spans="1:14">
      <c r="B52" s="218" t="s">
        <v>632</v>
      </c>
    </row>
    <row r="53" spans="1:14">
      <c r="B53" s="318" t="s">
        <v>350</v>
      </c>
      <c r="C53" s="319" t="s">
        <v>351</v>
      </c>
      <c r="D53" s="319" t="s">
        <v>356</v>
      </c>
      <c r="E53" s="320"/>
      <c r="F53" s="319" t="s">
        <v>352</v>
      </c>
      <c r="G53" s="319" t="s">
        <v>353</v>
      </c>
      <c r="H53" s="319" t="s">
        <v>354</v>
      </c>
      <c r="I53" s="320"/>
      <c r="J53" s="319" t="s">
        <v>416</v>
      </c>
      <c r="K53" s="319" t="s">
        <v>417</v>
      </c>
      <c r="L53" s="319" t="s">
        <v>604</v>
      </c>
      <c r="N53" s="319" t="s">
        <v>605</v>
      </c>
    </row>
    <row r="54" spans="1:14">
      <c r="B54" s="321"/>
      <c r="C54" s="321"/>
      <c r="D54" s="318" t="s">
        <v>606</v>
      </c>
      <c r="E54" s="322"/>
      <c r="F54" s="321"/>
      <c r="G54" s="321"/>
      <c r="H54" s="318" t="s">
        <v>607</v>
      </c>
      <c r="J54" s="321"/>
      <c r="K54" s="321"/>
      <c r="L54" s="318" t="s">
        <v>608</v>
      </c>
      <c r="N54" s="318" t="s">
        <v>609</v>
      </c>
    </row>
    <row r="55" spans="1:14" ht="120">
      <c r="A55" s="323"/>
      <c r="B55" s="324" t="s">
        <v>610</v>
      </c>
      <c r="C55" s="217" t="s">
        <v>611</v>
      </c>
      <c r="D55" s="324" t="s">
        <v>612</v>
      </c>
      <c r="E55" s="325"/>
      <c r="F55" s="217" t="s">
        <v>613</v>
      </c>
      <c r="G55" s="217" t="s">
        <v>614</v>
      </c>
      <c r="H55" s="217" t="s">
        <v>615</v>
      </c>
      <c r="J55" s="217" t="s">
        <v>616</v>
      </c>
      <c r="K55" s="217" t="s">
        <v>617</v>
      </c>
      <c r="L55" s="217" t="s">
        <v>618</v>
      </c>
      <c r="N55" s="217" t="s">
        <v>619</v>
      </c>
    </row>
    <row r="56" spans="1:14" ht="15.75">
      <c r="A56" s="326">
        <f>A8</f>
        <v>44531</v>
      </c>
      <c r="B56" s="327">
        <v>60195142</v>
      </c>
      <c r="C56" s="328">
        <v>1502589</v>
      </c>
      <c r="D56" s="329">
        <f>+B56-C56</f>
        <v>58692553</v>
      </c>
      <c r="E56" s="330"/>
      <c r="F56" s="331">
        <v>5089261.7800000012</v>
      </c>
      <c r="G56" s="327">
        <v>45930</v>
      </c>
      <c r="H56" s="329">
        <f>+F56-G56</f>
        <v>5043331.7800000012</v>
      </c>
      <c r="J56" s="345">
        <v>0</v>
      </c>
      <c r="K56" s="327">
        <v>0</v>
      </c>
      <c r="L56" s="329">
        <f>+J56-K56</f>
        <v>0</v>
      </c>
      <c r="N56" s="332">
        <f>+C56-G56+K56</f>
        <v>1456659</v>
      </c>
    </row>
    <row r="57" spans="1:14" ht="15.75">
      <c r="A57" s="326">
        <f t="shared" ref="A57:A68" si="9">A9</f>
        <v>44562</v>
      </c>
      <c r="B57" s="333">
        <v>60195142</v>
      </c>
      <c r="C57" s="328">
        <v>1502589</v>
      </c>
      <c r="D57" s="334">
        <f t="shared" ref="D57:D68" si="10">+B57-C57</f>
        <v>58692553</v>
      </c>
      <c r="E57" s="330"/>
      <c r="F57" s="244">
        <v>5217922.0200000014</v>
      </c>
      <c r="G57" s="333">
        <v>47983</v>
      </c>
      <c r="H57" s="334">
        <f t="shared" ref="H57:H68" si="11">+F57-G57</f>
        <v>5169939.0200000014</v>
      </c>
      <c r="J57" s="333">
        <v>0</v>
      </c>
      <c r="K57" s="333">
        <v>0</v>
      </c>
      <c r="L57" s="334">
        <f t="shared" ref="L57:L68" si="12">+J57-K57</f>
        <v>0</v>
      </c>
      <c r="N57" s="221">
        <f t="shared" ref="N57:N68" si="13">+C57-G57+K57</f>
        <v>1454606</v>
      </c>
    </row>
    <row r="58" spans="1:14" ht="15.75">
      <c r="A58" s="326">
        <f t="shared" si="9"/>
        <v>44593</v>
      </c>
      <c r="B58" s="333">
        <v>60195142</v>
      </c>
      <c r="C58" s="328">
        <v>1502589</v>
      </c>
      <c r="D58" s="334">
        <f t="shared" si="10"/>
        <v>58692553</v>
      </c>
      <c r="E58" s="330"/>
      <c r="F58" s="244">
        <v>5346582.2600000016</v>
      </c>
      <c r="G58" s="333">
        <v>50036</v>
      </c>
      <c r="H58" s="334">
        <f t="shared" si="11"/>
        <v>5296546.2600000016</v>
      </c>
      <c r="J58" s="333">
        <v>0</v>
      </c>
      <c r="K58" s="333">
        <v>0</v>
      </c>
      <c r="L58" s="334">
        <f t="shared" si="12"/>
        <v>0</v>
      </c>
      <c r="N58" s="221">
        <f t="shared" si="13"/>
        <v>1452553</v>
      </c>
    </row>
    <row r="59" spans="1:14" ht="15.75">
      <c r="A59" s="326">
        <f t="shared" si="9"/>
        <v>44621</v>
      </c>
      <c r="B59" s="333">
        <v>60195142</v>
      </c>
      <c r="C59" s="328">
        <v>1502589</v>
      </c>
      <c r="D59" s="334">
        <f t="shared" si="10"/>
        <v>58692553</v>
      </c>
      <c r="E59" s="330"/>
      <c r="F59" s="244">
        <v>5475242.5000000019</v>
      </c>
      <c r="G59" s="333">
        <v>52089</v>
      </c>
      <c r="H59" s="334">
        <f t="shared" si="11"/>
        <v>5423153.5000000019</v>
      </c>
      <c r="J59" s="333">
        <v>0</v>
      </c>
      <c r="K59" s="333">
        <v>0</v>
      </c>
      <c r="L59" s="334">
        <f t="shared" si="12"/>
        <v>0</v>
      </c>
      <c r="N59" s="221">
        <f t="shared" si="13"/>
        <v>1450500</v>
      </c>
    </row>
    <row r="60" spans="1:14" ht="15.75">
      <c r="A60" s="326">
        <f t="shared" si="9"/>
        <v>44652</v>
      </c>
      <c r="B60" s="333">
        <v>60195142</v>
      </c>
      <c r="C60" s="328">
        <v>1502589</v>
      </c>
      <c r="D60" s="334">
        <f t="shared" si="10"/>
        <v>58692553</v>
      </c>
      <c r="E60" s="330"/>
      <c r="F60" s="244">
        <v>5603902.7400000021</v>
      </c>
      <c r="G60" s="333">
        <v>54142</v>
      </c>
      <c r="H60" s="334">
        <f t="shared" si="11"/>
        <v>5549760.7400000021</v>
      </c>
      <c r="J60" s="333">
        <v>0</v>
      </c>
      <c r="K60" s="333">
        <v>0</v>
      </c>
      <c r="L60" s="334">
        <f t="shared" si="12"/>
        <v>0</v>
      </c>
      <c r="N60" s="221">
        <f t="shared" si="13"/>
        <v>1448447</v>
      </c>
    </row>
    <row r="61" spans="1:14" ht="15.75">
      <c r="A61" s="326">
        <f t="shared" si="9"/>
        <v>44682</v>
      </c>
      <c r="B61" s="333">
        <v>60195142</v>
      </c>
      <c r="C61" s="328">
        <v>1502589</v>
      </c>
      <c r="D61" s="334">
        <f t="shared" si="10"/>
        <v>58692553</v>
      </c>
      <c r="E61" s="330"/>
      <c r="F61" s="244">
        <v>5732562.9800000023</v>
      </c>
      <c r="G61" s="333">
        <v>56195</v>
      </c>
      <c r="H61" s="334">
        <f t="shared" si="11"/>
        <v>5676367.9800000023</v>
      </c>
      <c r="J61" s="333">
        <v>0</v>
      </c>
      <c r="K61" s="333">
        <v>0</v>
      </c>
      <c r="L61" s="334">
        <f t="shared" si="12"/>
        <v>0</v>
      </c>
      <c r="N61" s="221">
        <f t="shared" si="13"/>
        <v>1446394</v>
      </c>
    </row>
    <row r="62" spans="1:14" ht="15.75">
      <c r="A62" s="326">
        <f t="shared" si="9"/>
        <v>44713</v>
      </c>
      <c r="B62" s="333">
        <v>60195142</v>
      </c>
      <c r="C62" s="328">
        <v>1502589</v>
      </c>
      <c r="D62" s="334">
        <f t="shared" si="10"/>
        <v>58692553</v>
      </c>
      <c r="E62" s="330"/>
      <c r="F62" s="244">
        <v>5861223.2200000025</v>
      </c>
      <c r="G62" s="333">
        <v>58248</v>
      </c>
      <c r="H62" s="334">
        <f t="shared" si="11"/>
        <v>5802975.2200000025</v>
      </c>
      <c r="J62" s="333">
        <v>0</v>
      </c>
      <c r="K62" s="333">
        <v>0</v>
      </c>
      <c r="L62" s="334">
        <f t="shared" si="12"/>
        <v>0</v>
      </c>
      <c r="N62" s="221">
        <f t="shared" si="13"/>
        <v>1444341</v>
      </c>
    </row>
    <row r="63" spans="1:14" ht="15.75">
      <c r="A63" s="326">
        <f t="shared" si="9"/>
        <v>44743</v>
      </c>
      <c r="B63" s="333">
        <v>60195142</v>
      </c>
      <c r="C63" s="328">
        <v>1502589</v>
      </c>
      <c r="D63" s="334">
        <f t="shared" si="10"/>
        <v>58692553</v>
      </c>
      <c r="E63" s="330"/>
      <c r="F63" s="244">
        <v>5989883.4600000028</v>
      </c>
      <c r="G63" s="333">
        <v>60301</v>
      </c>
      <c r="H63" s="334">
        <f t="shared" si="11"/>
        <v>5929582.4600000028</v>
      </c>
      <c r="J63" s="333">
        <v>0</v>
      </c>
      <c r="K63" s="333">
        <v>0</v>
      </c>
      <c r="L63" s="334">
        <f t="shared" si="12"/>
        <v>0</v>
      </c>
      <c r="N63" s="221">
        <f t="shared" si="13"/>
        <v>1442288</v>
      </c>
    </row>
    <row r="64" spans="1:14" ht="15.75">
      <c r="A64" s="326">
        <f t="shared" si="9"/>
        <v>44774</v>
      </c>
      <c r="B64" s="333">
        <v>60195142</v>
      </c>
      <c r="C64" s="328">
        <v>1502589</v>
      </c>
      <c r="D64" s="334">
        <f t="shared" si="10"/>
        <v>58692553</v>
      </c>
      <c r="E64" s="330"/>
      <c r="F64" s="244">
        <v>6118543.700000003</v>
      </c>
      <c r="G64" s="333">
        <v>62354</v>
      </c>
      <c r="H64" s="334">
        <f t="shared" si="11"/>
        <v>6056189.700000003</v>
      </c>
      <c r="J64" s="333">
        <v>0</v>
      </c>
      <c r="K64" s="333">
        <v>0</v>
      </c>
      <c r="L64" s="334">
        <f t="shared" si="12"/>
        <v>0</v>
      </c>
      <c r="N64" s="221">
        <f t="shared" si="13"/>
        <v>1440235</v>
      </c>
    </row>
    <row r="65" spans="1:17" ht="15.75">
      <c r="A65" s="326">
        <f t="shared" si="9"/>
        <v>44805</v>
      </c>
      <c r="B65" s="333">
        <v>60195142</v>
      </c>
      <c r="C65" s="328">
        <v>1502589</v>
      </c>
      <c r="D65" s="334">
        <f t="shared" si="10"/>
        <v>58692553</v>
      </c>
      <c r="E65" s="330"/>
      <c r="F65" s="244">
        <v>6247203.9400000032</v>
      </c>
      <c r="G65" s="333">
        <v>64407</v>
      </c>
      <c r="H65" s="334">
        <f t="shared" si="11"/>
        <v>6182796.9400000032</v>
      </c>
      <c r="J65" s="333">
        <v>0</v>
      </c>
      <c r="K65" s="333">
        <v>0</v>
      </c>
      <c r="L65" s="334">
        <f t="shared" si="12"/>
        <v>0</v>
      </c>
      <c r="N65" s="221">
        <f t="shared" si="13"/>
        <v>1438182</v>
      </c>
    </row>
    <row r="66" spans="1:17" ht="15.75">
      <c r="A66" s="326">
        <f t="shared" si="9"/>
        <v>44835</v>
      </c>
      <c r="B66" s="333">
        <v>60195142</v>
      </c>
      <c r="C66" s="328">
        <v>1502589</v>
      </c>
      <c r="D66" s="334">
        <f t="shared" si="10"/>
        <v>58692553</v>
      </c>
      <c r="E66" s="330"/>
      <c r="F66" s="244">
        <v>6375864.1800000034</v>
      </c>
      <c r="G66" s="333">
        <v>66460</v>
      </c>
      <c r="H66" s="334">
        <f t="shared" si="11"/>
        <v>6309404.1800000034</v>
      </c>
      <c r="J66" s="333">
        <v>0</v>
      </c>
      <c r="K66" s="333">
        <v>0</v>
      </c>
      <c r="L66" s="334">
        <f t="shared" si="12"/>
        <v>0</v>
      </c>
      <c r="N66" s="221">
        <f t="shared" si="13"/>
        <v>1436129</v>
      </c>
    </row>
    <row r="67" spans="1:17" ht="15.75">
      <c r="A67" s="326">
        <f t="shared" si="9"/>
        <v>44866</v>
      </c>
      <c r="B67" s="333">
        <v>60195142</v>
      </c>
      <c r="C67" s="328">
        <v>1502589</v>
      </c>
      <c r="D67" s="334">
        <f t="shared" si="10"/>
        <v>58692553</v>
      </c>
      <c r="E67" s="330"/>
      <c r="F67" s="244">
        <v>6504524.4200000037</v>
      </c>
      <c r="G67" s="333">
        <v>68513</v>
      </c>
      <c r="H67" s="334">
        <f t="shared" si="11"/>
        <v>6436011.4200000037</v>
      </c>
      <c r="J67" s="333">
        <v>0</v>
      </c>
      <c r="K67" s="333">
        <v>0</v>
      </c>
      <c r="L67" s="334">
        <f t="shared" si="12"/>
        <v>0</v>
      </c>
      <c r="N67" s="221">
        <f t="shared" si="13"/>
        <v>1434076</v>
      </c>
    </row>
    <row r="68" spans="1:17" ht="15.75">
      <c r="A68" s="326">
        <f t="shared" si="9"/>
        <v>44896</v>
      </c>
      <c r="B68" s="335">
        <v>60195142</v>
      </c>
      <c r="C68" s="336">
        <v>1502589</v>
      </c>
      <c r="D68" s="337">
        <f t="shared" si="10"/>
        <v>58692553</v>
      </c>
      <c r="E68" s="330"/>
      <c r="F68" s="338">
        <v>6633184.6600000039</v>
      </c>
      <c r="G68" s="335">
        <v>70566</v>
      </c>
      <c r="H68" s="337">
        <f t="shared" si="11"/>
        <v>6562618.6600000039</v>
      </c>
      <c r="J68" s="335">
        <v>0</v>
      </c>
      <c r="K68" s="335">
        <v>0</v>
      </c>
      <c r="L68" s="337">
        <f t="shared" si="12"/>
        <v>0</v>
      </c>
      <c r="N68" s="339">
        <f t="shared" si="13"/>
        <v>1432023</v>
      </c>
    </row>
    <row r="69" spans="1:17">
      <c r="B69" s="220"/>
      <c r="C69" s="220"/>
      <c r="D69" s="220"/>
      <c r="F69" s="220"/>
      <c r="G69" s="220"/>
      <c r="H69" s="220"/>
      <c r="J69" s="220"/>
      <c r="K69" s="220"/>
      <c r="L69" s="220"/>
      <c r="N69" s="220"/>
    </row>
    <row r="70" spans="1:17">
      <c r="A70" s="218" t="s">
        <v>620</v>
      </c>
      <c r="B70" s="339">
        <f>AVERAGE(B56:B68)</f>
        <v>60195142</v>
      </c>
      <c r="C70" s="339">
        <f>AVERAGE(C56:C68)</f>
        <v>1502589</v>
      </c>
      <c r="D70" s="339">
        <f>AVERAGE(D56:D68)</f>
        <v>58692553</v>
      </c>
      <c r="E70" s="219"/>
      <c r="F70" s="339">
        <f>AVERAGE(F56:F68)</f>
        <v>5861223.2200000035</v>
      </c>
      <c r="G70" s="339">
        <f>AVERAGE(G56:G68)</f>
        <v>58248</v>
      </c>
      <c r="H70" s="339">
        <f>AVERAGE(H56:H68)</f>
        <v>5802975.2200000035</v>
      </c>
      <c r="J70" s="339">
        <f>AVERAGE(J56:J68)</f>
        <v>0</v>
      </c>
      <c r="K70" s="339">
        <f>AVERAGE(K56:K68)</f>
        <v>0</v>
      </c>
      <c r="L70" s="339">
        <f>AVERAGE(L56:L68)</f>
        <v>0</v>
      </c>
      <c r="N70" s="339">
        <f>AVERAGE(N56:N68)</f>
        <v>1444341</v>
      </c>
    </row>
    <row r="71" spans="1:17">
      <c r="B71" s="321"/>
      <c r="D71" s="321"/>
      <c r="H71" s="321"/>
      <c r="J71" s="321"/>
      <c r="K71" s="321"/>
      <c r="L71" s="321"/>
      <c r="N71" s="321"/>
    </row>
    <row r="72" spans="1:17" ht="75">
      <c r="B72" s="217" t="s">
        <v>621</v>
      </c>
      <c r="C72" s="340"/>
      <c r="D72" s="217" t="s">
        <v>622</v>
      </c>
      <c r="E72" s="325"/>
      <c r="H72" s="217" t="s">
        <v>623</v>
      </c>
      <c r="J72" s="217" t="s">
        <v>624</v>
      </c>
      <c r="K72" s="217" t="s">
        <v>625</v>
      </c>
      <c r="L72" s="217" t="s">
        <v>622</v>
      </c>
      <c r="N72" s="217" t="s">
        <v>625</v>
      </c>
    </row>
    <row r="73" spans="1:17">
      <c r="G73" s="219"/>
    </row>
    <row r="75" spans="1:17">
      <c r="B75" s="218" t="s">
        <v>633</v>
      </c>
    </row>
    <row r="76" spans="1:17">
      <c r="B76" s="318" t="s">
        <v>350</v>
      </c>
      <c r="C76" s="319" t="s">
        <v>351</v>
      </c>
      <c r="D76" s="319" t="s">
        <v>356</v>
      </c>
      <c r="E76" s="320"/>
      <c r="F76" s="319" t="s">
        <v>352</v>
      </c>
      <c r="G76" s="319" t="s">
        <v>353</v>
      </c>
      <c r="H76" s="319" t="s">
        <v>354</v>
      </c>
      <c r="I76" s="320"/>
      <c r="J76" s="319" t="s">
        <v>416</v>
      </c>
      <c r="K76" s="319" t="s">
        <v>417</v>
      </c>
      <c r="L76" s="319" t="s">
        <v>604</v>
      </c>
      <c r="N76" s="319" t="s">
        <v>605</v>
      </c>
    </row>
    <row r="77" spans="1:17">
      <c r="B77" s="321"/>
      <c r="C77" s="321"/>
      <c r="D77" s="318" t="s">
        <v>606</v>
      </c>
      <c r="E77" s="322"/>
      <c r="F77" s="321"/>
      <c r="G77" s="321"/>
      <c r="H77" s="318" t="s">
        <v>607</v>
      </c>
      <c r="J77" s="321"/>
      <c r="K77" s="321"/>
      <c r="L77" s="318" t="s">
        <v>608</v>
      </c>
      <c r="N77" s="318" t="s">
        <v>609</v>
      </c>
    </row>
    <row r="78" spans="1:17" ht="120">
      <c r="A78" s="323"/>
      <c r="B78" s="324" t="s">
        <v>610</v>
      </c>
      <c r="C78" s="217" t="s">
        <v>611</v>
      </c>
      <c r="D78" s="324" t="s">
        <v>612</v>
      </c>
      <c r="E78" s="325"/>
      <c r="F78" s="217" t="s">
        <v>613</v>
      </c>
      <c r="G78" s="217" t="s">
        <v>614</v>
      </c>
      <c r="H78" s="217" t="s">
        <v>615</v>
      </c>
      <c r="J78" s="217" t="s">
        <v>616</v>
      </c>
      <c r="K78" s="217" t="s">
        <v>617</v>
      </c>
      <c r="L78" s="217" t="s">
        <v>618</v>
      </c>
      <c r="N78" s="217" t="s">
        <v>619</v>
      </c>
      <c r="Q78" s="218" t="s">
        <v>2</v>
      </c>
    </row>
    <row r="79" spans="1:17" ht="15.75">
      <c r="A79" s="326">
        <f>A8</f>
        <v>44531</v>
      </c>
      <c r="B79" s="327">
        <v>66956416</v>
      </c>
      <c r="C79" s="328">
        <v>1871270</v>
      </c>
      <c r="D79" s="329">
        <f>+B79-C79</f>
        <v>65085146</v>
      </c>
      <c r="E79" s="330"/>
      <c r="F79" s="331">
        <v>8716730.3200000003</v>
      </c>
      <c r="G79" s="327">
        <v>105518</v>
      </c>
      <c r="H79" s="329">
        <f>+F79-G79</f>
        <v>8611212.3200000003</v>
      </c>
      <c r="J79" s="327">
        <v>0</v>
      </c>
      <c r="K79" s="327">
        <v>0</v>
      </c>
      <c r="L79" s="329">
        <f>+J79-K79</f>
        <v>0</v>
      </c>
      <c r="N79" s="332">
        <f>+C79-G79+K79</f>
        <v>1765752</v>
      </c>
    </row>
    <row r="80" spans="1:17" ht="15.75">
      <c r="A80" s="326">
        <f t="shared" ref="A80:A91" si="14">A9</f>
        <v>44562</v>
      </c>
      <c r="B80" s="333">
        <v>66956416</v>
      </c>
      <c r="C80" s="328">
        <v>1871270</v>
      </c>
      <c r="D80" s="334">
        <f t="shared" ref="D80:D91" si="15">+B80-C80</f>
        <v>65085146</v>
      </c>
      <c r="E80" s="330"/>
      <c r="F80" s="244">
        <v>8865258.5800000001</v>
      </c>
      <c r="G80" s="333">
        <v>107735</v>
      </c>
      <c r="H80" s="334">
        <f t="shared" ref="H80:H91" si="16">+F80-G80</f>
        <v>8757523.5800000001</v>
      </c>
      <c r="J80" s="333">
        <v>0</v>
      </c>
      <c r="K80" s="333">
        <v>0</v>
      </c>
      <c r="L80" s="334">
        <f t="shared" ref="L80:L91" si="17">+J80-K80</f>
        <v>0</v>
      </c>
      <c r="N80" s="221">
        <f t="shared" ref="N80:N91" si="18">+C80-G80+K80</f>
        <v>1763535</v>
      </c>
    </row>
    <row r="81" spans="1:14" ht="15.75">
      <c r="A81" s="326">
        <f t="shared" si="14"/>
        <v>44593</v>
      </c>
      <c r="B81" s="333">
        <v>66956416</v>
      </c>
      <c r="C81" s="328">
        <v>1871270</v>
      </c>
      <c r="D81" s="334">
        <f t="shared" si="15"/>
        <v>65085146</v>
      </c>
      <c r="E81" s="330"/>
      <c r="F81" s="244">
        <v>9013786.8399999999</v>
      </c>
      <c r="G81" s="333">
        <v>109952</v>
      </c>
      <c r="H81" s="334">
        <f t="shared" si="16"/>
        <v>8903834.8399999999</v>
      </c>
      <c r="J81" s="333">
        <v>0</v>
      </c>
      <c r="K81" s="333">
        <v>0</v>
      </c>
      <c r="L81" s="334">
        <f t="shared" si="17"/>
        <v>0</v>
      </c>
      <c r="N81" s="221">
        <f t="shared" si="18"/>
        <v>1761318</v>
      </c>
    </row>
    <row r="82" spans="1:14" ht="15.75">
      <c r="A82" s="326">
        <f t="shared" si="14"/>
        <v>44621</v>
      </c>
      <c r="B82" s="333">
        <v>66956416</v>
      </c>
      <c r="C82" s="328">
        <v>1871270</v>
      </c>
      <c r="D82" s="334">
        <f t="shared" si="15"/>
        <v>65085146</v>
      </c>
      <c r="E82" s="330"/>
      <c r="F82" s="244">
        <v>9162315.0999999996</v>
      </c>
      <c r="G82" s="333">
        <v>112169</v>
      </c>
      <c r="H82" s="334">
        <f t="shared" si="16"/>
        <v>9050146.0999999996</v>
      </c>
      <c r="J82" s="333">
        <v>0</v>
      </c>
      <c r="K82" s="333">
        <v>0</v>
      </c>
      <c r="L82" s="334">
        <f t="shared" si="17"/>
        <v>0</v>
      </c>
      <c r="N82" s="221">
        <f t="shared" si="18"/>
        <v>1759101</v>
      </c>
    </row>
    <row r="83" spans="1:14" ht="15.75">
      <c r="A83" s="326">
        <f t="shared" si="14"/>
        <v>44652</v>
      </c>
      <c r="B83" s="333">
        <v>66956416</v>
      </c>
      <c r="C83" s="328">
        <v>1871270</v>
      </c>
      <c r="D83" s="334">
        <f t="shared" si="15"/>
        <v>65085146</v>
      </c>
      <c r="E83" s="330"/>
      <c r="F83" s="244">
        <v>9310843.3599999994</v>
      </c>
      <c r="G83" s="333">
        <v>114386</v>
      </c>
      <c r="H83" s="334">
        <f t="shared" si="16"/>
        <v>9196457.3599999994</v>
      </c>
      <c r="J83" s="333">
        <v>0</v>
      </c>
      <c r="K83" s="333">
        <v>0</v>
      </c>
      <c r="L83" s="334">
        <f t="shared" si="17"/>
        <v>0</v>
      </c>
      <c r="N83" s="221">
        <f t="shared" si="18"/>
        <v>1756884</v>
      </c>
    </row>
    <row r="84" spans="1:14" ht="15.75">
      <c r="A84" s="326">
        <f t="shared" si="14"/>
        <v>44682</v>
      </c>
      <c r="B84" s="333">
        <v>66956416</v>
      </c>
      <c r="C84" s="328">
        <v>1871270</v>
      </c>
      <c r="D84" s="334">
        <f t="shared" si="15"/>
        <v>65085146</v>
      </c>
      <c r="E84" s="330"/>
      <c r="F84" s="244">
        <v>9459371.6199999992</v>
      </c>
      <c r="G84" s="333">
        <v>116603</v>
      </c>
      <c r="H84" s="334">
        <f t="shared" si="16"/>
        <v>9342768.6199999992</v>
      </c>
      <c r="J84" s="333">
        <v>0</v>
      </c>
      <c r="K84" s="333">
        <v>0</v>
      </c>
      <c r="L84" s="334">
        <f t="shared" si="17"/>
        <v>0</v>
      </c>
      <c r="N84" s="221">
        <f t="shared" si="18"/>
        <v>1754667</v>
      </c>
    </row>
    <row r="85" spans="1:14" ht="15.75">
      <c r="A85" s="326">
        <f t="shared" si="14"/>
        <v>44713</v>
      </c>
      <c r="B85" s="333">
        <v>66956416</v>
      </c>
      <c r="C85" s="328">
        <v>1871270</v>
      </c>
      <c r="D85" s="334">
        <f t="shared" si="15"/>
        <v>65085146</v>
      </c>
      <c r="E85" s="330"/>
      <c r="F85" s="244">
        <v>9607899.879999999</v>
      </c>
      <c r="G85" s="333">
        <v>118820</v>
      </c>
      <c r="H85" s="334">
        <f t="shared" si="16"/>
        <v>9489079.879999999</v>
      </c>
      <c r="J85" s="333">
        <v>0</v>
      </c>
      <c r="K85" s="333">
        <v>0</v>
      </c>
      <c r="L85" s="334">
        <f t="shared" si="17"/>
        <v>0</v>
      </c>
      <c r="N85" s="221">
        <f t="shared" si="18"/>
        <v>1752450</v>
      </c>
    </row>
    <row r="86" spans="1:14" ht="15.75">
      <c r="A86" s="326">
        <f t="shared" si="14"/>
        <v>44743</v>
      </c>
      <c r="B86" s="333">
        <v>66956416</v>
      </c>
      <c r="C86" s="328">
        <v>1871270</v>
      </c>
      <c r="D86" s="334">
        <f t="shared" si="15"/>
        <v>65085146</v>
      </c>
      <c r="E86" s="330"/>
      <c r="F86" s="244">
        <v>9756428.1399999987</v>
      </c>
      <c r="G86" s="333">
        <v>121037</v>
      </c>
      <c r="H86" s="334">
        <f t="shared" si="16"/>
        <v>9635391.1399999987</v>
      </c>
      <c r="J86" s="333">
        <v>0</v>
      </c>
      <c r="K86" s="333">
        <v>0</v>
      </c>
      <c r="L86" s="334">
        <f t="shared" si="17"/>
        <v>0</v>
      </c>
      <c r="N86" s="221">
        <f t="shared" si="18"/>
        <v>1750233</v>
      </c>
    </row>
    <row r="87" spans="1:14" ht="15.75">
      <c r="A87" s="326">
        <f t="shared" si="14"/>
        <v>44774</v>
      </c>
      <c r="B87" s="333">
        <v>66956416</v>
      </c>
      <c r="C87" s="328">
        <v>1871270</v>
      </c>
      <c r="D87" s="334">
        <f t="shared" si="15"/>
        <v>65085146</v>
      </c>
      <c r="E87" s="330"/>
      <c r="F87" s="244">
        <v>9904956.3999999985</v>
      </c>
      <c r="G87" s="333">
        <v>123254</v>
      </c>
      <c r="H87" s="334">
        <f t="shared" si="16"/>
        <v>9781702.3999999985</v>
      </c>
      <c r="J87" s="333">
        <v>0</v>
      </c>
      <c r="K87" s="333">
        <v>0</v>
      </c>
      <c r="L87" s="334">
        <f t="shared" si="17"/>
        <v>0</v>
      </c>
      <c r="N87" s="221">
        <f t="shared" si="18"/>
        <v>1748016</v>
      </c>
    </row>
    <row r="88" spans="1:14" ht="15.75">
      <c r="A88" s="326">
        <f t="shared" si="14"/>
        <v>44805</v>
      </c>
      <c r="B88" s="333">
        <v>66956416</v>
      </c>
      <c r="C88" s="328">
        <v>1871270</v>
      </c>
      <c r="D88" s="334">
        <f t="shared" si="15"/>
        <v>65085146</v>
      </c>
      <c r="E88" s="330"/>
      <c r="F88" s="244">
        <v>10053484.659999998</v>
      </c>
      <c r="G88" s="333">
        <v>125471</v>
      </c>
      <c r="H88" s="334">
        <f t="shared" si="16"/>
        <v>9928013.6599999983</v>
      </c>
      <c r="J88" s="333">
        <v>0</v>
      </c>
      <c r="K88" s="333">
        <v>0</v>
      </c>
      <c r="L88" s="334">
        <f t="shared" si="17"/>
        <v>0</v>
      </c>
      <c r="N88" s="221">
        <f t="shared" si="18"/>
        <v>1745799</v>
      </c>
    </row>
    <row r="89" spans="1:14" ht="15.75">
      <c r="A89" s="326">
        <f t="shared" si="14"/>
        <v>44835</v>
      </c>
      <c r="B89" s="333">
        <v>66956416</v>
      </c>
      <c r="C89" s="328">
        <v>1871270</v>
      </c>
      <c r="D89" s="334">
        <f t="shared" si="15"/>
        <v>65085146</v>
      </c>
      <c r="E89" s="330"/>
      <c r="F89" s="244">
        <v>10202012.919999998</v>
      </c>
      <c r="G89" s="333">
        <v>127688</v>
      </c>
      <c r="H89" s="334">
        <f t="shared" si="16"/>
        <v>10074324.919999998</v>
      </c>
      <c r="J89" s="333">
        <v>0</v>
      </c>
      <c r="K89" s="333">
        <v>0</v>
      </c>
      <c r="L89" s="334">
        <f t="shared" si="17"/>
        <v>0</v>
      </c>
      <c r="N89" s="221">
        <f t="shared" si="18"/>
        <v>1743582</v>
      </c>
    </row>
    <row r="90" spans="1:14" ht="15.75">
      <c r="A90" s="326">
        <f t="shared" si="14"/>
        <v>44866</v>
      </c>
      <c r="B90" s="333">
        <v>66956416</v>
      </c>
      <c r="C90" s="328">
        <v>1871270</v>
      </c>
      <c r="D90" s="334">
        <f t="shared" si="15"/>
        <v>65085146</v>
      </c>
      <c r="E90" s="330"/>
      <c r="F90" s="244">
        <v>10350541.179999998</v>
      </c>
      <c r="G90" s="333">
        <v>129905</v>
      </c>
      <c r="H90" s="334">
        <f t="shared" si="16"/>
        <v>10220636.179999998</v>
      </c>
      <c r="J90" s="333">
        <v>0</v>
      </c>
      <c r="K90" s="333">
        <v>0</v>
      </c>
      <c r="L90" s="334">
        <f t="shared" si="17"/>
        <v>0</v>
      </c>
      <c r="N90" s="221">
        <f t="shared" si="18"/>
        <v>1741365</v>
      </c>
    </row>
    <row r="91" spans="1:14" ht="15.75">
      <c r="A91" s="326">
        <f t="shared" si="14"/>
        <v>44896</v>
      </c>
      <c r="B91" s="335">
        <v>66956416</v>
      </c>
      <c r="C91" s="344">
        <v>1871270</v>
      </c>
      <c r="D91" s="337">
        <f t="shared" si="15"/>
        <v>65085146</v>
      </c>
      <c r="E91" s="330"/>
      <c r="F91" s="338">
        <v>10499069.439999998</v>
      </c>
      <c r="G91" s="335">
        <v>132122</v>
      </c>
      <c r="H91" s="337">
        <f t="shared" si="16"/>
        <v>10366947.439999998</v>
      </c>
      <c r="J91" s="335">
        <v>0</v>
      </c>
      <c r="K91" s="335">
        <v>0</v>
      </c>
      <c r="L91" s="337">
        <f t="shared" si="17"/>
        <v>0</v>
      </c>
      <c r="N91" s="339">
        <f t="shared" si="18"/>
        <v>1739148</v>
      </c>
    </row>
    <row r="92" spans="1:14">
      <c r="B92" s="220"/>
      <c r="C92" s="220"/>
      <c r="D92" s="220"/>
      <c r="F92" s="220"/>
      <c r="G92" s="220"/>
      <c r="H92" s="220"/>
      <c r="J92" s="220"/>
      <c r="K92" s="220"/>
      <c r="L92" s="220"/>
      <c r="N92" s="220"/>
    </row>
    <row r="93" spans="1:14">
      <c r="A93" s="218" t="s">
        <v>620</v>
      </c>
      <c r="B93" s="339">
        <f>AVERAGE(B79:B91)</f>
        <v>66956416</v>
      </c>
      <c r="C93" s="339">
        <f>AVERAGE(C79:C92)</f>
        <v>1871270</v>
      </c>
      <c r="D93" s="339">
        <f>AVERAGE(D79:D91)</f>
        <v>65085146</v>
      </c>
      <c r="E93" s="219"/>
      <c r="F93" s="339">
        <f>AVERAGE(F79:F91)</f>
        <v>9607899.8799999971</v>
      </c>
      <c r="G93" s="339">
        <f>AVERAGE(G79:G91)</f>
        <v>118820</v>
      </c>
      <c r="H93" s="339">
        <f>AVERAGE(H79:H91)</f>
        <v>9489079.8799999971</v>
      </c>
      <c r="J93" s="339">
        <f>AVERAGE(J79:J91)</f>
        <v>0</v>
      </c>
      <c r="K93" s="339">
        <f>AVERAGE(K79:K91)</f>
        <v>0</v>
      </c>
      <c r="L93" s="339">
        <f>AVERAGE(L79:L91)</f>
        <v>0</v>
      </c>
      <c r="N93" s="339">
        <f>AVERAGE(N79:N91)</f>
        <v>1752450</v>
      </c>
    </row>
    <row r="94" spans="1:14">
      <c r="B94" s="321"/>
      <c r="D94" s="321"/>
      <c r="H94" s="321"/>
      <c r="J94" s="321"/>
      <c r="K94" s="321"/>
      <c r="L94" s="321"/>
      <c r="N94" s="321"/>
    </row>
    <row r="95" spans="1:14" ht="75">
      <c r="B95" s="217" t="s">
        <v>621</v>
      </c>
      <c r="C95" s="340"/>
      <c r="D95" s="217" t="s">
        <v>622</v>
      </c>
      <c r="E95" s="325"/>
      <c r="H95" s="217" t="s">
        <v>623</v>
      </c>
      <c r="J95" s="217" t="s">
        <v>624</v>
      </c>
      <c r="K95" s="217" t="s">
        <v>625</v>
      </c>
      <c r="L95" s="217" t="s">
        <v>622</v>
      </c>
      <c r="N95" s="217" t="s">
        <v>625</v>
      </c>
    </row>
    <row r="97" spans="1:14">
      <c r="K97" s="219"/>
    </row>
    <row r="98" spans="1:14">
      <c r="B98" s="218" t="s">
        <v>488</v>
      </c>
    </row>
    <row r="99" spans="1:14">
      <c r="B99" s="318" t="s">
        <v>350</v>
      </c>
      <c r="C99" s="319" t="s">
        <v>351</v>
      </c>
      <c r="D99" s="319" t="s">
        <v>356</v>
      </c>
      <c r="E99" s="320"/>
      <c r="F99" s="319" t="s">
        <v>352</v>
      </c>
      <c r="G99" s="319" t="s">
        <v>353</v>
      </c>
      <c r="H99" s="319" t="s">
        <v>354</v>
      </c>
      <c r="I99" s="320"/>
      <c r="J99" s="319" t="s">
        <v>416</v>
      </c>
      <c r="K99" s="319" t="s">
        <v>417</v>
      </c>
      <c r="L99" s="319" t="s">
        <v>604</v>
      </c>
      <c r="N99" s="319" t="s">
        <v>605</v>
      </c>
    </row>
    <row r="100" spans="1:14">
      <c r="B100" s="321"/>
      <c r="C100" s="321"/>
      <c r="D100" s="318" t="s">
        <v>606</v>
      </c>
      <c r="E100" s="322"/>
      <c r="F100" s="321"/>
      <c r="G100" s="321"/>
      <c r="H100" s="318" t="s">
        <v>607</v>
      </c>
      <c r="J100" s="321"/>
      <c r="K100" s="321"/>
      <c r="L100" s="318" t="s">
        <v>608</v>
      </c>
      <c r="N100" s="318" t="s">
        <v>609</v>
      </c>
    </row>
    <row r="101" spans="1:14" ht="120">
      <c r="B101" s="346" t="s">
        <v>610</v>
      </c>
      <c r="C101" s="217" t="s">
        <v>611</v>
      </c>
      <c r="D101" s="324" t="s">
        <v>612</v>
      </c>
      <c r="E101" s="325"/>
      <c r="F101" s="217" t="s">
        <v>613</v>
      </c>
      <c r="G101" s="217" t="s">
        <v>614</v>
      </c>
      <c r="H101" s="217" t="s">
        <v>615</v>
      </c>
      <c r="J101" s="217" t="s">
        <v>616</v>
      </c>
      <c r="K101" s="217" t="s">
        <v>617</v>
      </c>
      <c r="L101" s="217" t="s">
        <v>618</v>
      </c>
      <c r="N101" s="217" t="s">
        <v>619</v>
      </c>
    </row>
    <row r="102" spans="1:14" ht="15.75">
      <c r="A102" s="326">
        <f>A8</f>
        <v>44531</v>
      </c>
      <c r="B102" s="327">
        <f t="shared" ref="B102:C114" si="19">SUM(B79+B56+B32+B8)</f>
        <v>549168579</v>
      </c>
      <c r="C102" s="327">
        <f t="shared" si="19"/>
        <v>41054311</v>
      </c>
      <c r="D102" s="329">
        <f>+B102-C102</f>
        <v>508114268</v>
      </c>
      <c r="E102" s="330"/>
      <c r="F102" s="327">
        <f t="shared" ref="F102:G114" si="20">SUM(F79+F56+F32+F8)</f>
        <v>74328441.891600013</v>
      </c>
      <c r="G102" s="327">
        <f t="shared" si="20"/>
        <v>2775048</v>
      </c>
      <c r="H102" s="329">
        <f>+F102-G102</f>
        <v>71553393.891600013</v>
      </c>
      <c r="J102" s="327">
        <f t="shared" ref="J102:K114" si="21">SUM(J79+J56+J32+J8)</f>
        <v>0</v>
      </c>
      <c r="K102" s="327">
        <f t="shared" si="21"/>
        <v>0</v>
      </c>
      <c r="L102" s="329">
        <f>+J102-K102</f>
        <v>0</v>
      </c>
      <c r="N102" s="332">
        <f>+C102-G102+K102</f>
        <v>38279263</v>
      </c>
    </row>
    <row r="103" spans="1:14" ht="15.75">
      <c r="A103" s="326">
        <f t="shared" ref="A103:A114" si="22">A9</f>
        <v>44562</v>
      </c>
      <c r="B103" s="333">
        <f t="shared" si="19"/>
        <v>549168579</v>
      </c>
      <c r="C103" s="333">
        <f t="shared" si="19"/>
        <v>41054311</v>
      </c>
      <c r="D103" s="334">
        <f t="shared" ref="D103:D114" si="23">+B103-C103</f>
        <v>508114268</v>
      </c>
      <c r="E103" s="330"/>
      <c r="F103" s="333">
        <f t="shared" si="20"/>
        <v>75506163.364500016</v>
      </c>
      <c r="G103" s="333">
        <f t="shared" si="20"/>
        <v>2829926</v>
      </c>
      <c r="H103" s="334">
        <f t="shared" ref="H103:H114" si="24">+F103-G103</f>
        <v>72676237.364500016</v>
      </c>
      <c r="J103" s="333">
        <f t="shared" si="21"/>
        <v>0</v>
      </c>
      <c r="K103" s="333">
        <f t="shared" si="21"/>
        <v>0</v>
      </c>
      <c r="L103" s="334">
        <f t="shared" ref="L103:L114" si="25">+J103-K103</f>
        <v>0</v>
      </c>
      <c r="N103" s="221">
        <f t="shared" ref="N103:N114" si="26">+C103-G103+K103</f>
        <v>38224385</v>
      </c>
    </row>
    <row r="104" spans="1:14" ht="15.75">
      <c r="A104" s="326">
        <f t="shared" si="22"/>
        <v>44593</v>
      </c>
      <c r="B104" s="333">
        <f t="shared" si="19"/>
        <v>549168579</v>
      </c>
      <c r="C104" s="333">
        <f t="shared" si="19"/>
        <v>41054311</v>
      </c>
      <c r="D104" s="334">
        <f t="shared" si="23"/>
        <v>508114268</v>
      </c>
      <c r="E104" s="330"/>
      <c r="F104" s="333">
        <f t="shared" si="20"/>
        <v>76683884.837400019</v>
      </c>
      <c r="G104" s="333">
        <f t="shared" si="20"/>
        <v>2884804</v>
      </c>
      <c r="H104" s="334">
        <f t="shared" si="24"/>
        <v>73799080.837400019</v>
      </c>
      <c r="J104" s="333">
        <f t="shared" si="21"/>
        <v>0</v>
      </c>
      <c r="K104" s="333">
        <f t="shared" si="21"/>
        <v>0</v>
      </c>
      <c r="L104" s="334">
        <f t="shared" si="25"/>
        <v>0</v>
      </c>
      <c r="N104" s="221">
        <f t="shared" si="26"/>
        <v>38169507</v>
      </c>
    </row>
    <row r="105" spans="1:14" ht="15.75">
      <c r="A105" s="326">
        <f t="shared" si="22"/>
        <v>44621</v>
      </c>
      <c r="B105" s="333">
        <f t="shared" si="19"/>
        <v>549168579</v>
      </c>
      <c r="C105" s="333">
        <f t="shared" si="19"/>
        <v>41054311</v>
      </c>
      <c r="D105" s="334">
        <f t="shared" si="23"/>
        <v>508114268</v>
      </c>
      <c r="E105" s="330"/>
      <c r="F105" s="333">
        <f t="shared" si="20"/>
        <v>77861606.310300022</v>
      </c>
      <c r="G105" s="333">
        <f t="shared" si="20"/>
        <v>2939682</v>
      </c>
      <c r="H105" s="334">
        <f t="shared" si="24"/>
        <v>74921924.310300022</v>
      </c>
      <c r="J105" s="333">
        <f t="shared" si="21"/>
        <v>0</v>
      </c>
      <c r="K105" s="333">
        <f t="shared" si="21"/>
        <v>0</v>
      </c>
      <c r="L105" s="334">
        <f t="shared" si="25"/>
        <v>0</v>
      </c>
      <c r="N105" s="221">
        <f t="shared" si="26"/>
        <v>38114629</v>
      </c>
    </row>
    <row r="106" spans="1:14" ht="15.75">
      <c r="A106" s="326">
        <f t="shared" si="22"/>
        <v>44652</v>
      </c>
      <c r="B106" s="333">
        <f t="shared" si="19"/>
        <v>549168579</v>
      </c>
      <c r="C106" s="333">
        <f t="shared" si="19"/>
        <v>41054311</v>
      </c>
      <c r="D106" s="334">
        <f t="shared" si="23"/>
        <v>508114268</v>
      </c>
      <c r="E106" s="330"/>
      <c r="F106" s="333">
        <f t="shared" si="20"/>
        <v>79039327.783200026</v>
      </c>
      <c r="G106" s="333">
        <f t="shared" si="20"/>
        <v>2994560</v>
      </c>
      <c r="H106" s="334">
        <f t="shared" si="24"/>
        <v>76044767.783200026</v>
      </c>
      <c r="J106" s="333">
        <f t="shared" si="21"/>
        <v>0</v>
      </c>
      <c r="K106" s="333">
        <f t="shared" si="21"/>
        <v>0</v>
      </c>
      <c r="L106" s="334">
        <f t="shared" si="25"/>
        <v>0</v>
      </c>
      <c r="N106" s="221">
        <f t="shared" si="26"/>
        <v>38059751</v>
      </c>
    </row>
    <row r="107" spans="1:14" ht="15.75">
      <c r="A107" s="326">
        <f t="shared" si="22"/>
        <v>44682</v>
      </c>
      <c r="B107" s="333">
        <f t="shared" si="19"/>
        <v>549168579</v>
      </c>
      <c r="C107" s="333">
        <f t="shared" si="19"/>
        <v>41054311</v>
      </c>
      <c r="D107" s="334">
        <f t="shared" si="23"/>
        <v>508114268</v>
      </c>
      <c r="E107" s="330"/>
      <c r="F107" s="333">
        <f t="shared" si="20"/>
        <v>80217049.256100029</v>
      </c>
      <c r="G107" s="333">
        <f t="shared" si="20"/>
        <v>3049438</v>
      </c>
      <c r="H107" s="334">
        <f t="shared" si="24"/>
        <v>77167611.256100029</v>
      </c>
      <c r="J107" s="333">
        <f t="shared" si="21"/>
        <v>0</v>
      </c>
      <c r="K107" s="333">
        <f t="shared" si="21"/>
        <v>0</v>
      </c>
      <c r="L107" s="334">
        <f t="shared" si="25"/>
        <v>0</v>
      </c>
      <c r="N107" s="221">
        <f t="shared" si="26"/>
        <v>38004873</v>
      </c>
    </row>
    <row r="108" spans="1:14" ht="15.75">
      <c r="A108" s="326">
        <f t="shared" si="22"/>
        <v>44713</v>
      </c>
      <c r="B108" s="333">
        <f t="shared" si="19"/>
        <v>549168579</v>
      </c>
      <c r="C108" s="333">
        <f t="shared" si="19"/>
        <v>41054311</v>
      </c>
      <c r="D108" s="334">
        <f t="shared" si="23"/>
        <v>508114268</v>
      </c>
      <c r="E108" s="330"/>
      <c r="F108" s="333">
        <f t="shared" si="20"/>
        <v>81394770.729000032</v>
      </c>
      <c r="G108" s="333">
        <f t="shared" si="20"/>
        <v>3104316</v>
      </c>
      <c r="H108" s="334">
        <f t="shared" si="24"/>
        <v>78290454.729000032</v>
      </c>
      <c r="J108" s="333">
        <f t="shared" si="21"/>
        <v>0</v>
      </c>
      <c r="K108" s="333">
        <f t="shared" si="21"/>
        <v>0</v>
      </c>
      <c r="L108" s="334">
        <f t="shared" si="25"/>
        <v>0</v>
      </c>
      <c r="N108" s="221">
        <f t="shared" si="26"/>
        <v>37949995</v>
      </c>
    </row>
    <row r="109" spans="1:14" ht="15.75">
      <c r="A109" s="326">
        <f t="shared" si="22"/>
        <v>44743</v>
      </c>
      <c r="B109" s="333">
        <f t="shared" si="19"/>
        <v>549168579</v>
      </c>
      <c r="C109" s="333">
        <f t="shared" si="19"/>
        <v>41054311</v>
      </c>
      <c r="D109" s="334">
        <f t="shared" si="23"/>
        <v>508114268</v>
      </c>
      <c r="E109" s="330"/>
      <c r="F109" s="333">
        <f t="shared" si="20"/>
        <v>82572492.201900035</v>
      </c>
      <c r="G109" s="333">
        <f t="shared" si="20"/>
        <v>3159194</v>
      </c>
      <c r="H109" s="334">
        <f t="shared" si="24"/>
        <v>79413298.201900035</v>
      </c>
      <c r="J109" s="333">
        <f t="shared" si="21"/>
        <v>0</v>
      </c>
      <c r="K109" s="333">
        <f t="shared" si="21"/>
        <v>0</v>
      </c>
      <c r="L109" s="334">
        <f t="shared" si="25"/>
        <v>0</v>
      </c>
      <c r="N109" s="221">
        <f t="shared" si="26"/>
        <v>37895117</v>
      </c>
    </row>
    <row r="110" spans="1:14" ht="15.75">
      <c r="A110" s="326">
        <f t="shared" si="22"/>
        <v>44774</v>
      </c>
      <c r="B110" s="333">
        <f t="shared" si="19"/>
        <v>549168579</v>
      </c>
      <c r="C110" s="333">
        <f t="shared" si="19"/>
        <v>41054311</v>
      </c>
      <c r="D110" s="334">
        <f t="shared" si="23"/>
        <v>508114268</v>
      </c>
      <c r="E110" s="330"/>
      <c r="F110" s="333">
        <f t="shared" si="20"/>
        <v>83750213.674800038</v>
      </c>
      <c r="G110" s="333">
        <f t="shared" si="20"/>
        <v>3214072</v>
      </c>
      <c r="H110" s="334">
        <f t="shared" si="24"/>
        <v>80536141.674800038</v>
      </c>
      <c r="J110" s="333">
        <f t="shared" si="21"/>
        <v>0</v>
      </c>
      <c r="K110" s="333">
        <f t="shared" si="21"/>
        <v>0</v>
      </c>
      <c r="L110" s="334">
        <f t="shared" si="25"/>
        <v>0</v>
      </c>
      <c r="N110" s="221">
        <f t="shared" si="26"/>
        <v>37840239</v>
      </c>
    </row>
    <row r="111" spans="1:14" ht="15.75">
      <c r="A111" s="326">
        <f t="shared" si="22"/>
        <v>44805</v>
      </c>
      <c r="B111" s="333">
        <f t="shared" si="19"/>
        <v>549168579</v>
      </c>
      <c r="C111" s="333">
        <f t="shared" si="19"/>
        <v>41054311</v>
      </c>
      <c r="D111" s="334">
        <f t="shared" si="23"/>
        <v>508114268</v>
      </c>
      <c r="E111" s="330"/>
      <c r="F111" s="333">
        <f t="shared" si="20"/>
        <v>84927935.147700042</v>
      </c>
      <c r="G111" s="333">
        <f t="shared" si="20"/>
        <v>3268950</v>
      </c>
      <c r="H111" s="334">
        <f t="shared" si="24"/>
        <v>81658985.147700042</v>
      </c>
      <c r="J111" s="333">
        <f t="shared" si="21"/>
        <v>0</v>
      </c>
      <c r="K111" s="333">
        <f t="shared" si="21"/>
        <v>0</v>
      </c>
      <c r="L111" s="334">
        <f t="shared" si="25"/>
        <v>0</v>
      </c>
      <c r="N111" s="221">
        <f t="shared" si="26"/>
        <v>37785361</v>
      </c>
    </row>
    <row r="112" spans="1:14" ht="15.75">
      <c r="A112" s="326">
        <f t="shared" si="22"/>
        <v>44835</v>
      </c>
      <c r="B112" s="333">
        <f t="shared" si="19"/>
        <v>549168579</v>
      </c>
      <c r="C112" s="333">
        <f t="shared" si="19"/>
        <v>41054311</v>
      </c>
      <c r="D112" s="334">
        <f t="shared" si="23"/>
        <v>508114268</v>
      </c>
      <c r="E112" s="330"/>
      <c r="F112" s="333">
        <f t="shared" si="20"/>
        <v>86105656.620600045</v>
      </c>
      <c r="G112" s="333">
        <f t="shared" si="20"/>
        <v>3323828</v>
      </c>
      <c r="H112" s="334">
        <f t="shared" si="24"/>
        <v>82781828.620600045</v>
      </c>
      <c r="J112" s="333">
        <f t="shared" si="21"/>
        <v>0</v>
      </c>
      <c r="K112" s="333">
        <f t="shared" si="21"/>
        <v>0</v>
      </c>
      <c r="L112" s="334">
        <f t="shared" si="25"/>
        <v>0</v>
      </c>
      <c r="N112" s="221">
        <f t="shared" si="26"/>
        <v>37730483</v>
      </c>
    </row>
    <row r="113" spans="1:14" ht="15.75">
      <c r="A113" s="326">
        <f t="shared" si="22"/>
        <v>44866</v>
      </c>
      <c r="B113" s="333">
        <f t="shared" si="19"/>
        <v>549168579</v>
      </c>
      <c r="C113" s="333">
        <f t="shared" si="19"/>
        <v>41054311</v>
      </c>
      <c r="D113" s="334">
        <f t="shared" si="23"/>
        <v>508114268</v>
      </c>
      <c r="E113" s="330"/>
      <c r="F113" s="333">
        <f t="shared" si="20"/>
        <v>87283378.093500048</v>
      </c>
      <c r="G113" s="333">
        <f t="shared" si="20"/>
        <v>3378706</v>
      </c>
      <c r="H113" s="334">
        <f t="shared" si="24"/>
        <v>83904672.093500048</v>
      </c>
      <c r="J113" s="333">
        <f t="shared" si="21"/>
        <v>0</v>
      </c>
      <c r="K113" s="333">
        <f t="shared" si="21"/>
        <v>0</v>
      </c>
      <c r="L113" s="334">
        <f t="shared" si="25"/>
        <v>0</v>
      </c>
      <c r="N113" s="221">
        <f t="shared" si="26"/>
        <v>37675605</v>
      </c>
    </row>
    <row r="114" spans="1:14" ht="15.75">
      <c r="A114" s="326">
        <f t="shared" si="22"/>
        <v>44896</v>
      </c>
      <c r="B114" s="335">
        <f t="shared" si="19"/>
        <v>549168579</v>
      </c>
      <c r="C114" s="335">
        <f t="shared" si="19"/>
        <v>41054311</v>
      </c>
      <c r="D114" s="337">
        <f t="shared" si="23"/>
        <v>508114268</v>
      </c>
      <c r="E114" s="330"/>
      <c r="F114" s="335">
        <f t="shared" si="20"/>
        <v>88461099.566400051</v>
      </c>
      <c r="G114" s="335">
        <f t="shared" si="20"/>
        <v>3433584</v>
      </c>
      <c r="H114" s="337">
        <f t="shared" si="24"/>
        <v>85027515.566400051</v>
      </c>
      <c r="J114" s="335">
        <f t="shared" si="21"/>
        <v>0</v>
      </c>
      <c r="K114" s="335">
        <f t="shared" si="21"/>
        <v>0</v>
      </c>
      <c r="L114" s="337">
        <f t="shared" si="25"/>
        <v>0</v>
      </c>
      <c r="N114" s="339">
        <f t="shared" si="26"/>
        <v>37620727</v>
      </c>
    </row>
    <row r="115" spans="1:14">
      <c r="B115" s="220"/>
      <c r="C115" s="220"/>
      <c r="D115" s="220"/>
      <c r="F115" s="220"/>
      <c r="G115" s="221"/>
      <c r="H115" s="220"/>
      <c r="J115" s="220"/>
      <c r="K115" s="220"/>
      <c r="L115" s="220"/>
      <c r="N115" s="220"/>
    </row>
    <row r="116" spans="1:14">
      <c r="A116" s="218" t="s">
        <v>620</v>
      </c>
      <c r="B116" s="339">
        <f>AVERAGE(B102:B114)</f>
        <v>549168579</v>
      </c>
      <c r="C116" s="339">
        <f>AVERAGE(C102:C114)</f>
        <v>41054311</v>
      </c>
      <c r="D116" s="339">
        <f>AVERAGE(D102:D114)</f>
        <v>508114268</v>
      </c>
      <c r="E116" s="219"/>
      <c r="F116" s="339">
        <f>AVERAGE(F102:F114)</f>
        <v>81394770.729000032</v>
      </c>
      <c r="G116" s="339">
        <f>AVERAGE(G102:G115)</f>
        <v>3104316</v>
      </c>
      <c r="H116" s="339">
        <f>AVERAGE(H102:H114)</f>
        <v>78290454.729000032</v>
      </c>
      <c r="J116" s="339">
        <f>AVERAGE(J102:J114)</f>
        <v>0</v>
      </c>
      <c r="K116" s="339">
        <f>AVERAGE(K102:K114)</f>
        <v>0</v>
      </c>
      <c r="L116" s="339">
        <f>AVERAGE(L102:L114)</f>
        <v>0</v>
      </c>
      <c r="N116" s="339">
        <f>AVERAGE(N102:N114)</f>
        <v>37949995</v>
      </c>
    </row>
    <row r="117" spans="1:14">
      <c r="B117" s="321"/>
      <c r="D117" s="321"/>
      <c r="H117" s="321"/>
      <c r="J117" s="321"/>
      <c r="K117" s="321"/>
      <c r="L117" s="321"/>
      <c r="N117" s="321"/>
    </row>
    <row r="118" spans="1:14" ht="75">
      <c r="B118" s="217" t="s">
        <v>621</v>
      </c>
      <c r="C118" s="340"/>
      <c r="D118" s="217" t="s">
        <v>622</v>
      </c>
      <c r="E118" s="325"/>
      <c r="H118" s="217" t="s">
        <v>623</v>
      </c>
      <c r="J118" s="217" t="s">
        <v>624</v>
      </c>
      <c r="K118" s="217" t="s">
        <v>625</v>
      </c>
      <c r="L118" s="217" t="s">
        <v>622</v>
      </c>
      <c r="N118" s="217" t="s">
        <v>625</v>
      </c>
    </row>
    <row r="120" spans="1:14">
      <c r="J120" s="347" t="s">
        <v>634</v>
      </c>
      <c r="K120" s="348">
        <f>J116</f>
        <v>0</v>
      </c>
    </row>
    <row r="123" spans="1:14">
      <c r="J123" s="349" t="s">
        <v>635</v>
      </c>
      <c r="K123" s="350">
        <f>N116</f>
        <v>37949995</v>
      </c>
    </row>
    <row r="124" spans="1:14">
      <c r="J124" s="349" t="s">
        <v>636</v>
      </c>
      <c r="K124" s="350"/>
    </row>
    <row r="125" spans="1:14">
      <c r="K125" s="350"/>
    </row>
    <row r="126" spans="1:14">
      <c r="J126" s="349" t="s">
        <v>637</v>
      </c>
      <c r="K126" s="350">
        <f>C116+K116</f>
        <v>41054311</v>
      </c>
    </row>
    <row r="127" spans="1:14">
      <c r="K127" s="350"/>
    </row>
    <row r="128" spans="1:14">
      <c r="J128" s="351" t="s">
        <v>638</v>
      </c>
      <c r="K128" s="350">
        <f>G114-G102</f>
        <v>658536</v>
      </c>
    </row>
    <row r="129" spans="10:10">
      <c r="J129" s="352" t="s">
        <v>636</v>
      </c>
    </row>
  </sheetData>
  <mergeCells count="2">
    <mergeCell ref="A1:C1"/>
    <mergeCell ref="A2:B2"/>
  </mergeCells>
  <pageMargins left="0.25" right="0.25" top="0.75" bottom="0.75" header="0.3" footer="0.3"/>
  <pageSetup scale="64" fitToHeight="0" orientation="landscape" r:id="rId1"/>
  <rowBreaks count="4" manualBreakCount="4">
    <brk id="27" max="16383" man="1"/>
    <brk id="51" max="16383" man="1"/>
    <brk id="74" max="16383" man="1"/>
    <brk id="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713B-6ADB-4BB5-950A-D7B68E41CBCE}">
  <dimension ref="A1:I36"/>
  <sheetViews>
    <sheetView topLeftCell="A10" zoomScaleNormal="100" workbookViewId="0">
      <selection activeCell="A10" sqref="A1:XFD1048576"/>
    </sheetView>
  </sheetViews>
  <sheetFormatPr defaultRowHeight="15.75"/>
  <cols>
    <col min="1" max="1" width="8.88671875" style="354"/>
    <col min="2" max="2" width="38.6640625" style="354" customWidth="1"/>
    <col min="3" max="3" width="2.109375" style="354" customWidth="1"/>
    <col min="4" max="7" width="11.6640625" style="355" customWidth="1"/>
    <col min="8" max="8" width="11" style="354" customWidth="1"/>
    <col min="9" max="9" width="1.88671875" style="355" customWidth="1"/>
    <col min="10" max="16384" width="8.88671875" style="354"/>
  </cols>
  <sheetData>
    <row r="1" spans="1:9">
      <c r="A1" s="353" t="s">
        <v>724</v>
      </c>
      <c r="C1" s="353"/>
    </row>
    <row r="2" spans="1:9">
      <c r="A2" s="354" t="s">
        <v>653</v>
      </c>
    </row>
    <row r="3" spans="1:9">
      <c r="A3" s="356" t="s">
        <v>723</v>
      </c>
    </row>
    <row r="4" spans="1:9">
      <c r="B4" s="356"/>
    </row>
    <row r="5" spans="1:9" ht="15" customHeight="1" thickBot="1">
      <c r="D5" s="354"/>
      <c r="E5" s="354"/>
      <c r="F5" s="354"/>
      <c r="G5" s="354"/>
      <c r="I5" s="354"/>
    </row>
    <row r="6" spans="1:9" s="353" customFormat="1" ht="26.25" customHeight="1" thickBot="1">
      <c r="A6" s="357" t="s">
        <v>471</v>
      </c>
      <c r="B6" s="354"/>
      <c r="C6" s="354"/>
      <c r="D6" s="466" t="s">
        <v>653</v>
      </c>
      <c r="E6" s="467"/>
      <c r="F6" s="467"/>
      <c r="G6" s="468"/>
      <c r="H6" s="358" t="s">
        <v>725</v>
      </c>
      <c r="I6" s="355"/>
    </row>
    <row r="7" spans="1:9" s="353" customFormat="1" ht="26.25" customHeight="1">
      <c r="A7" s="357"/>
      <c r="B7" s="354"/>
      <c r="C7" s="354"/>
      <c r="D7" s="359" t="s">
        <v>519</v>
      </c>
      <c r="E7" s="360" t="s">
        <v>520</v>
      </c>
      <c r="F7" s="360" t="s">
        <v>521</v>
      </c>
      <c r="G7" s="360" t="s">
        <v>522</v>
      </c>
      <c r="H7" s="360" t="s">
        <v>523</v>
      </c>
      <c r="I7" s="355"/>
    </row>
    <row r="8" spans="1:9" s="353" customFormat="1">
      <c r="A8" s="361"/>
      <c r="B8" s="354"/>
      <c r="C8" s="354"/>
      <c r="D8" s="362"/>
      <c r="E8" s="363"/>
      <c r="F8" s="363"/>
      <c r="G8" s="363"/>
      <c r="H8" s="364"/>
      <c r="I8" s="355"/>
    </row>
    <row r="9" spans="1:9" s="353" customFormat="1">
      <c r="A9" s="357">
        <v>1</v>
      </c>
      <c r="B9" s="353" t="s">
        <v>726</v>
      </c>
      <c r="C9" s="354"/>
      <c r="D9" s="365"/>
      <c r="E9" s="366" t="s">
        <v>537</v>
      </c>
      <c r="F9" s="366" t="s">
        <v>535</v>
      </c>
      <c r="G9" s="365"/>
      <c r="H9" s="367"/>
      <c r="I9" s="355"/>
    </row>
    <row r="10" spans="1:9" s="353" customFormat="1" ht="15" customHeight="1">
      <c r="A10" s="357">
        <f>+A9+1</f>
        <v>2</v>
      </c>
      <c r="D10" s="368" t="s">
        <v>38</v>
      </c>
      <c r="E10" s="368" t="s">
        <v>727</v>
      </c>
      <c r="F10" s="368" t="s">
        <v>728</v>
      </c>
      <c r="G10" s="368" t="s">
        <v>9</v>
      </c>
      <c r="H10" s="369"/>
      <c r="I10" s="355"/>
    </row>
    <row r="11" spans="1:9" s="353" customFormat="1" ht="15" customHeight="1">
      <c r="A11" s="357">
        <f t="shared" ref="A11:A35" si="0">+A10+1</f>
        <v>3</v>
      </c>
      <c r="B11" s="370" t="s">
        <v>729</v>
      </c>
      <c r="C11" s="371"/>
      <c r="D11" s="372">
        <v>-854784.14111088566</v>
      </c>
      <c r="E11" s="372">
        <v>-1912583.390214982</v>
      </c>
      <c r="F11" s="372">
        <v>0</v>
      </c>
      <c r="G11" s="372">
        <f>SUM(D11:F11)</f>
        <v>-2767367.5313258674</v>
      </c>
      <c r="H11" s="373"/>
      <c r="I11" s="355"/>
    </row>
    <row r="12" spans="1:9" s="353" customFormat="1" ht="15" customHeight="1">
      <c r="A12" s="357">
        <f t="shared" si="0"/>
        <v>4</v>
      </c>
      <c r="B12" s="370" t="s">
        <v>730</v>
      </c>
      <c r="C12" s="371"/>
      <c r="D12" s="372">
        <v>771411.23766432423</v>
      </c>
      <c r="E12" s="372">
        <v>1750072.9542720763</v>
      </c>
      <c r="F12" s="372">
        <v>0</v>
      </c>
      <c r="G12" s="372">
        <f>SUM(D12:F12)</f>
        <v>2521484.1919364007</v>
      </c>
      <c r="H12" s="373"/>
      <c r="I12" s="355"/>
    </row>
    <row r="13" spans="1:9" s="353" customFormat="1" ht="15" customHeight="1">
      <c r="A13" s="357">
        <f t="shared" si="0"/>
        <v>5</v>
      </c>
      <c r="B13" s="370" t="s">
        <v>731</v>
      </c>
      <c r="C13" s="374"/>
      <c r="D13" s="375">
        <v>132543.58152874347</v>
      </c>
      <c r="E13" s="375">
        <v>7025.8576784451025</v>
      </c>
      <c r="F13" s="375">
        <v>0</v>
      </c>
      <c r="G13" s="375">
        <f>SUM(D13:F13)</f>
        <v>139569.43920718858</v>
      </c>
      <c r="H13" s="373"/>
      <c r="I13" s="355"/>
    </row>
    <row r="14" spans="1:9" ht="15" customHeight="1">
      <c r="A14" s="357">
        <f t="shared" si="0"/>
        <v>6</v>
      </c>
      <c r="B14" s="370" t="s">
        <v>732</v>
      </c>
      <c r="C14" s="376"/>
      <c r="D14" s="377">
        <f>SUM(D11:D13)</f>
        <v>49170.678082182043</v>
      </c>
      <c r="E14" s="377">
        <f>SUM(E11:E13)</f>
        <v>-155484.57826446061</v>
      </c>
      <c r="F14" s="377">
        <f>SUM(F11:F13)</f>
        <v>0</v>
      </c>
      <c r="G14" s="377">
        <f>SUM(D14:F14)</f>
        <v>-106313.90018227856</v>
      </c>
      <c r="H14" s="373"/>
    </row>
    <row r="15" spans="1:9" ht="15" customHeight="1">
      <c r="A15" s="357">
        <f t="shared" si="0"/>
        <v>7</v>
      </c>
      <c r="B15" s="370" t="s">
        <v>10</v>
      </c>
      <c r="D15" s="242">
        <v>1</v>
      </c>
      <c r="E15" s="378">
        <f>'Nonlevelized-IOU'!I262</f>
        <v>6.2441158820641843E-2</v>
      </c>
      <c r="F15" s="378">
        <f>'Nonlevelized-IOU'!G114</f>
        <v>0.1064166664339168</v>
      </c>
      <c r="G15" s="379"/>
    </row>
    <row r="16" spans="1:9" s="353" customFormat="1" ht="15" customHeight="1" thickBot="1">
      <c r="A16" s="357">
        <f t="shared" si="0"/>
        <v>8</v>
      </c>
      <c r="B16" s="380" t="s">
        <v>733</v>
      </c>
      <c r="D16" s="381">
        <f>+D14*D15</f>
        <v>49170.678082182043</v>
      </c>
      <c r="E16" s="381">
        <f>+E14*E15</f>
        <v>-9708.637245571701</v>
      </c>
      <c r="F16" s="381">
        <f>+F14*F15</f>
        <v>0</v>
      </c>
      <c r="G16" s="382">
        <f>SUM(D16:F16)</f>
        <v>39462.040836610344</v>
      </c>
      <c r="H16" s="383" t="s">
        <v>734</v>
      </c>
      <c r="I16" s="384"/>
    </row>
    <row r="17" spans="1:8" ht="15" customHeight="1" thickTop="1">
      <c r="A17" s="357">
        <f t="shared" si="0"/>
        <v>9</v>
      </c>
      <c r="B17" s="370"/>
    </row>
    <row r="18" spans="1:8" ht="15" customHeight="1">
      <c r="A18" s="357">
        <f t="shared" si="0"/>
        <v>10</v>
      </c>
      <c r="B18" s="370"/>
    </row>
    <row r="19" spans="1:8" ht="15" customHeight="1">
      <c r="A19" s="357">
        <f t="shared" si="0"/>
        <v>11</v>
      </c>
      <c r="B19" s="361" t="s">
        <v>739</v>
      </c>
    </row>
    <row r="20" spans="1:8">
      <c r="A20" s="357">
        <f t="shared" si="0"/>
        <v>12</v>
      </c>
    </row>
    <row r="21" spans="1:8" s="355" customFormat="1">
      <c r="A21" s="357">
        <f t="shared" si="0"/>
        <v>13</v>
      </c>
      <c r="B21" s="385" t="s">
        <v>740</v>
      </c>
      <c r="C21" s="354"/>
      <c r="D21" s="386">
        <v>1335191</v>
      </c>
      <c r="E21" s="386">
        <v>646586</v>
      </c>
      <c r="F21" s="386"/>
      <c r="G21" s="372">
        <f>SUM(D21:F21)</f>
        <v>1981777</v>
      </c>
      <c r="H21" s="354"/>
    </row>
    <row r="22" spans="1:8" s="355" customFormat="1">
      <c r="A22" s="357">
        <f t="shared" si="0"/>
        <v>14</v>
      </c>
      <c r="B22" s="370" t="s">
        <v>10</v>
      </c>
      <c r="C22" s="354"/>
      <c r="D22" s="242">
        <v>1</v>
      </c>
      <c r="E22" s="378">
        <f>+E15</f>
        <v>6.2441158820641843E-2</v>
      </c>
      <c r="F22" s="378">
        <f>+F15</f>
        <v>0.1064166664339168</v>
      </c>
      <c r="G22" s="387"/>
      <c r="H22" s="354"/>
    </row>
    <row r="23" spans="1:8" s="355" customFormat="1">
      <c r="A23" s="357">
        <f t="shared" si="0"/>
        <v>15</v>
      </c>
      <c r="B23" s="354" t="s">
        <v>735</v>
      </c>
      <c r="C23" s="354"/>
      <c r="D23" s="386">
        <f>+D21*D22</f>
        <v>1335191</v>
      </c>
      <c r="E23" s="386">
        <f>+E21*E22</f>
        <v>40373.579117203524</v>
      </c>
      <c r="F23" s="386">
        <f>+F21*F22</f>
        <v>0</v>
      </c>
      <c r="G23" s="372">
        <f>SUM(D23:F23)</f>
        <v>1375564.5791172036</v>
      </c>
      <c r="H23" s="354"/>
    </row>
    <row r="24" spans="1:8" s="355" customFormat="1">
      <c r="A24" s="357">
        <f t="shared" si="0"/>
        <v>16</v>
      </c>
      <c r="B24" s="354" t="s">
        <v>736</v>
      </c>
      <c r="C24" s="354"/>
      <c r="D24" s="388">
        <v>0.27939999999999998</v>
      </c>
      <c r="E24" s="388">
        <v>0.27939999999999998</v>
      </c>
      <c r="F24" s="388">
        <v>0.27939999999999998</v>
      </c>
      <c r="G24" s="389"/>
      <c r="H24" s="354"/>
    </row>
    <row r="25" spans="1:8" s="355" customFormat="1">
      <c r="A25" s="357">
        <f t="shared" si="0"/>
        <v>17</v>
      </c>
      <c r="B25" s="374" t="s">
        <v>654</v>
      </c>
      <c r="C25" s="353"/>
      <c r="D25" s="390">
        <f>+D23*D24</f>
        <v>373052.36539999995</v>
      </c>
      <c r="E25" s="390">
        <f>+E23*E24</f>
        <v>11280.378005346663</v>
      </c>
      <c r="F25" s="390">
        <f>+F23*F24</f>
        <v>0</v>
      </c>
      <c r="G25" s="390">
        <f>SUM(D25:F25)</f>
        <v>384332.74340534664</v>
      </c>
      <c r="H25" s="383"/>
    </row>
    <row r="26" spans="1:8" s="355" customFormat="1">
      <c r="A26" s="357">
        <f t="shared" si="0"/>
        <v>18</v>
      </c>
      <c r="B26" s="354"/>
      <c r="C26" s="354"/>
      <c r="H26" s="354"/>
    </row>
    <row r="27" spans="1:8">
      <c r="A27" s="357">
        <f t="shared" si="0"/>
        <v>19</v>
      </c>
    </row>
    <row r="28" spans="1:8">
      <c r="A28" s="357">
        <f t="shared" si="0"/>
        <v>20</v>
      </c>
      <c r="B28" s="385" t="s">
        <v>741</v>
      </c>
      <c r="C28" s="391"/>
      <c r="D28" s="392">
        <v>0</v>
      </c>
      <c r="E28" s="392">
        <v>0</v>
      </c>
      <c r="F28" s="392">
        <v>0</v>
      </c>
      <c r="G28" s="393">
        <f>SUM(D28:F28)</f>
        <v>0</v>
      </c>
      <c r="H28" s="391"/>
    </row>
    <row r="29" spans="1:8">
      <c r="A29" s="357">
        <f t="shared" si="0"/>
        <v>21</v>
      </c>
      <c r="B29" s="385" t="s">
        <v>10</v>
      </c>
      <c r="C29" s="391"/>
      <c r="D29" s="247">
        <v>1</v>
      </c>
      <c r="E29" s="378">
        <f>+E22</f>
        <v>6.2441158820641843E-2</v>
      </c>
      <c r="F29" s="378">
        <f>+F22</f>
        <v>0.1064166664339168</v>
      </c>
      <c r="G29" s="394"/>
      <c r="H29" s="391"/>
    </row>
    <row r="30" spans="1:8">
      <c r="A30" s="357">
        <f t="shared" si="0"/>
        <v>22</v>
      </c>
      <c r="B30" s="391" t="s">
        <v>742</v>
      </c>
      <c r="C30" s="391"/>
      <c r="D30" s="392">
        <f>+D28*D29</f>
        <v>0</v>
      </c>
      <c r="E30" s="392">
        <f>+E28*E29</f>
        <v>0</v>
      </c>
      <c r="F30" s="392">
        <f>+F28*F29</f>
        <v>0</v>
      </c>
      <c r="G30" s="393">
        <f>SUM(D30:F30)</f>
        <v>0</v>
      </c>
      <c r="H30" s="391"/>
    </row>
    <row r="31" spans="1:8">
      <c r="A31" s="357">
        <f t="shared" si="0"/>
        <v>23</v>
      </c>
      <c r="B31" s="391" t="s">
        <v>736</v>
      </c>
      <c r="C31" s="391"/>
      <c r="D31" s="388">
        <v>0.27939999999999998</v>
      </c>
      <c r="E31" s="388">
        <v>0.27939999999999998</v>
      </c>
      <c r="F31" s="388">
        <v>0.27939999999999998</v>
      </c>
      <c r="G31" s="395"/>
      <c r="H31" s="391"/>
    </row>
    <row r="32" spans="1:8">
      <c r="A32" s="357">
        <f t="shared" si="0"/>
        <v>24</v>
      </c>
      <c r="B32" s="396" t="s">
        <v>743</v>
      </c>
      <c r="C32" s="361"/>
      <c r="D32" s="397">
        <f>+D30*D31</f>
        <v>0</v>
      </c>
      <c r="E32" s="397">
        <f>+E30*E31</f>
        <v>0</v>
      </c>
      <c r="F32" s="397">
        <f>+F30*F31</f>
        <v>0</v>
      </c>
      <c r="G32" s="397">
        <f>SUM(D32:F32)</f>
        <v>0</v>
      </c>
      <c r="H32" s="391"/>
    </row>
    <row r="33" spans="1:8">
      <c r="A33" s="357">
        <f t="shared" si="0"/>
        <v>25</v>
      </c>
      <c r="B33" s="391"/>
      <c r="C33" s="391"/>
      <c r="D33" s="398"/>
      <c r="E33" s="398"/>
      <c r="F33" s="398"/>
      <c r="G33" s="398"/>
      <c r="H33" s="391"/>
    </row>
    <row r="34" spans="1:8">
      <c r="A34" s="357">
        <f t="shared" si="0"/>
        <v>26</v>
      </c>
      <c r="B34" s="391"/>
      <c r="C34" s="391"/>
      <c r="D34" s="398"/>
      <c r="E34" s="398"/>
      <c r="F34" s="398"/>
      <c r="G34" s="398"/>
      <c r="H34" s="391"/>
    </row>
    <row r="35" spans="1:8" ht="16.5" thickBot="1">
      <c r="A35" s="357">
        <f t="shared" si="0"/>
        <v>27</v>
      </c>
      <c r="B35" s="396" t="s">
        <v>744</v>
      </c>
      <c r="C35" s="391"/>
      <c r="D35" s="399">
        <f>+D32+D25</f>
        <v>373052.36539999995</v>
      </c>
      <c r="E35" s="399">
        <f>+E32+E25</f>
        <v>11280.378005346663</v>
      </c>
      <c r="F35" s="399">
        <f>+F32+F25</f>
        <v>0</v>
      </c>
      <c r="G35" s="399">
        <f>SUM(D35:F35)</f>
        <v>384332.74340534664</v>
      </c>
      <c r="H35" s="400" t="s">
        <v>737</v>
      </c>
    </row>
    <row r="36" spans="1:8" ht="16.5" thickTop="1"/>
  </sheetData>
  <mergeCells count="1">
    <mergeCell ref="D6:G6"/>
  </mergeCells>
  <pageMargins left="0.7" right="0.7" top="0.75" bottom="0.75" header="0.3" footer="0.3"/>
  <pageSetup scale="72"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D57B89EC6B9C43AC1F1FAC47ABF8BF" ma:contentTypeVersion="34" ma:contentTypeDescription="Create a new document." ma:contentTypeScope="" ma:versionID="ef52714551741903c872e2e21ca4f5e1">
  <xsd:schema xmlns:xsd="http://www.w3.org/2001/XMLSchema" xmlns:xs="http://www.w3.org/2001/XMLSchema" xmlns:p="http://schemas.microsoft.com/office/2006/metadata/properties" xmlns:ns2="252CC83C-1DD4-42EC-8024-434637A7A4E8" xmlns:ns3="252cc83c-1dd4-42ec-8024-434637a7a4e8" targetNamespace="http://schemas.microsoft.com/office/2006/metadata/properties" ma:root="true" ma:fieldsID="e621ab9a61d2728f026e2a18758c1396" ns2:_="" ns3:_="">
    <xsd:import namespace="252CC83C-1DD4-42EC-8024-434637A7A4E8"/>
    <xsd:import namespace="252cc83c-1dd4-42ec-8024-434637a7a4e8"/>
    <xsd:element name="properties">
      <xsd:complexType>
        <xsd:sequence>
          <xsd:element name="documentManagement">
            <xsd:complexType>
              <xsd:all>
                <xsd:element ref="ns2:Assigned_x0020_To0" minOccurs="0"/>
                <xsd:element ref="ns2:Document_x0020_Status" minOccurs="0"/>
                <xsd:element ref="ns2:Management_x0020_Review" minOccurs="0"/>
                <xsd:element ref="ns2:Regulated_x0020_Pricing_x0020_Review" minOccurs="0"/>
                <xsd:element ref="ns2:Legal_x0020_Review" minOccurs="0"/>
                <xsd:element ref="ns2:Due_x0020_Date"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2CC83C-1DD4-42EC-8024-434637A7A4E8" elementFormDefault="qualified">
    <xsd:import namespace="http://schemas.microsoft.com/office/2006/documentManagement/types"/>
    <xsd:import namespace="http://schemas.microsoft.com/office/infopath/2007/PartnerControls"/>
    <xsd:element name="Assigned_x0020_To0" ma:index="8" nillable="true" ma:displayName="Assigned To" ma:list="UserInfo"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9" nillable="true" ma:displayName="Document Status" ma:default="Assigned" ma:format="Dropdown" ma:internalName="Document_x0020_Status" ma:readOnly="false">
      <xsd:simpleType>
        <xsd:restriction base="dms:Choice">
          <xsd:enumeration value="Assigned"/>
          <xsd:enumeration value="Working"/>
          <xsd:enumeration value="Ready for Review"/>
          <xsd:enumeration value="Complete"/>
        </xsd:restriction>
      </xsd:simpleType>
    </xsd:element>
    <xsd:element name="Management_x0020_Review" ma:index="10" nillable="true" ma:displayName="Management Review" ma:internalName="Management_x0020_Review" ma:readOnly="false">
      <xsd:simpleType>
        <xsd:restriction base="dms:Text"/>
      </xsd:simpleType>
    </xsd:element>
    <xsd:element name="Regulated_x0020_Pricing_x0020_Review" ma:index="11" nillable="true" ma:displayName="Regulated Pricing Review" ma:internalName="Regulated_x0020_Pricing_x0020_Review" ma:readOnly="false">
      <xsd:simpleType>
        <xsd:restriction base="dms:Text"/>
      </xsd:simpleType>
    </xsd:element>
    <xsd:element name="Legal_x0020_Review" ma:index="12" nillable="true" ma:displayName="Legal Review" ma:internalName="Legal_x0020_Review" ma:readOnly="false">
      <xsd:simpleType>
        <xsd:restriction base="dms:Text"/>
      </xsd:simpleType>
    </xsd:element>
    <xsd:element name="Due_x0020_Date" ma:index="13" nillable="true" ma:displayName="Due Date" ma:format="DateOnly" ma:internalName="Due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52cc83c-1dd4-42ec-8024-434637a7a4e8" elementFormDefault="qualified">
    <xsd:import namespace="http://schemas.microsoft.com/office/2006/documentManagement/types"/>
    <xsd:import namespace="http://schemas.microsoft.com/office/infopath/2007/PartnerControls"/>
    <xsd:element name="Notes0" ma:index="14"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252CC83C-1DD4-42EC-8024-434637A7A4E8">Complete</Document_x0020_Status>
    <Due_x0020_Date xmlns="252CC83C-1DD4-42EC-8024-434637A7A4E8" xsi:nil="true"/>
    <Legal_x0020_Review xmlns="252CC83C-1DD4-42EC-8024-434637A7A4E8" xsi:nil="true"/>
    <Management_x0020_Review xmlns="252CC83C-1DD4-42EC-8024-434637A7A4E8" xsi:nil="true"/>
    <Regulated_x0020_Pricing_x0020_Review xmlns="252CC83C-1DD4-42EC-8024-434637A7A4E8">KMB</Regulated_x0020_Pricing_x0020_Review>
    <Assigned_x0020_To0 xmlns="252CC83C-1DD4-42EC-8024-434637A7A4E8">
      <UserInfo>
        <DisplayName/>
        <AccountId xsi:nil="true"/>
        <AccountType/>
      </UserInfo>
    </Assigned_x0020_To0>
    <Notes0 xmlns="252cc83c-1dd4-42ec-8024-434637a7a4e8" xsi:nil="true"/>
  </documentManagement>
</p:properties>
</file>

<file path=customXml/itemProps1.xml><?xml version="1.0" encoding="utf-8"?>
<ds:datastoreItem xmlns:ds="http://schemas.openxmlformats.org/officeDocument/2006/customXml" ds:itemID="{EBDC835B-94A2-480E-B3BB-F83160585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2CC83C-1DD4-42EC-8024-434637A7A4E8"/>
    <ds:schemaRef ds:uri="252cc83c-1dd4-42ec-8024-434637a7a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90018-7E0B-4FEB-A028-38B8D189DDF2}">
  <ds:schemaRefs>
    <ds:schemaRef ds:uri="http://schemas.microsoft.com/sharepoint/v3/contenttype/forms"/>
  </ds:schemaRefs>
</ds:datastoreItem>
</file>

<file path=customXml/itemProps3.xml><?xml version="1.0" encoding="utf-8"?>
<ds:datastoreItem xmlns:ds="http://schemas.openxmlformats.org/officeDocument/2006/customXml" ds:itemID="{15D86CA0-763A-4392-8CC9-21BD70AC4443}">
  <ds:schemaRefs>
    <ds:schemaRef ds:uri="252CC83C-1DD4-42EC-8024-434637A7A4E8"/>
    <ds:schemaRef ds:uri="http://schemas.microsoft.com/office/2006/documentManagement/types"/>
    <ds:schemaRef ds:uri="http://schemas.microsoft.com/office/infopath/2007/PartnerControls"/>
    <ds:schemaRef ds:uri="http://schemas.microsoft.com/office/2006/metadata/properties"/>
    <ds:schemaRef ds:uri="http://purl.org/dc/dcmitype/"/>
    <ds:schemaRef ds:uri="252cc83c-1dd4-42ec-8024-434637a7a4e8"/>
    <ds:schemaRef ds:uri="http://purl.org/dc/elements/1.1/"/>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Nonlevelized-IOU</vt:lpstr>
      <vt:lpstr>Plant Balance</vt:lpstr>
      <vt:lpstr>Plant Balance - ARO</vt:lpstr>
      <vt:lpstr>Accum Depr</vt:lpstr>
      <vt:lpstr>Accum Depr - ARO</vt:lpstr>
      <vt:lpstr>CWIP</vt:lpstr>
      <vt:lpstr>ADIT Projection Summary</vt:lpstr>
      <vt:lpstr>AFUDC</vt:lpstr>
      <vt:lpstr>Summ EADIT_Equity AFUDC </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 </vt:lpstr>
      <vt:lpstr>footnote k tax</vt:lpstr>
      <vt:lpstr>2020 Attach O True-Up</vt:lpstr>
      <vt:lpstr>prime interest rate</vt:lpstr>
      <vt:lpstr>'Nonlevelized-IOU'!Print_Area</vt:lpstr>
      <vt:lpstr>'tax '!Print_Titles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Newberry, David L</dc:creator>
  <cp:lastModifiedBy>Lashley, Joy  (PUC)</cp:lastModifiedBy>
  <cp:lastPrinted>2019-09-19T12:22:26Z</cp:lastPrinted>
  <dcterms:created xsi:type="dcterms:W3CDTF">2008-03-20T17:17:47Z</dcterms:created>
  <dcterms:modified xsi:type="dcterms:W3CDTF">2022-03-11T22:05:58Z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0x01010090D57B89EC6B9C43AC1F1FAC47ABF8BF</vt:lpwstr>
  </property>
</Properties>
</file>