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C\Network\Groups\Corporate\Regulated Pricing\SD TCR\TCR Annual Reconciliation &amp; New Factor Calc\2017\Data Request\Data Request No. 1\Data Request 1-1 workpapers\"/>
    </mc:Choice>
  </mc:AlternateContent>
  <bookViews>
    <workbookView xWindow="2025" yWindow="3195" windowWidth="15510" windowHeight="4425" tabRatio="894"/>
  </bookViews>
  <sheets>
    <sheet name="MISO Schedule 10 D&amp;E" sheetId="9" r:id="rId1"/>
    <sheet name="WP-I1  2010 FERC 456 Trans Rev" sheetId="7" state="hidden" r:id="rId2"/>
    <sheet name="WP-I2  2010 FERC 565 Trans Exp" sheetId="6" state="hidden" r:id="rId3"/>
    <sheet name="MISO Schedule 10 FERC" sheetId="21" r:id="rId4"/>
    <sheet name="MISO Schedule 26" sheetId="28" r:id="rId5"/>
    <sheet name="MISO Schedule 26-A" sheetId="24" r:id="rId6"/>
    <sheet name="A&amp;G Credit" sheetId="25" r:id="rId7"/>
    <sheet name="MEC 2018 Energy Forecast" sheetId="27" r:id="rId8"/>
    <sheet name="MEC 2018 Demand Forecast" sheetId="30" r:id="rId9"/>
    <sheet name="MEC Sch. 26-A Forecast" sheetId="31" r:id="rId10"/>
    <sheet name="Attachment MM" sheetId="29" r:id="rId11"/>
  </sheets>
  <definedNames>
    <definedName name="_xlnm.Print_Area" localSheetId="0">'MISO Schedule 10 D&amp;E'!$A$2:$O$27</definedName>
    <definedName name="_xlnm.Print_Area" localSheetId="1">'WP-I1  2010 FERC 456 Trans Rev'!$A$3:$AA$17</definedName>
    <definedName name="_xlnm.Print_Area" localSheetId="2">'WP-I2  2010 FERC 565 Trans Exp'!$A$1:$P$55</definedName>
    <definedName name="_xlnm.Print_Titles" localSheetId="0">'MISO Schedule 10 D&amp;E'!$A:$B</definedName>
    <definedName name="_xlnm.Print_Titles" localSheetId="2">'WP-I2  2010 FERC 565 Trans Exp'!$A:$B,'WP-I2  2010 FERC 565 Trans Exp'!$3:$4</definedName>
  </definedNames>
  <calcPr calcId="152511"/>
</workbook>
</file>

<file path=xl/calcChain.xml><?xml version="1.0" encoding="utf-8"?>
<calcChain xmlns="http://schemas.openxmlformats.org/spreadsheetml/2006/main">
  <c r="D13" i="27" l="1"/>
  <c r="C12" i="24" l="1"/>
  <c r="G3" i="31"/>
  <c r="G4" i="31"/>
  <c r="G5" i="31"/>
  <c r="G6" i="31"/>
  <c r="G7" i="31"/>
  <c r="G8" i="31"/>
  <c r="G9" i="31"/>
  <c r="G10" i="31"/>
  <c r="G11" i="31"/>
  <c r="G12" i="31"/>
  <c r="G13" i="31"/>
  <c r="G2" i="31"/>
  <c r="G14" i="31" s="1"/>
  <c r="D12" i="27" l="1"/>
  <c r="D11" i="27"/>
  <c r="D9" i="27"/>
  <c r="D8" i="27"/>
  <c r="D7" i="27"/>
  <c r="D6" i="27"/>
  <c r="D5" i="27"/>
  <c r="D4" i="27"/>
  <c r="D3" i="27"/>
  <c r="D2" i="27"/>
  <c r="D24" i="29" l="1"/>
  <c r="C24" i="29"/>
  <c r="B24" i="29"/>
  <c r="F14" i="31"/>
  <c r="F12" i="27" l="1"/>
  <c r="D10" i="27"/>
  <c r="F8" i="27"/>
  <c r="F6" i="27"/>
  <c r="F4" i="27"/>
  <c r="F2" i="27"/>
  <c r="H14" i="27"/>
  <c r="E14" i="31"/>
  <c r="I2" i="31"/>
  <c r="J2" i="31" s="1"/>
  <c r="F13" i="27"/>
  <c r="F11" i="27"/>
  <c r="F10" i="27"/>
  <c r="F9" i="27"/>
  <c r="F7" i="27"/>
  <c r="F3" i="27"/>
  <c r="F5" i="27"/>
  <c r="C17" i="9"/>
  <c r="B15" i="30"/>
  <c r="B14" i="30"/>
  <c r="B15" i="27"/>
  <c r="B14" i="27"/>
  <c r="O10" i="24"/>
  <c r="C14" i="31"/>
  <c r="B14" i="31"/>
  <c r="I13" i="31"/>
  <c r="J13" i="31" s="1"/>
  <c r="I12" i="31"/>
  <c r="J12" i="31" s="1"/>
  <c r="I11" i="31"/>
  <c r="J11" i="31" s="1"/>
  <c r="I10" i="31"/>
  <c r="J10" i="31" s="1"/>
  <c r="I9" i="31"/>
  <c r="J9" i="31" s="1"/>
  <c r="I8" i="31"/>
  <c r="J8" i="31" s="1"/>
  <c r="I7" i="31"/>
  <c r="J7" i="31" s="1"/>
  <c r="I6" i="31"/>
  <c r="J6" i="31" s="1"/>
  <c r="I5" i="31"/>
  <c r="J5" i="31" s="1"/>
  <c r="I4" i="31"/>
  <c r="J4" i="31" s="1"/>
  <c r="I3" i="31"/>
  <c r="J3" i="31" s="1"/>
  <c r="D14" i="31"/>
  <c r="D12" i="24"/>
  <c r="E12" i="24"/>
  <c r="F12" i="24"/>
  <c r="G12" i="24"/>
  <c r="H12" i="24"/>
  <c r="I12" i="24"/>
  <c r="J12" i="24"/>
  <c r="K12" i="24"/>
  <c r="L12" i="24"/>
  <c r="M12" i="24"/>
  <c r="N12" i="24"/>
  <c r="D13" i="28"/>
  <c r="E13" i="28"/>
  <c r="F13" i="28"/>
  <c r="G13" i="28"/>
  <c r="H13" i="28"/>
  <c r="I13" i="28"/>
  <c r="J13" i="28"/>
  <c r="K13" i="28"/>
  <c r="L13" i="28"/>
  <c r="M13" i="28"/>
  <c r="N13" i="28"/>
  <c r="C13" i="28"/>
  <c r="D17" i="9"/>
  <c r="C14" i="9"/>
  <c r="C18" i="9" s="1"/>
  <c r="D14" i="9"/>
  <c r="C13" i="21"/>
  <c r="D13" i="21"/>
  <c r="N13" i="21"/>
  <c r="M13" i="21"/>
  <c r="L13" i="21"/>
  <c r="K13" i="21"/>
  <c r="J13" i="21"/>
  <c r="I13" i="21"/>
  <c r="H13" i="21"/>
  <c r="G13" i="21"/>
  <c r="F13" i="21"/>
  <c r="E13" i="21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F14" i="9"/>
  <c r="E14" i="9"/>
  <c r="P53" i="6"/>
  <c r="P54" i="6"/>
  <c r="P36" i="6"/>
  <c r="R55" i="6"/>
  <c r="P15" i="6"/>
  <c r="P14" i="6"/>
  <c r="P12" i="6"/>
  <c r="P11" i="6"/>
  <c r="AQ9" i="7"/>
  <c r="AQ10" i="7"/>
  <c r="AP9" i="7"/>
  <c r="AP10" i="7"/>
  <c r="AO9" i="7"/>
  <c r="AO10" i="7"/>
  <c r="AN9" i="7"/>
  <c r="AN10" i="7"/>
  <c r="AM9" i="7"/>
  <c r="AM10" i="7"/>
  <c r="AL9" i="7"/>
  <c r="AL10" i="7"/>
  <c r="AK9" i="7"/>
  <c r="AK10" i="7"/>
  <c r="AJ9" i="7"/>
  <c r="AJ10" i="7"/>
  <c r="AI9" i="7"/>
  <c r="AI10" i="7"/>
  <c r="AH9" i="7"/>
  <c r="AH10" i="7"/>
  <c r="AG9" i="7"/>
  <c r="AG10" i="7"/>
  <c r="AF9" i="7"/>
  <c r="AF10" i="7"/>
  <c r="AA8" i="7"/>
  <c r="AA9" i="7"/>
  <c r="AA10" i="7"/>
  <c r="Z8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Z9" i="7"/>
  <c r="Z11" i="7" s="1"/>
  <c r="O16" i="6"/>
  <c r="O8" i="6"/>
  <c r="O23" i="6"/>
  <c r="O46" i="6" s="1"/>
  <c r="O43" i="6"/>
  <c r="N16" i="6"/>
  <c r="N8" i="6"/>
  <c r="N23" i="6" s="1"/>
  <c r="N46" i="6" s="1"/>
  <c r="N43" i="6"/>
  <c r="M16" i="6"/>
  <c r="M23" i="6" s="1"/>
  <c r="M46" i="6" s="1"/>
  <c r="M8" i="6"/>
  <c r="M43" i="6"/>
  <c r="L16" i="6"/>
  <c r="L8" i="6"/>
  <c r="L23" i="6" s="1"/>
  <c r="L46" i="6" s="1"/>
  <c r="L43" i="6"/>
  <c r="K16" i="6"/>
  <c r="K8" i="6"/>
  <c r="K43" i="6"/>
  <c r="J16" i="6"/>
  <c r="J23" i="6" s="1"/>
  <c r="J46" i="6" s="1"/>
  <c r="J8" i="6"/>
  <c r="J43" i="6"/>
  <c r="I16" i="6"/>
  <c r="I8" i="6"/>
  <c r="I23" i="6"/>
  <c r="I46" i="6" s="1"/>
  <c r="I43" i="6"/>
  <c r="H16" i="6"/>
  <c r="H23" i="6"/>
  <c r="H46" i="6" s="1"/>
  <c r="H8" i="6"/>
  <c r="H43" i="6"/>
  <c r="G16" i="6"/>
  <c r="G8" i="6"/>
  <c r="G23" i="6" s="1"/>
  <c r="G46" i="6" s="1"/>
  <c r="G43" i="6"/>
  <c r="F16" i="6"/>
  <c r="F23" i="6" s="1"/>
  <c r="F46" i="6" s="1"/>
  <c r="F8" i="6"/>
  <c r="F43" i="6"/>
  <c r="E16" i="6"/>
  <c r="E23" i="6" s="1"/>
  <c r="E46" i="6" s="1"/>
  <c r="E8" i="6"/>
  <c r="E43" i="6"/>
  <c r="D16" i="6"/>
  <c r="P16" i="6" s="1"/>
  <c r="D8" i="6"/>
  <c r="P8" i="6" s="1"/>
  <c r="D43" i="6"/>
  <c r="P43" i="6"/>
  <c r="P20" i="6"/>
  <c r="P19" i="6"/>
  <c r="P13" i="6"/>
  <c r="P7" i="6"/>
  <c r="K23" i="6"/>
  <c r="K46" i="6" s="1"/>
  <c r="AA11" i="7"/>
  <c r="D23" i="6" l="1"/>
  <c r="I18" i="9"/>
  <c r="F18" i="9"/>
  <c r="N18" i="9"/>
  <c r="M18" i="9"/>
  <c r="L18" i="9"/>
  <c r="K18" i="9"/>
  <c r="J18" i="9"/>
  <c r="H18" i="9"/>
  <c r="G18" i="9"/>
  <c r="O18" i="9" s="1"/>
  <c r="E18" i="9"/>
  <c r="D18" i="9"/>
  <c r="O13" i="28"/>
  <c r="O12" i="24"/>
  <c r="O13" i="21"/>
  <c r="F14" i="27"/>
  <c r="D15" i="27"/>
  <c r="D14" i="27"/>
  <c r="H5" i="31"/>
  <c r="I14" i="31"/>
  <c r="J14" i="31" s="1"/>
  <c r="H7" i="31"/>
  <c r="H6" i="31"/>
  <c r="H13" i="31"/>
  <c r="C11" i="25"/>
  <c r="C12" i="25" s="1"/>
  <c r="H4" i="31"/>
  <c r="H3" i="31"/>
  <c r="H11" i="31"/>
  <c r="H9" i="31"/>
  <c r="H8" i="31"/>
  <c r="H2" i="31"/>
  <c r="H10" i="31"/>
  <c r="H12" i="31"/>
  <c r="D46" i="6" l="1"/>
  <c r="P23" i="6"/>
  <c r="P46" i="6" s="1"/>
  <c r="P50" i="6" s="1"/>
  <c r="P52" i="6" s="1"/>
  <c r="P55" i="6" s="1"/>
</calcChain>
</file>

<file path=xl/sharedStrings.xml><?xml version="1.0" encoding="utf-8"?>
<sst xmlns="http://schemas.openxmlformats.org/spreadsheetml/2006/main" count="417" uniqueCount="201">
  <si>
    <t>Total</t>
  </si>
  <si>
    <t xml:space="preserve"> </t>
  </si>
  <si>
    <t xml:space="preserve">Estimated IPL 2010 Transmission Expense for Rate Case: </t>
  </si>
  <si>
    <t>Forecast</t>
  </si>
  <si>
    <t>Line No.</t>
  </si>
  <si>
    <t>IPL Transmission Charges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</si>
  <si>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</si>
  <si>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</si>
  <si>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</si>
  <si>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</si>
  <si>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</si>
  <si>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</si>
  <si>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</si>
  <si>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</si>
  <si>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</si>
  <si>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</si>
  <si>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</si>
  <si>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</si>
  <si>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MEC</t>
  </si>
  <si>
    <t>WAPA: Everly Load</t>
  </si>
  <si>
    <t>Total MEC/WAPA</t>
  </si>
  <si>
    <t>New Other Transmission Expenses Post ITC</t>
  </si>
  <si>
    <t>CIPCO</t>
  </si>
  <si>
    <t xml:space="preserve">CIPCO </t>
  </si>
  <si>
    <t>Corn Belt Power Coop</t>
  </si>
  <si>
    <t>NIPCO</t>
  </si>
  <si>
    <t>NE Missouri Electric Power Coop</t>
  </si>
  <si>
    <t>Total Other Firm Transmission</t>
  </si>
  <si>
    <t>PJM Transmission</t>
  </si>
  <si>
    <t>PJM Adders (sched, dispatch, reactive, black start)</t>
  </si>
  <si>
    <t>Total PJM Transmission</t>
  </si>
  <si>
    <t>Total IPL Transmission (excluding Network)</t>
  </si>
  <si>
    <t>Balancing Authority Costs Balancing Auhotity Costs</t>
  </si>
  <si>
    <t>In FERC 561BA (tracked internal costs to recover from MISO)</t>
  </si>
  <si>
    <t>In FERC 565  Sch 24BA</t>
  </si>
  <si>
    <t>FERC 561.1 Load Dispatching</t>
  </si>
  <si>
    <t>MISO Transmission Charges:</t>
  </si>
  <si>
    <t>Schedule 1 Charge</t>
  </si>
  <si>
    <t>Schedule 2 Charge</t>
  </si>
  <si>
    <t>Schedule 9 Charge</t>
  </si>
  <si>
    <t>Schedule 10 Charge (MISO Adder)</t>
  </si>
  <si>
    <t xml:space="preserve">  Less Schedule 10 Charge in Ferc Acct 575.5</t>
  </si>
  <si>
    <t>Schedule 11 Charge (Prior Mth Adj)</t>
  </si>
  <si>
    <t>Schedule 23 Charge (GFA)</t>
  </si>
  <si>
    <t>Schedule 26 Charge</t>
  </si>
  <si>
    <t>FERC Assessment Sch 10</t>
  </si>
  <si>
    <t>Total MISO Charges</t>
  </si>
  <si>
    <t>Total all transmission (line 19 plus line 10)</t>
  </si>
  <si>
    <t>FERC 565 Transmission Expense:  Non-MISO</t>
  </si>
  <si>
    <t>Total 2010</t>
  </si>
  <si>
    <t xml:space="preserve">Transmission Wheeling - </t>
  </si>
  <si>
    <t>Revenue Items:</t>
  </si>
  <si>
    <t xml:space="preserve">IPL Transmission Revenue (Ancillary Services only)                 </t>
  </si>
  <si>
    <t>2010 IPL Budget 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</si>
  <si>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</si>
  <si>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</si>
  <si>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</si>
  <si>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</si>
  <si>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</si>
  <si>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</si>
  <si>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</si>
  <si>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</si>
  <si>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</si>
  <si>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</si>
  <si>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</si>
  <si>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</si>
  <si>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Estimate</t>
  </si>
  <si>
    <t>Actual</t>
  </si>
  <si>
    <t>Schedule 2</t>
  </si>
  <si>
    <t>RPGI Dist (Note 2)</t>
  </si>
  <si>
    <t>CBPC Disc (Note 2)</t>
  </si>
  <si>
    <t>TOTAL</t>
  </si>
  <si>
    <t>Notes:</t>
  </si>
  <si>
    <t>1) Schedules 2 has been estimated using 2009 actuals where available multiplied by the forecasted increase/decrease in load (see table on far right).</t>
  </si>
  <si>
    <t>2) RPGI and CBPC are fixed charges and will not change month-to-month.</t>
  </si>
  <si>
    <t>3) Actual revenue is derived from the MISO Day 5 MR files after sorting.</t>
  </si>
  <si>
    <t>4) Total Estimate figure has been adjusted to include actual figures for months already completed to give a current "best estimate" of the year-end figure.</t>
  </si>
  <si>
    <t>IPL Forecasted
Load (MW)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</si>
  <si>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</si>
  <si>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</si>
  <si>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</si>
  <si>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</si>
  <si>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</si>
  <si>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</si>
  <si>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</si>
  <si>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</si>
  <si>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</si>
  <si>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</si>
  <si>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</si>
  <si>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No changes on 1/25 P&amp;E update</t>
  </si>
  <si>
    <t>Inc/Dec</t>
  </si>
  <si>
    <t>Multiplier</t>
  </si>
  <si>
    <t>Less 2008 True-up</t>
  </si>
  <si>
    <t>Total ITC 2010 w/o true-up</t>
  </si>
  <si>
    <t>SMMPA</t>
  </si>
  <si>
    <t>GRE</t>
  </si>
  <si>
    <t xml:space="preserve">Total Transmission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</si>
  <si>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</si>
  <si>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</si>
  <si>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</si>
  <si>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</si>
  <si>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</si>
  <si>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</si>
  <si>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</si>
  <si>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</si>
  <si>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</si>
  <si>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</si>
  <si>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</si>
  <si>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</si>
  <si>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</si>
  <si>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MIDAMERICAN ENERGY COMPANY</t>
  </si>
  <si>
    <t>Total Company Electric Operations</t>
  </si>
  <si>
    <t>Sources</t>
  </si>
  <si>
    <t>Forecasted MISO Costs</t>
  </si>
  <si>
    <t>Schedule 26-A Charge</t>
  </si>
  <si>
    <t>(n)</t>
  </si>
  <si>
    <r>
      <t xml:space="preserve">Line </t>
    </r>
    <r>
      <rPr>
        <u/>
        <sz val="10"/>
        <rFont val="Arial"/>
        <family val="2"/>
      </rPr>
      <t>No.</t>
    </r>
  </si>
  <si>
    <t>Days in Month</t>
  </si>
  <si>
    <t>Schedule 10 - Demand Charge Component</t>
  </si>
  <si>
    <t>Schedule 10 - Energy Charge Component</t>
  </si>
  <si>
    <t>Total Schedule 10 Charge</t>
  </si>
  <si>
    <t>Schedule 10 Demand Charge Rate ($/MW-Hr)</t>
  </si>
  <si>
    <t>Monthly Peak Demand (MW)</t>
  </si>
  <si>
    <t>Monthly Energy (MWHr)</t>
  </si>
  <si>
    <t>Schedule 10 Energy Charge Rate ($/MW-Hr)</t>
  </si>
  <si>
    <t>Billing Determinant</t>
  </si>
  <si>
    <t>Line 4 = Line 1 x 24 hrs/day x Line 2 x Line 3</t>
  </si>
  <si>
    <t>Line 7 = Line 5 x Line 6</t>
  </si>
  <si>
    <t>Line 8 = Line 4 + Line 7</t>
  </si>
  <si>
    <t>Schedule 10 FERC Rate ($/MW-Hr)</t>
  </si>
  <si>
    <t>Schedule 10 - FERC Charge</t>
  </si>
  <si>
    <t>Schedule 26-A MVP Usage Rate ($/MW-Hr)</t>
  </si>
  <si>
    <t>Line 3 = Line 1 x Line 2</t>
  </si>
  <si>
    <t>Multi-Value Project A&amp;G Credit</t>
  </si>
  <si>
    <t>Rate Template Attachment MM Annual Allocation Factor for Other Expense</t>
  </si>
  <si>
    <t>Description</t>
  </si>
  <si>
    <t>Value</t>
  </si>
  <si>
    <t>MidAmerican Energy Ratio as a Percentage of Total MISO Energy</t>
  </si>
  <si>
    <t>Allocation of Other Expenses to MidAmerican</t>
  </si>
  <si>
    <t>Line 3:  Line 1 x Line 2</t>
  </si>
  <si>
    <t>Month</t>
  </si>
  <si>
    <t>Schedule 26 FERC Rate ($/MW-Month)</t>
  </si>
  <si>
    <t>Schedule 26 - Charge</t>
  </si>
  <si>
    <t>Line 4 = Line 2  x Line 3</t>
  </si>
  <si>
    <t>Schedule 26-A</t>
  </si>
  <si>
    <t>Trans.</t>
  </si>
  <si>
    <t>Annual</t>
  </si>
  <si>
    <t>True-Up</t>
  </si>
  <si>
    <t>Net Annual</t>
  </si>
  <si>
    <t>Owner</t>
  </si>
  <si>
    <t>Rev. Req.</t>
  </si>
  <si>
    <t>Adjustment</t>
  </si>
  <si>
    <t>AMIL</t>
  </si>
  <si>
    <t>ATXI</t>
  </si>
  <si>
    <t>AMMO</t>
  </si>
  <si>
    <t>ATC</t>
  </si>
  <si>
    <t>CMMPA (UPLS)</t>
  </si>
  <si>
    <t>CIN</t>
  </si>
  <si>
    <t>DPC</t>
  </si>
  <si>
    <t>ITC</t>
  </si>
  <si>
    <t>ITCM</t>
  </si>
  <si>
    <t>METC</t>
  </si>
  <si>
    <t>MDU</t>
  </si>
  <si>
    <t>MRET</t>
  </si>
  <si>
    <t>NIPS</t>
  </si>
  <si>
    <t>NSP</t>
  </si>
  <si>
    <t>OTP</t>
  </si>
  <si>
    <t>SMP</t>
  </si>
  <si>
    <t>MUR</t>
  </si>
  <si>
    <t>Monthly Load</t>
  </si>
  <si>
    <t>Average</t>
  </si>
  <si>
    <t>Annual Peak</t>
  </si>
  <si>
    <t>Line 5 MidAmerican Energy Forecast</t>
  </si>
  <si>
    <t>MNAEW 2013 (MWh)</t>
  </si>
  <si>
    <t>MNAEW 2014 (MWh)</t>
  </si>
  <si>
    <t>MNAEW 2015 (MWh)</t>
  </si>
  <si>
    <t>Monthly Revenue Requirement</t>
  </si>
  <si>
    <t>Line 1 MidAmerican Energy Forecast</t>
  </si>
  <si>
    <t>Line 2 MidAmerican Demand Forecast</t>
  </si>
  <si>
    <t>MNAEW 2016 (MWh)</t>
  </si>
  <si>
    <t>MNAEW 2017 (MWh)</t>
  </si>
  <si>
    <t>WPPT</t>
  </si>
  <si>
    <t xml:space="preserve">Source: MidAmerican 2017 Monthly Peak Demand Forecast </t>
  </si>
  <si>
    <t>MNAEW 2018 (MWh)</t>
  </si>
  <si>
    <t>CFU</t>
  </si>
  <si>
    <t>Source: MidAmerican 2018 Net Energy for Load Forecast</t>
  </si>
  <si>
    <t>Year Ending December 31, 2018</t>
  </si>
  <si>
    <t>Line 1:  MidAmerican's 2018 Attachment MM Rate Template</t>
  </si>
  <si>
    <t xml:space="preserve">Annual </t>
  </si>
  <si>
    <t>Incentive</t>
  </si>
  <si>
    <t>Rev. Req. Adjustment</t>
  </si>
  <si>
    <t>Return Charge</t>
  </si>
  <si>
    <t>for Attach O</t>
  </si>
  <si>
    <t>Line 2 MEC Estimated MISO 2018 Schedule 26-A MUR rate</t>
  </si>
  <si>
    <t>Line 3 MISO Posted Sch. 26 Transmission Rate for January 2018</t>
  </si>
  <si>
    <t>Line 3 MISO Posted Schedule 10-FERC Rate for 2018</t>
  </si>
  <si>
    <t>Line 3 Projected MISO 2018 Schedule 10 Demand rate</t>
  </si>
  <si>
    <t>Line 6 Projected MISO 2018 Schedule 10 Energy rate</t>
  </si>
  <si>
    <t>2018 Growth is 0.940% based on 2017 actual and  average of LRZ 1 -7  EnergyGrowth Rates with Energy Efficiency Adjustment</t>
  </si>
  <si>
    <t>From MISO Independent Load Forecast Study - Table ES‐2. LRZ Metered Load Growth Rates (2018‐2037)</t>
  </si>
  <si>
    <t xml:space="preserve">Line 2:  Calculation of MidAmerican's 2018 energy forecast divided by total MISO energy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</si>
</sst>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0.00000000000"/>
    <numFmt numFmtId="170" formatCode="&quot;$&quot;#,##0.0000"/>
    <numFmt numFmtId="171" formatCode="0.000000"/>
    <numFmt numFmtId="172" formatCode="[$-409]mmm\-yy;@"/>
    <numFmt numFmtId="173" formatCode="&quot;$&quot;#,##0.0000_);\(&quot;$&quot;#,##0.0000\)"/>
    <numFmt numFmtId="174" formatCode="_(&quot;$&quot;* #,##0.00000_);_(&quot;$&quot;* \(#,##0.00000\);_(&quot;$&quot;* &quot;-&quot;??_);_(@_)"/>
    <numFmt numFmtId="175" formatCode="0.0%"/>
    <numFmt numFmtId="176" formatCode="_(* #,##0.000_);_(* \(#,##0.000\);_(* &quot;-&quot;??_);_(@_)"/>
    <numFmt numFmtId="177" formatCode="_(&quot;$&quot;* #,##0.0000_);_(&quot;$&quot;* \(#,##0.0000\);_(&quot;$&quot;* &quot;-&quot;??_);_(@_)"/>
    <numFmt numFmtId="178" formatCode="&quot;$&quot;#,##0.00000_);\(&quot;$&quot;#,##0.00000\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double"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/>
    <xf numFmtId="0" fontId="11" fillId="0" borderId="0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/>
    <xf numFmtId="164" fontId="11" fillId="0" borderId="1" xfId="1" applyNumberFormat="1" applyFont="1" applyFill="1" applyBorder="1"/>
    <xf numFmtId="164" fontId="10" fillId="0" borderId="1" xfId="1" applyNumberFormat="1" applyFont="1" applyFill="1" applyBorder="1"/>
    <xf numFmtId="164" fontId="10" fillId="0" borderId="1" xfId="0" applyNumberFormat="1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right"/>
    </xf>
    <xf numFmtId="171" fontId="11" fillId="0" borderId="1" xfId="0" applyNumberFormat="1" applyFont="1" applyFill="1" applyBorder="1"/>
    <xf numFmtId="164" fontId="11" fillId="0" borderId="2" xfId="1" applyNumberFormat="1" applyFont="1" applyFill="1" applyBorder="1"/>
    <xf numFmtId="10" fontId="11" fillId="0" borderId="0" xfId="0" applyNumberFormat="1" applyFont="1" applyFill="1"/>
    <xf numFmtId="16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9" fillId="0" borderId="0" xfId="0" applyNumberFormat="1" applyFont="1" applyFill="1"/>
    <xf numFmtId="167" fontId="9" fillId="0" borderId="0" xfId="0" applyNumberFormat="1" applyFont="1" applyFill="1"/>
    <xf numFmtId="10" fontId="9" fillId="0" borderId="0" xfId="0" applyNumberFormat="1" applyFont="1" applyFill="1"/>
    <xf numFmtId="168" fontId="9" fillId="0" borderId="0" xfId="0" applyNumberFormat="1" applyFont="1" applyFill="1"/>
    <xf numFmtId="2" fontId="9" fillId="0" borderId="0" xfId="0" applyNumberFormat="1" applyFont="1" applyFill="1"/>
    <xf numFmtId="1" fontId="9" fillId="0" borderId="0" xfId="0" applyNumberFormat="1" applyFont="1" applyFill="1"/>
    <xf numFmtId="37" fontId="9" fillId="0" borderId="0" xfId="0" applyNumberFormat="1" applyFont="1" applyFill="1"/>
    <xf numFmtId="0" fontId="12" fillId="0" borderId="3" xfId="0" applyFont="1" applyFill="1" applyBorder="1"/>
    <xf numFmtId="0" fontId="13" fillId="0" borderId="4" xfId="0" applyFont="1" applyFill="1" applyBorder="1"/>
    <xf numFmtId="166" fontId="13" fillId="0" borderId="5" xfId="2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0" fontId="12" fillId="0" borderId="6" xfId="0" applyFont="1" applyFill="1" applyBorder="1"/>
    <xf numFmtId="0" fontId="13" fillId="0" borderId="0" xfId="0" applyFont="1" applyFill="1" applyBorder="1"/>
    <xf numFmtId="164" fontId="13" fillId="0" borderId="7" xfId="0" applyNumberFormat="1" applyFont="1" applyFill="1" applyBorder="1"/>
    <xf numFmtId="164" fontId="13" fillId="0" borderId="8" xfId="0" applyNumberFormat="1" applyFont="1" applyFill="1" applyBorder="1"/>
    <xf numFmtId="169" fontId="13" fillId="0" borderId="0" xfId="0" applyNumberFormat="1" applyFont="1" applyFill="1"/>
    <xf numFmtId="167" fontId="13" fillId="0" borderId="0" xfId="0" applyNumberFormat="1" applyFont="1" applyFill="1"/>
    <xf numFmtId="2" fontId="13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166" fontId="13" fillId="0" borderId="11" xfId="2" applyNumberFormat="1" applyFont="1" applyFill="1" applyBorder="1"/>
    <xf numFmtId="170" fontId="13" fillId="0" borderId="0" xfId="0" applyNumberFormat="1" applyFont="1" applyFill="1"/>
    <xf numFmtId="166" fontId="13" fillId="0" borderId="0" xfId="0" applyNumberFormat="1" applyFont="1" applyFill="1"/>
    <xf numFmtId="1" fontId="13" fillId="0" borderId="0" xfId="0" applyNumberFormat="1" applyFont="1" applyFill="1"/>
    <xf numFmtId="168" fontId="13" fillId="0" borderId="0" xfId="0" applyNumberFormat="1" applyFont="1" applyFill="1"/>
    <xf numFmtId="166" fontId="9" fillId="0" borderId="0" xfId="2" applyNumberFormat="1" applyFont="1" applyFill="1"/>
    <xf numFmtId="166" fontId="7" fillId="0" borderId="0" xfId="2" applyNumberFormat="1" applyFont="1" applyFill="1"/>
    <xf numFmtId="172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 applyBorder="1"/>
    <xf numFmtId="0" fontId="5" fillId="0" borderId="0" xfId="0" applyFont="1" applyFill="1"/>
    <xf numFmtId="2" fontId="2" fillId="0" borderId="0" xfId="0" applyNumberFormat="1" applyFont="1" applyFill="1"/>
    <xf numFmtId="167" fontId="2" fillId="0" borderId="0" xfId="0" applyNumberFormat="1" applyFont="1" applyFill="1"/>
    <xf numFmtId="166" fontId="2" fillId="0" borderId="0" xfId="2" applyNumberFormat="1" applyFont="1" applyFill="1"/>
    <xf numFmtId="165" fontId="2" fillId="0" borderId="0" xfId="0" applyNumberFormat="1" applyFont="1" applyFill="1"/>
    <xf numFmtId="170" fontId="2" fillId="0" borderId="0" xfId="0" applyNumberFormat="1" applyFont="1" applyFill="1"/>
    <xf numFmtId="43" fontId="2" fillId="0" borderId="0" xfId="0" applyNumberFormat="1" applyFont="1" applyFill="1"/>
    <xf numFmtId="166" fontId="2" fillId="0" borderId="0" xfId="0" applyNumberFormat="1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164" fontId="2" fillId="0" borderId="0" xfId="0" applyNumberFormat="1" applyFont="1" applyFill="1" applyBorder="1"/>
    <xf numFmtId="0" fontId="12" fillId="0" borderId="0" xfId="0" applyFont="1" applyFill="1" applyBorder="1"/>
    <xf numFmtId="166" fontId="2" fillId="0" borderId="0" xfId="2" applyNumberFormat="1" applyFont="1" applyFill="1" applyBorder="1"/>
    <xf numFmtId="164" fontId="2" fillId="0" borderId="0" xfId="1" applyNumberFormat="1" applyFont="1" applyFill="1"/>
    <xf numFmtId="0" fontId="4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2" borderId="0" xfId="0" applyFont="1" applyFill="1"/>
    <xf numFmtId="169" fontId="2" fillId="2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1" applyNumberFormat="1" applyFont="1" applyFill="1"/>
    <xf numFmtId="0" fontId="2" fillId="0" borderId="14" xfId="0" applyFont="1" applyFill="1" applyBorder="1" applyAlignment="1">
      <alignment horizontal="center"/>
    </xf>
    <xf numFmtId="5" fontId="4" fillId="0" borderId="0" xfId="1" applyNumberFormat="1" applyFont="1" applyFill="1"/>
    <xf numFmtId="5" fontId="15" fillId="0" borderId="0" xfId="1" applyNumberFormat="1" applyFont="1" applyFill="1" applyBorder="1"/>
    <xf numFmtId="37" fontId="2" fillId="0" borderId="0" xfId="1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5" fontId="15" fillId="0" borderId="0" xfId="1" applyNumberFormat="1" applyFont="1" applyFill="1"/>
    <xf numFmtId="172" fontId="4" fillId="0" borderId="0" xfId="0" quotePrefix="1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right"/>
    </xf>
    <xf numFmtId="166" fontId="6" fillId="0" borderId="0" xfId="2" applyNumberFormat="1" applyFont="1" applyFill="1" applyAlignment="1">
      <alignment horizontal="left" indent="1"/>
    </xf>
    <xf numFmtId="166" fontId="15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6"/>
    <xf numFmtId="3" fontId="0" fillId="0" borderId="0" xfId="0" applyNumberFormat="1"/>
    <xf numFmtId="164" fontId="0" fillId="0" borderId="0" xfId="1" applyNumberFormat="1" applyFont="1"/>
    <xf numFmtId="172" fontId="2" fillId="0" borderId="0" xfId="0" applyNumberFormat="1" applyFont="1" applyFill="1"/>
    <xf numFmtId="0" fontId="1" fillId="0" borderId="0" xfId="8"/>
    <xf numFmtId="0" fontId="5" fillId="0" borderId="0" xfId="8" applyFont="1" applyAlignment="1">
      <alignment horizontal="center"/>
    </xf>
    <xf numFmtId="0" fontId="5" fillId="0" borderId="10" xfId="8" applyFont="1" applyBorder="1" applyAlignment="1">
      <alignment horizontal="center"/>
    </xf>
    <xf numFmtId="0" fontId="5" fillId="0" borderId="0" xfId="8" applyFont="1" applyBorder="1" applyAlignment="1">
      <alignment horizontal="center"/>
    </xf>
    <xf numFmtId="44" fontId="1" fillId="0" borderId="0" xfId="9" applyNumberFormat="1" applyFont="1" applyFill="1"/>
    <xf numFmtId="174" fontId="1" fillId="0" borderId="0" xfId="8" applyNumberFormat="1"/>
    <xf numFmtId="0" fontId="5" fillId="0" borderId="0" xfId="8" applyFont="1" applyFill="1" applyBorder="1" applyAlignment="1">
      <alignment horizontal="center"/>
    </xf>
    <xf numFmtId="44" fontId="1" fillId="0" borderId="0" xfId="8" applyNumberFormat="1" applyFill="1"/>
    <xf numFmtId="8" fontId="1" fillId="0" borderId="0" xfId="8" applyNumberFormat="1" applyFill="1"/>
    <xf numFmtId="8" fontId="1" fillId="0" borderId="0" xfId="9" applyNumberFormat="1" applyFont="1" applyFill="1"/>
    <xf numFmtId="0" fontId="2" fillId="0" borderId="0" xfId="0" applyFont="1"/>
    <xf numFmtId="8" fontId="0" fillId="0" borderId="0" xfId="0" applyNumberFormat="1"/>
    <xf numFmtId="14" fontId="0" fillId="0" borderId="0" xfId="0" applyNumberFormat="1"/>
    <xf numFmtId="175" fontId="0" fillId="0" borderId="0" xfId="7" applyNumberFormat="1" applyFont="1"/>
    <xf numFmtId="177" fontId="0" fillId="0" borderId="0" xfId="2" applyNumberFormat="1" applyFont="1"/>
    <xf numFmtId="6" fontId="0" fillId="0" borderId="0" xfId="0" applyNumberFormat="1"/>
    <xf numFmtId="164" fontId="0" fillId="0" borderId="0" xfId="0" applyNumberFormat="1"/>
    <xf numFmtId="17" fontId="2" fillId="0" borderId="0" xfId="0" applyNumberFormat="1" applyFont="1"/>
    <xf numFmtId="172" fontId="16" fillId="0" borderId="0" xfId="6" applyNumberFormat="1" applyFill="1"/>
    <xf numFmtId="0" fontId="2" fillId="0" borderId="0" xfId="0" applyFont="1" applyAlignment="1">
      <alignment wrapText="1"/>
    </xf>
    <xf numFmtId="0" fontId="2" fillId="0" borderId="1" xfId="0" applyFont="1" applyBorder="1"/>
    <xf numFmtId="164" fontId="0" fillId="0" borderId="1" xfId="0" applyNumberFormat="1" applyBorder="1"/>
    <xf numFmtId="17" fontId="2" fillId="0" borderId="1" xfId="0" applyNumberFormat="1" applyFont="1" applyBorder="1"/>
    <xf numFmtId="17" fontId="2" fillId="0" borderId="2" xfId="0" applyNumberFormat="1" applyFont="1" applyBorder="1"/>
    <xf numFmtId="17" fontId="2" fillId="0" borderId="16" xfId="0" applyNumberFormat="1" applyFont="1" applyBorder="1"/>
    <xf numFmtId="164" fontId="0" fillId="0" borderId="16" xfId="9" applyNumberFormat="1" applyFont="1" applyBorder="1"/>
    <xf numFmtId="0" fontId="2" fillId="0" borderId="17" xfId="0" applyFont="1" applyBorder="1"/>
    <xf numFmtId="164" fontId="0" fillId="0" borderId="17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0" xfId="0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8" fillId="0" borderId="0" xfId="6" applyFont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178" fontId="2" fillId="0" borderId="0" xfId="1" applyNumberFormat="1" applyFont="1" applyFill="1"/>
    <xf numFmtId="2" fontId="0" fillId="0" borderId="0" xfId="0" applyNumberFormat="1"/>
    <xf numFmtId="0" fontId="19" fillId="0" borderId="0" xfId="8" applyFont="1" applyAlignment="1">
      <alignment horizontal="center"/>
    </xf>
    <xf numFmtId="0" fontId="20" fillId="0" borderId="0" xfId="0" applyFont="1" applyFill="1"/>
    <xf numFmtId="44" fontId="19" fillId="0" borderId="15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20" fillId="0" borderId="0" xfId="0" applyNumberFormat="1" applyFont="1" applyFill="1"/>
    <xf numFmtId="44" fontId="20" fillId="0" borderId="0" xfId="2" applyFont="1" applyFill="1"/>
    <xf numFmtId="8" fontId="19" fillId="0" borderId="15" xfId="8" applyNumberFormat="1" applyFont="1" applyBorder="1"/>
    <xf numFmtId="0" fontId="16" fillId="0" borderId="0" xfId="6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5">
    <cellStyle name="Comma" xfId="1" builtinId="3"/>
    <cellStyle name="Comma 2" xfId="12"/>
    <cellStyle name="Comma 3" xfId="9"/>
    <cellStyle name="Currency" xfId="2" builtinId="4"/>
    <cellStyle name="Currency 2" xfId="3"/>
    <cellStyle name="Currency 2 2" xfId="14"/>
    <cellStyle name="Currency 3" xfId="5"/>
    <cellStyle name="Currency 4" xfId="10"/>
    <cellStyle name="Hyperlink" xfId="6" builtinId="8"/>
    <cellStyle name="Normal" xfId="0" builtinId="0"/>
    <cellStyle name="Normal 2" xfId="8"/>
    <cellStyle name="Percent" xfId="7" builtinId="5"/>
    <cellStyle name="Percent 2" xfId="13"/>
    <cellStyle name="Percent 3" xfId="11"/>
    <cellStyle name="Percent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isoenergy.org/Library/Repository/Meeting%20Material/Stakeholder/PAC/2014/20141217/20141217%20PAC%20Supplemental%202014%20Independent%20Load%20Forecast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T27"/>
  <sheetViews>
    <sheetView tabSelected="1" view="pageLayout" zoomScaleNormal="90" zoomScaleSheetLayoutView="70" workbookViewId="0">
      <selection sqref="A1:XFD1"/>
    </sheetView>
  </sheetViews>
  <sheetFormatPr defaultColWidth="9.140625" defaultRowHeight="12.75" x14ac:dyDescent="0.2"/>
  <cols>
    <col min="1" max="1" width="5.5703125" style="23" customWidth="1"/>
    <col min="2" max="2" width="41.28515625" style="22" customWidth="1"/>
    <col min="3" max="3" width="14.28515625" style="22" customWidth="1"/>
    <col min="4" max="4" width="12.140625" style="22" bestFit="1" customWidth="1"/>
    <col min="5" max="6" width="11.5703125" style="22" bestFit="1" customWidth="1"/>
    <col min="7" max="7" width="12" style="22" bestFit="1" customWidth="1"/>
    <col min="8" max="8" width="12.42578125" style="22" bestFit="1" customWidth="1"/>
    <col min="9" max="9" width="12.140625" style="22" bestFit="1" customWidth="1"/>
    <col min="10" max="10" width="12.7109375" style="22" bestFit="1" customWidth="1"/>
    <col min="11" max="11" width="13.5703125" style="22" customWidth="1"/>
    <col min="12" max="12" width="12" style="22" bestFit="1" customWidth="1"/>
    <col min="13" max="13" width="15.28515625" style="22" customWidth="1"/>
    <col min="14" max="14" width="11.42578125" style="22" bestFit="1" customWidth="1"/>
    <col min="15" max="15" width="15.140625" style="22" bestFit="1" customWidth="1"/>
    <col min="16" max="16" width="11.28515625" style="22" customWidth="1"/>
    <col min="17" max="17" width="16" style="22" bestFit="1" customWidth="1"/>
    <col min="18" max="18" width="9.140625" style="22"/>
    <col min="19" max="19" width="12.28515625" style="22" bestFit="1" customWidth="1"/>
    <col min="20" max="16384" width="9.140625" style="22"/>
  </cols>
  <sheetData>
    <row r="1" spans="1:20" x14ac:dyDescent="0.2">
      <c r="A1" s="150"/>
    </row>
    <row r="2" spans="1:20" x14ac:dyDescent="0.2">
      <c r="A2" s="151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20" x14ac:dyDescent="0.2">
      <c r="B3" s="67"/>
      <c r="O3" s="149"/>
    </row>
    <row r="4" spans="1:20" x14ac:dyDescent="0.2">
      <c r="B4" s="151" t="s">
        <v>113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20" x14ac:dyDescent="0.2">
      <c r="B5" s="153" t="s">
        <v>111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0" x14ac:dyDescent="0.2">
      <c r="B6" s="154" t="s">
        <v>186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20" x14ac:dyDescent="0.2">
      <c r="B7" s="67"/>
    </row>
    <row r="8" spans="1:20" x14ac:dyDescent="0.2">
      <c r="A8" s="152" t="s">
        <v>116</v>
      </c>
      <c r="C8" s="133" t="s">
        <v>3</v>
      </c>
      <c r="D8" s="13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 t="s">
        <v>3</v>
      </c>
      <c r="J8" s="23" t="s">
        <v>3</v>
      </c>
      <c r="K8" s="23" t="s">
        <v>3</v>
      </c>
      <c r="L8" s="23" t="s">
        <v>3</v>
      </c>
      <c r="M8" s="23" t="s">
        <v>3</v>
      </c>
      <c r="N8" s="23" t="s">
        <v>3</v>
      </c>
    </row>
    <row r="9" spans="1:20" x14ac:dyDescent="0.2">
      <c r="A9" s="152"/>
      <c r="B9" s="82" t="s">
        <v>125</v>
      </c>
      <c r="C9" s="52">
        <v>43101</v>
      </c>
      <c r="D9" s="52">
        <v>43132</v>
      </c>
      <c r="E9" s="52">
        <v>43160</v>
      </c>
      <c r="F9" s="52">
        <v>43191</v>
      </c>
      <c r="G9" s="52">
        <v>43221</v>
      </c>
      <c r="H9" s="52">
        <v>43252</v>
      </c>
      <c r="I9" s="52">
        <v>43282</v>
      </c>
      <c r="J9" s="52">
        <v>43313</v>
      </c>
      <c r="K9" s="52">
        <v>43344</v>
      </c>
      <c r="L9" s="52">
        <v>43374</v>
      </c>
      <c r="M9" s="52">
        <v>43405</v>
      </c>
      <c r="N9" s="52">
        <v>43435</v>
      </c>
      <c r="O9" s="72" t="s">
        <v>0</v>
      </c>
      <c r="Q9" s="20"/>
    </row>
    <row r="10" spans="1:20" x14ac:dyDescent="0.2">
      <c r="B10" s="73" t="s">
        <v>97</v>
      </c>
      <c r="C10" s="73" t="s">
        <v>98</v>
      </c>
      <c r="D10" s="73" t="s">
        <v>99</v>
      </c>
      <c r="E10" s="73" t="s">
        <v>100</v>
      </c>
      <c r="F10" s="73" t="s">
        <v>101</v>
      </c>
      <c r="G10" s="73" t="s">
        <v>102</v>
      </c>
      <c r="H10" s="73" t="s">
        <v>103</v>
      </c>
      <c r="I10" s="73" t="s">
        <v>104</v>
      </c>
      <c r="J10" s="73" t="s">
        <v>105</v>
      </c>
      <c r="K10" s="73" t="s">
        <v>106</v>
      </c>
      <c r="L10" s="73" t="s">
        <v>107</v>
      </c>
      <c r="M10" s="73" t="s">
        <v>108</v>
      </c>
      <c r="N10" s="77" t="s">
        <v>109</v>
      </c>
      <c r="O10" s="78" t="s">
        <v>115</v>
      </c>
      <c r="Q10" s="20"/>
    </row>
    <row r="11" spans="1:20" x14ac:dyDescent="0.2">
      <c r="A11" s="23">
        <v>1</v>
      </c>
      <c r="B11" s="22" t="s">
        <v>117</v>
      </c>
      <c r="C11" s="71">
        <v>31</v>
      </c>
      <c r="D11" s="71">
        <v>28</v>
      </c>
      <c r="E11" s="71">
        <v>31</v>
      </c>
      <c r="F11" s="71">
        <v>30</v>
      </c>
      <c r="G11" s="71">
        <v>31</v>
      </c>
      <c r="H11" s="71">
        <v>30</v>
      </c>
      <c r="I11" s="71">
        <v>31</v>
      </c>
      <c r="J11" s="71">
        <v>31</v>
      </c>
      <c r="K11" s="71">
        <v>30</v>
      </c>
      <c r="L11" s="71">
        <v>31</v>
      </c>
      <c r="M11" s="71">
        <v>30</v>
      </c>
      <c r="N11" s="71">
        <v>31</v>
      </c>
      <c r="O11" s="71"/>
      <c r="Q11" s="59"/>
      <c r="S11" s="54"/>
      <c r="T11" s="60"/>
    </row>
    <row r="12" spans="1:20" x14ac:dyDescent="0.2">
      <c r="A12" s="80">
        <v>2</v>
      </c>
      <c r="B12" s="22" t="s">
        <v>122</v>
      </c>
      <c r="C12" s="98">
        <v>3846.5298424800221</v>
      </c>
      <c r="D12" s="98">
        <v>3699.1584823698186</v>
      </c>
      <c r="E12" s="98">
        <v>3401.6390256640157</v>
      </c>
      <c r="F12" s="98">
        <v>3130.0529462784575</v>
      </c>
      <c r="G12" s="98">
        <v>3841.4788661305893</v>
      </c>
      <c r="H12" s="98">
        <v>4564.5290705556126</v>
      </c>
      <c r="I12" s="98">
        <v>4873.4372366536927</v>
      </c>
      <c r="J12" s="98">
        <v>4703.6076334163226</v>
      </c>
      <c r="K12" s="98">
        <v>4365.5324387958262</v>
      </c>
      <c r="L12" s="98">
        <v>3341.5149604825056</v>
      </c>
      <c r="M12" s="98">
        <v>3497.9775048497927</v>
      </c>
      <c r="N12" s="98">
        <v>3741.8608423839341</v>
      </c>
      <c r="O12" s="71"/>
      <c r="Q12" s="59"/>
      <c r="S12" s="54"/>
      <c r="T12" s="60"/>
    </row>
    <row r="13" spans="1:20" x14ac:dyDescent="0.2">
      <c r="A13" s="80">
        <v>3</v>
      </c>
      <c r="B13" s="22" t="s">
        <v>121</v>
      </c>
      <c r="C13" s="136">
        <v>8.2600000000000007E-2</v>
      </c>
      <c r="D13" s="136">
        <v>7.5700000000000003E-2</v>
      </c>
      <c r="E13" s="136">
        <v>9.0700000000000003E-2</v>
      </c>
      <c r="F13" s="136">
        <v>8.77E-2</v>
      </c>
      <c r="G13" s="136">
        <v>7.0499999999999993E-2</v>
      </c>
      <c r="H13" s="136">
        <v>6.4600000000000005E-2</v>
      </c>
      <c r="I13" s="136">
        <v>6.2300000000000001E-2</v>
      </c>
      <c r="J13" s="136">
        <v>5.9799999999999999E-2</v>
      </c>
      <c r="K13" s="136">
        <v>6.4699999999999994E-2</v>
      </c>
      <c r="L13" s="136">
        <v>7.6300000000000007E-2</v>
      </c>
      <c r="M13" s="136">
        <v>8.4199999999999997E-2</v>
      </c>
      <c r="N13" s="136">
        <v>6.8699999999999997E-2</v>
      </c>
      <c r="O13" s="71"/>
      <c r="Q13" s="59"/>
      <c r="S13" s="54"/>
      <c r="T13" s="60"/>
    </row>
    <row r="14" spans="1:20" x14ac:dyDescent="0.2">
      <c r="A14" s="80">
        <v>4</v>
      </c>
      <c r="B14" s="22" t="s">
        <v>118</v>
      </c>
      <c r="C14" s="83">
        <f t="shared" ref="C14:N14" si="0">+C11*C12*24*C13</f>
        <v>236386.18355170428</v>
      </c>
      <c r="D14" s="83">
        <f t="shared" si="0"/>
        <v>188177.67166154561</v>
      </c>
      <c r="E14" s="83">
        <f t="shared" si="0"/>
        <v>229545.32276302832</v>
      </c>
      <c r="F14" s="83">
        <f t="shared" si="0"/>
        <v>197644.06323980694</v>
      </c>
      <c r="G14" s="83">
        <f t="shared" si="0"/>
        <v>201493.24948628165</v>
      </c>
      <c r="H14" s="83">
        <f t="shared" si="0"/>
        <v>212305.37612968267</v>
      </c>
      <c r="I14" s="83">
        <f t="shared" si="0"/>
        <v>225889.66404358263</v>
      </c>
      <c r="J14" s="83">
        <f t="shared" si="0"/>
        <v>209269.14793985232</v>
      </c>
      <c r="K14" s="83">
        <f t="shared" si="0"/>
        <v>203363.96312886474</v>
      </c>
      <c r="L14" s="83">
        <f t="shared" si="0"/>
        <v>189688.44806470248</v>
      </c>
      <c r="M14" s="83">
        <f t="shared" si="0"/>
        <v>212061.38825401384</v>
      </c>
      <c r="N14" s="83">
        <f t="shared" si="0"/>
        <v>191256.98486460155</v>
      </c>
      <c r="O14" s="83"/>
      <c r="Q14" s="59"/>
      <c r="S14" s="54"/>
      <c r="T14" s="60"/>
    </row>
    <row r="15" spans="1:20" x14ac:dyDescent="0.2">
      <c r="A15" s="23">
        <v>5</v>
      </c>
      <c r="B15" s="22" t="s">
        <v>123</v>
      </c>
      <c r="C15" s="97">
        <v>2433266.6932654651</v>
      </c>
      <c r="D15" s="97">
        <v>2235495.6304595191</v>
      </c>
      <c r="E15" s="97">
        <v>2203656.3948340146</v>
      </c>
      <c r="F15" s="97">
        <v>1954936.4193852851</v>
      </c>
      <c r="G15" s="97">
        <v>2014788.8754607895</v>
      </c>
      <c r="H15" s="97">
        <v>2094745.6887592797</v>
      </c>
      <c r="I15" s="97">
        <v>2377678.2495501968</v>
      </c>
      <c r="J15" s="97">
        <v>2586154.4564862987</v>
      </c>
      <c r="K15" s="97">
        <v>2101329.9828896672</v>
      </c>
      <c r="L15" s="97">
        <v>2145661.5923869587</v>
      </c>
      <c r="M15" s="97">
        <v>2021312.1681829728</v>
      </c>
      <c r="N15" s="97">
        <v>2133282.9617775101</v>
      </c>
      <c r="O15" s="71"/>
      <c r="P15" s="56"/>
      <c r="Q15" s="59"/>
      <c r="S15" s="54"/>
    </row>
    <row r="16" spans="1:20" x14ac:dyDescent="0.2">
      <c r="A16" s="23">
        <v>6</v>
      </c>
      <c r="B16" s="22" t="s">
        <v>124</v>
      </c>
      <c r="C16" s="136">
        <v>0.1075</v>
      </c>
      <c r="D16" s="136">
        <v>9.7000000000000003E-2</v>
      </c>
      <c r="E16" s="136">
        <v>0.1192</v>
      </c>
      <c r="F16" s="136">
        <v>0.1116</v>
      </c>
      <c r="G16" s="136">
        <v>0.10349999999999999</v>
      </c>
      <c r="H16" s="136">
        <v>9.7600000000000006E-2</v>
      </c>
      <c r="I16" s="136">
        <v>9.0300000000000005E-2</v>
      </c>
      <c r="J16" s="136">
        <v>8.9099999999999999E-2</v>
      </c>
      <c r="K16" s="136">
        <v>0.10059999999999999</v>
      </c>
      <c r="L16" s="136">
        <v>9.8299999999999998E-2</v>
      </c>
      <c r="M16" s="136">
        <v>0.1109</v>
      </c>
      <c r="N16" s="136">
        <v>9.0700000000000003E-2</v>
      </c>
      <c r="O16" s="71"/>
      <c r="P16" s="56"/>
      <c r="Q16" s="59"/>
      <c r="S16" s="54"/>
    </row>
    <row r="17" spans="1:19" x14ac:dyDescent="0.2">
      <c r="A17" s="23">
        <v>7</v>
      </c>
      <c r="B17" s="22" t="s">
        <v>119</v>
      </c>
      <c r="C17" s="83">
        <f t="shared" ref="C17:N17" si="1">+C15*C16</f>
        <v>261576.1695260375</v>
      </c>
      <c r="D17" s="83">
        <f t="shared" si="1"/>
        <v>216843.07615457335</v>
      </c>
      <c r="E17" s="83">
        <f t="shared" si="1"/>
        <v>262675.84226421453</v>
      </c>
      <c r="F17" s="83">
        <f t="shared" si="1"/>
        <v>218170.90440339784</v>
      </c>
      <c r="G17" s="83">
        <f t="shared" si="1"/>
        <v>208530.64861019171</v>
      </c>
      <c r="H17" s="83">
        <f t="shared" si="1"/>
        <v>204447.17922290572</v>
      </c>
      <c r="I17" s="83">
        <f t="shared" si="1"/>
        <v>214704.34593438279</v>
      </c>
      <c r="J17" s="83">
        <f t="shared" si="1"/>
        <v>230426.36207292922</v>
      </c>
      <c r="K17" s="83">
        <f t="shared" si="1"/>
        <v>211393.79627870049</v>
      </c>
      <c r="L17" s="83">
        <f t="shared" si="1"/>
        <v>210918.53453163803</v>
      </c>
      <c r="M17" s="83">
        <f t="shared" si="1"/>
        <v>224163.51945149168</v>
      </c>
      <c r="N17" s="83">
        <f t="shared" si="1"/>
        <v>193488.76463322018</v>
      </c>
      <c r="O17" s="83"/>
      <c r="Q17" s="59"/>
      <c r="S17" s="54"/>
    </row>
    <row r="18" spans="1:19" x14ac:dyDescent="0.2">
      <c r="A18" s="80">
        <v>8</v>
      </c>
      <c r="B18" s="22" t="s">
        <v>120</v>
      </c>
      <c r="C18" s="84">
        <f>C14+C17</f>
        <v>497962.35307774181</v>
      </c>
      <c r="D18" s="84">
        <f t="shared" ref="D18:N18" si="2">D14+D17</f>
        <v>405020.74781611899</v>
      </c>
      <c r="E18" s="84">
        <f t="shared" si="2"/>
        <v>492221.16502724285</v>
      </c>
      <c r="F18" s="84">
        <f t="shared" si="2"/>
        <v>415814.96764320479</v>
      </c>
      <c r="G18" s="84">
        <f t="shared" si="2"/>
        <v>410023.89809647336</v>
      </c>
      <c r="H18" s="84">
        <f t="shared" si="2"/>
        <v>416752.55535258842</v>
      </c>
      <c r="I18" s="84">
        <f t="shared" si="2"/>
        <v>440594.00997796538</v>
      </c>
      <c r="J18" s="84">
        <f t="shared" si="2"/>
        <v>439695.51001278154</v>
      </c>
      <c r="K18" s="84">
        <f t="shared" si="2"/>
        <v>414757.75940756523</v>
      </c>
      <c r="L18" s="84">
        <f t="shared" si="2"/>
        <v>400606.98259634047</v>
      </c>
      <c r="M18" s="84">
        <f t="shared" si="2"/>
        <v>436224.90770550549</v>
      </c>
      <c r="N18" s="84">
        <f t="shared" si="2"/>
        <v>384745.74949782173</v>
      </c>
      <c r="O18" s="84">
        <f>SUM(C18:N18)</f>
        <v>5154420.6062113503</v>
      </c>
    </row>
    <row r="19" spans="1:19" ht="15.75" x14ac:dyDescent="0.25">
      <c r="A19" s="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9"/>
      <c r="N19" s="55"/>
      <c r="O19" s="74"/>
    </row>
    <row r="20" spans="1:19" ht="15.75" x14ac:dyDescent="0.25">
      <c r="A20" s="66"/>
      <c r="B20" s="67" t="s">
        <v>112</v>
      </c>
      <c r="C20" s="53"/>
      <c r="D20" s="53"/>
      <c r="E20" s="53"/>
      <c r="F20" s="53"/>
      <c r="G20" s="53"/>
      <c r="H20" s="53"/>
      <c r="I20" s="53"/>
      <c r="J20" s="53"/>
      <c r="M20" s="69"/>
      <c r="N20" s="55"/>
      <c r="O20" s="68"/>
    </row>
    <row r="21" spans="1:19" ht="15.75" x14ac:dyDescent="0.25">
      <c r="B21" s="75" t="s">
        <v>178</v>
      </c>
      <c r="C21" s="75"/>
      <c r="D21" s="76"/>
      <c r="E21" s="75"/>
      <c r="F21" s="75"/>
      <c r="G21" s="75"/>
      <c r="H21" s="58"/>
      <c r="M21" s="69"/>
      <c r="N21" s="69"/>
      <c r="O21" s="70"/>
      <c r="Q21" s="53"/>
    </row>
    <row r="22" spans="1:19" ht="15.75" x14ac:dyDescent="0.25">
      <c r="A22" s="148"/>
      <c r="B22" s="22" t="s">
        <v>196</v>
      </c>
      <c r="C22" s="75"/>
      <c r="D22" s="76"/>
      <c r="E22" s="75"/>
      <c r="F22" s="75"/>
      <c r="G22" s="75"/>
      <c r="H22" s="58"/>
      <c r="M22" s="69"/>
      <c r="N22" s="69"/>
      <c r="O22" s="70"/>
      <c r="Q22" s="53"/>
    </row>
    <row r="23" spans="1:19" x14ac:dyDescent="0.2">
      <c r="B23" s="22" t="s">
        <v>126</v>
      </c>
      <c r="D23" s="61"/>
      <c r="H23" s="58"/>
      <c r="K23" s="62"/>
      <c r="L23" s="62"/>
      <c r="M23" s="62"/>
      <c r="N23" s="62"/>
      <c r="O23" s="53"/>
    </row>
    <row r="24" spans="1:19" x14ac:dyDescent="0.2">
      <c r="B24" s="75" t="s">
        <v>172</v>
      </c>
      <c r="C24" s="62"/>
      <c r="D24" s="62"/>
      <c r="E24" s="62"/>
      <c r="F24" s="62"/>
      <c r="G24" s="62"/>
      <c r="H24" s="62"/>
      <c r="I24" s="62"/>
      <c r="J24" s="62"/>
      <c r="O24" s="63"/>
    </row>
    <row r="25" spans="1:19" x14ac:dyDescent="0.2">
      <c r="A25" s="148"/>
      <c r="B25" s="22" t="s">
        <v>197</v>
      </c>
      <c r="C25" s="62"/>
      <c r="D25" s="62"/>
      <c r="E25" s="62"/>
      <c r="F25" s="62"/>
      <c r="G25" s="62"/>
      <c r="H25" s="62"/>
      <c r="I25" s="62"/>
      <c r="J25" s="62"/>
      <c r="O25" s="63"/>
    </row>
    <row r="26" spans="1:19" x14ac:dyDescent="0.2">
      <c r="B26" s="22" t="s">
        <v>127</v>
      </c>
    </row>
    <row r="27" spans="1:19" x14ac:dyDescent="0.2">
      <c r="B27" s="22" t="s">
        <v>128</v>
      </c>
    </row>
  </sheetData>
  <mergeCells count="5">
    <mergeCell ref="A2:O2"/>
    <mergeCell ref="A8:A9"/>
    <mergeCell ref="B4:O4"/>
    <mergeCell ref="B5:O5"/>
    <mergeCell ref="B6:O6"/>
  </mergeCells>
  <phoneticPr fontId="3" type="noConversion"/>
  <pageMargins left="0.2" right="0.23" top="1" bottom="0.5" header="0.5" footer="0.5"/>
  <pageSetup scale="52" orientation="landscape" r:id="rId1"/>
  <headerFooter alignWithMargins="0">
    <oddHeader>&amp;R&amp;"Arial,Bold"MidAmerican Energy Company Attachment 1-1m&amp;"Arial,Regular"
Exhibit___(DAS-1)
Schedule C
Page 1 of 1</oddHeader>
    <oddFooter>&amp;LElectronic File: &amp;F
Tab: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Layout" zoomScaleNormal="100" workbookViewId="0">
      <selection activeCell="L13" sqref="L13"/>
    </sheetView>
  </sheetViews>
  <sheetFormatPr defaultRowHeight="12.75" x14ac:dyDescent="0.2"/>
  <cols>
    <col min="1" max="1" width="8.85546875" customWidth="1"/>
    <col min="2" max="3" width="12.85546875" bestFit="1" customWidth="1"/>
    <col min="4" max="7" width="13.85546875" customWidth="1"/>
    <col min="9" max="9" width="15" customWidth="1"/>
  </cols>
  <sheetData>
    <row r="1" spans="1:14" ht="36" customHeight="1" x14ac:dyDescent="0.2">
      <c r="A1" s="119" t="s">
        <v>140</v>
      </c>
      <c r="B1" s="119" t="s">
        <v>173</v>
      </c>
      <c r="C1" s="119" t="s">
        <v>174</v>
      </c>
      <c r="D1" s="119" t="s">
        <v>175</v>
      </c>
      <c r="E1" s="119" t="s">
        <v>179</v>
      </c>
      <c r="F1" s="119" t="s">
        <v>180</v>
      </c>
      <c r="G1" s="119" t="s">
        <v>183</v>
      </c>
      <c r="H1" s="119" t="s">
        <v>169</v>
      </c>
      <c r="I1" s="119" t="s">
        <v>176</v>
      </c>
      <c r="J1" s="119" t="s">
        <v>168</v>
      </c>
    </row>
    <row r="2" spans="1:14" x14ac:dyDescent="0.2">
      <c r="A2" t="s">
        <v>78</v>
      </c>
      <c r="B2" s="97">
        <v>43602595</v>
      </c>
      <c r="C2" s="97">
        <v>46323356.700000003</v>
      </c>
      <c r="D2" s="98">
        <v>44129493</v>
      </c>
      <c r="E2" s="98">
        <v>42692158</v>
      </c>
      <c r="F2" s="98">
        <v>42769239</v>
      </c>
      <c r="G2" s="98">
        <f>F2*1.0094</f>
        <v>43171269.846600004</v>
      </c>
      <c r="H2" s="113">
        <f>G2/$G$14</f>
        <v>8.9878247743455375E-2</v>
      </c>
      <c r="I2" s="115">
        <f>'Attachment MM'!$D$24/12</f>
        <v>51232874</v>
      </c>
      <c r="J2">
        <f>I2/G2</f>
        <v>1.186735395600945</v>
      </c>
      <c r="N2">
        <v>1.186735395600945</v>
      </c>
    </row>
    <row r="3" spans="1:14" x14ac:dyDescent="0.2">
      <c r="A3" t="s">
        <v>79</v>
      </c>
      <c r="B3" s="97">
        <v>38954241.700000003</v>
      </c>
      <c r="C3" s="97">
        <v>41228963.700000003</v>
      </c>
      <c r="D3" s="98">
        <v>41237990</v>
      </c>
      <c r="E3" s="98">
        <v>38464462</v>
      </c>
      <c r="F3" s="98">
        <v>35876755</v>
      </c>
      <c r="G3" s="98">
        <f t="shared" ref="G3:G13" si="0">F3*1.0094</f>
        <v>36213996.497000001</v>
      </c>
      <c r="H3" s="113">
        <f t="shared" ref="H3:H13" si="1">G3/$G$14</f>
        <v>7.5393903410842802E-2</v>
      </c>
      <c r="I3" s="115">
        <f>'Attachment MM'!$D$24/12</f>
        <v>51232874</v>
      </c>
      <c r="J3">
        <f t="shared" ref="J3:J14" si="2">I3/G3</f>
        <v>1.4147257678186438</v>
      </c>
      <c r="N3">
        <v>1.4147257678186438</v>
      </c>
    </row>
    <row r="4" spans="1:14" x14ac:dyDescent="0.2">
      <c r="A4" t="s">
        <v>80</v>
      </c>
      <c r="B4" s="97">
        <v>41024874.5</v>
      </c>
      <c r="C4" s="97">
        <v>41736099.299999997</v>
      </c>
      <c r="D4" s="98">
        <v>39735293</v>
      </c>
      <c r="E4" s="98">
        <v>36765373</v>
      </c>
      <c r="F4" s="98">
        <v>39161023</v>
      </c>
      <c r="G4" s="98">
        <f t="shared" si="0"/>
        <v>39529136.6162</v>
      </c>
      <c r="H4" s="113">
        <f t="shared" si="1"/>
        <v>8.2295692169812834E-2</v>
      </c>
      <c r="I4" s="115">
        <f>'Attachment MM'!$D$24/12</f>
        <v>51232874</v>
      </c>
      <c r="J4">
        <f t="shared" si="2"/>
        <v>1.2960787506551186</v>
      </c>
      <c r="N4">
        <v>1.2960787506551186</v>
      </c>
    </row>
    <row r="5" spans="1:14" x14ac:dyDescent="0.2">
      <c r="A5" t="s">
        <v>81</v>
      </c>
      <c r="B5" s="97">
        <v>36898326.399999999</v>
      </c>
      <c r="C5" s="97">
        <v>35919468.5</v>
      </c>
      <c r="D5" s="98">
        <v>35144595</v>
      </c>
      <c r="E5" s="98">
        <v>34585069</v>
      </c>
      <c r="F5" s="98">
        <v>34664351</v>
      </c>
      <c r="G5" s="98">
        <f t="shared" si="0"/>
        <v>34990195.899400003</v>
      </c>
      <c r="H5" s="113">
        <f t="shared" si="1"/>
        <v>7.2846073483890952E-2</v>
      </c>
      <c r="I5" s="115">
        <f>'Attachment MM'!$D$24/12</f>
        <v>51232874</v>
      </c>
      <c r="J5">
        <f t="shared" si="2"/>
        <v>1.4642065493802656</v>
      </c>
      <c r="N5">
        <v>1.4642065493802656</v>
      </c>
    </row>
    <row r="6" spans="1:14" x14ac:dyDescent="0.2">
      <c r="A6" t="s">
        <v>58</v>
      </c>
      <c r="B6" s="97">
        <v>38497649.899999999</v>
      </c>
      <c r="C6" s="97">
        <v>38125731.299999997</v>
      </c>
      <c r="D6" s="98">
        <v>37266277</v>
      </c>
      <c r="E6" s="98">
        <v>36503871</v>
      </c>
      <c r="F6" s="98">
        <v>36971953</v>
      </c>
      <c r="G6" s="98">
        <f t="shared" si="0"/>
        <v>37319489.358200006</v>
      </c>
      <c r="H6" s="113">
        <f t="shared" si="1"/>
        <v>7.769542851331511E-2</v>
      </c>
      <c r="I6" s="115">
        <f>'Attachment MM'!$D$24/12</f>
        <v>51232874</v>
      </c>
      <c r="J6">
        <f t="shared" si="2"/>
        <v>1.3728181944896543</v>
      </c>
      <c r="N6">
        <v>1.3728181944896543</v>
      </c>
    </row>
    <row r="7" spans="1:14" x14ac:dyDescent="0.2">
      <c r="A7" t="s">
        <v>82</v>
      </c>
      <c r="B7" s="97">
        <v>40531882.200000003</v>
      </c>
      <c r="C7" s="97">
        <v>41774133.5</v>
      </c>
      <c r="D7" s="98">
        <v>40481714</v>
      </c>
      <c r="E7" s="98">
        <v>42436406</v>
      </c>
      <c r="F7" s="98">
        <v>41375261</v>
      </c>
      <c r="G7" s="98">
        <f t="shared" si="0"/>
        <v>41764188.453400001</v>
      </c>
      <c r="H7" s="113">
        <f t="shared" si="1"/>
        <v>8.6948845608595629E-2</v>
      </c>
      <c r="I7" s="115">
        <f>'Attachment MM'!$D$24/12</f>
        <v>51232874</v>
      </c>
      <c r="J7">
        <f t="shared" si="2"/>
        <v>1.2267178148849953</v>
      </c>
      <c r="N7">
        <v>1.2267178148849953</v>
      </c>
    </row>
    <row r="8" spans="1:14" x14ac:dyDescent="0.2">
      <c r="A8" t="s">
        <v>83</v>
      </c>
      <c r="B8" s="97">
        <v>45735612.899999999</v>
      </c>
      <c r="C8" s="97">
        <v>42894584.700000003</v>
      </c>
      <c r="D8" s="98">
        <v>45263223</v>
      </c>
      <c r="E8" s="98">
        <v>46616864</v>
      </c>
      <c r="F8" s="98">
        <v>46115979</v>
      </c>
      <c r="G8" s="98">
        <f t="shared" si="0"/>
        <v>46549469.202600002</v>
      </c>
      <c r="H8" s="113">
        <f t="shared" si="1"/>
        <v>9.6911319499839249E-2</v>
      </c>
      <c r="I8" s="115">
        <f>'Attachment MM'!$D$24/12</f>
        <v>51232874</v>
      </c>
      <c r="J8">
        <f t="shared" si="2"/>
        <v>1.1006113469740362</v>
      </c>
      <c r="N8">
        <v>1.1006113469740362</v>
      </c>
    </row>
    <row r="9" spans="1:14" x14ac:dyDescent="0.2">
      <c r="A9" t="s">
        <v>84</v>
      </c>
      <c r="B9" s="97">
        <v>45437483.100000001</v>
      </c>
      <c r="C9" s="97">
        <v>45472253.100000001</v>
      </c>
      <c r="D9" s="98">
        <v>43642164</v>
      </c>
      <c r="E9" s="98">
        <v>47604083</v>
      </c>
      <c r="F9" s="98">
        <v>42433075</v>
      </c>
      <c r="G9" s="98">
        <f t="shared" si="0"/>
        <v>42831945.905000001</v>
      </c>
      <c r="H9" s="113">
        <f t="shared" si="1"/>
        <v>8.9171809378385772E-2</v>
      </c>
      <c r="I9" s="115">
        <f>'Attachment MM'!$D$24/12</f>
        <v>51232874</v>
      </c>
      <c r="J9">
        <f t="shared" si="2"/>
        <v>1.1961369701398346</v>
      </c>
      <c r="N9">
        <v>1.1961369701398346</v>
      </c>
    </row>
    <row r="10" spans="1:14" x14ac:dyDescent="0.2">
      <c r="A10" t="s">
        <v>85</v>
      </c>
      <c r="B10" s="97">
        <v>39923425.899999999</v>
      </c>
      <c r="C10" s="97">
        <v>39963373.899999999</v>
      </c>
      <c r="D10" s="98">
        <v>38390975</v>
      </c>
      <c r="E10" s="98">
        <v>40544359</v>
      </c>
      <c r="F10" s="98">
        <v>40104812.060000002</v>
      </c>
      <c r="G10" s="98">
        <f t="shared" si="0"/>
        <v>40481797.293364003</v>
      </c>
      <c r="H10" s="113">
        <f t="shared" si="1"/>
        <v>8.4279036015426814E-2</v>
      </c>
      <c r="I10" s="115">
        <f>'Attachment MM'!$D$24/12</f>
        <v>51232874</v>
      </c>
      <c r="J10">
        <f t="shared" si="2"/>
        <v>1.2655780480477425</v>
      </c>
      <c r="N10">
        <v>1.2655780480477425</v>
      </c>
    </row>
    <row r="11" spans="1:14" x14ac:dyDescent="0.2">
      <c r="A11" t="s">
        <v>86</v>
      </c>
      <c r="B11" s="97">
        <v>38918059.399999999</v>
      </c>
      <c r="C11" s="97">
        <v>38926517.200000003</v>
      </c>
      <c r="D11" s="98">
        <v>37722199</v>
      </c>
      <c r="E11" s="98">
        <v>36675815</v>
      </c>
      <c r="F11" s="98">
        <v>37191524</v>
      </c>
      <c r="G11" s="98">
        <f t="shared" si="0"/>
        <v>37541124.325600006</v>
      </c>
      <c r="H11" s="113">
        <f t="shared" si="1"/>
        <v>7.8156850254657712E-2</v>
      </c>
      <c r="I11" s="115">
        <f>'Attachment MM'!$D$24/12</f>
        <v>51232874</v>
      </c>
      <c r="J11">
        <f t="shared" si="2"/>
        <v>1.3647133622224343</v>
      </c>
      <c r="N11">
        <v>1.3647133622224343</v>
      </c>
    </row>
    <row r="12" spans="1:14" x14ac:dyDescent="0.2">
      <c r="A12" t="s">
        <v>87</v>
      </c>
      <c r="B12" s="97">
        <v>39271395</v>
      </c>
      <c r="C12" s="97">
        <v>39262750.299999997</v>
      </c>
      <c r="D12" s="98">
        <v>40118268</v>
      </c>
      <c r="E12" s="98">
        <v>36192214</v>
      </c>
      <c r="F12" s="98">
        <v>36294359</v>
      </c>
      <c r="G12" s="98">
        <f t="shared" si="0"/>
        <v>36635525.974600002</v>
      </c>
      <c r="H12" s="113">
        <f t="shared" si="1"/>
        <v>7.6271485445226397E-2</v>
      </c>
      <c r="I12" s="115">
        <f>'Attachment MM'!$D$24/12</f>
        <v>51232874</v>
      </c>
      <c r="J12">
        <f t="shared" si="2"/>
        <v>1.3984478900485986</v>
      </c>
      <c r="N12">
        <v>1.3984478900485986</v>
      </c>
    </row>
    <row r="13" spans="1:14" x14ac:dyDescent="0.2">
      <c r="A13" t="s">
        <v>88</v>
      </c>
      <c r="B13" s="97">
        <v>44250347.5</v>
      </c>
      <c r="C13" s="97">
        <v>44226568.299999997</v>
      </c>
      <c r="D13" s="98">
        <v>42111459</v>
      </c>
      <c r="E13" s="98">
        <v>39521093</v>
      </c>
      <c r="F13" s="98">
        <v>42899177</v>
      </c>
      <c r="G13" s="98">
        <f t="shared" si="0"/>
        <v>43302429.263800003</v>
      </c>
      <c r="H13" s="113">
        <f t="shared" si="1"/>
        <v>9.0151308476551159E-2</v>
      </c>
      <c r="I13" s="115">
        <f>'Attachment MM'!$D$24/12</f>
        <v>51232874</v>
      </c>
      <c r="J13">
        <f t="shared" si="2"/>
        <v>1.18314087387309</v>
      </c>
      <c r="N13">
        <v>1.18314087387309</v>
      </c>
    </row>
    <row r="14" spans="1:14" x14ac:dyDescent="0.2">
      <c r="A14" s="110" t="s">
        <v>0</v>
      </c>
      <c r="B14" s="97">
        <f t="shared" ref="B14:G14" si="3">SUM(B2:B13)</f>
        <v>493045893.49999994</v>
      </c>
      <c r="C14" s="97">
        <f t="shared" si="3"/>
        <v>495853800.5</v>
      </c>
      <c r="D14" s="97">
        <f t="shared" si="3"/>
        <v>485243650</v>
      </c>
      <c r="E14" s="97">
        <f t="shared" si="3"/>
        <v>478601767</v>
      </c>
      <c r="F14" s="97">
        <f t="shared" si="3"/>
        <v>475857508.06</v>
      </c>
      <c r="G14" s="97">
        <f t="shared" si="3"/>
        <v>480330568.63576412</v>
      </c>
      <c r="H14" s="113"/>
      <c r="I14" s="115">
        <f>SUM(I2:I13)</f>
        <v>614794488</v>
      </c>
      <c r="J14">
        <f t="shared" si="2"/>
        <v>1.279940374700991</v>
      </c>
      <c r="N14">
        <v>1.279940374700991</v>
      </c>
    </row>
    <row r="15" spans="1:14" x14ac:dyDescent="0.2">
      <c r="A15" s="110"/>
      <c r="B15" s="111"/>
      <c r="C15" s="111"/>
      <c r="D15" s="97"/>
      <c r="E15" s="97"/>
      <c r="F15" s="97"/>
      <c r="G15" s="97"/>
      <c r="H15" s="113"/>
      <c r="I15" s="114"/>
    </row>
    <row r="16" spans="1:14" x14ac:dyDescent="0.2">
      <c r="A16" s="110" t="s">
        <v>198</v>
      </c>
    </row>
    <row r="17" spans="1:1" x14ac:dyDescent="0.2">
      <c r="A17" s="147" t="s">
        <v>199</v>
      </c>
    </row>
  </sheetData>
  <hyperlinks>
    <hyperlink ref="A17" r:id="rId1" display="From MISO Independent Load Forecast Study - Table ES‐2. LRZ Metered Load Growth Rates (2015‐2024)"/>
  </hyperlinks>
  <pageMargins left="0.7" right="0.7" top="0.75" bottom="0.75" header="0.3" footer="0.3"/>
  <pageSetup scale="78" orientation="landscape" r:id="rId2"/>
  <headerFooter>
    <oddHeader>&amp;R&amp;"Arial,Bold"MidAmerican Energy Company Attachment 1-1m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Layout" zoomScaleNormal="100" workbookViewId="0">
      <selection activeCell="M12" sqref="M12"/>
    </sheetView>
  </sheetViews>
  <sheetFormatPr defaultRowHeight="12.75" x14ac:dyDescent="0.2"/>
  <cols>
    <col min="2" max="2" width="18.5703125" bestFit="1" customWidth="1"/>
    <col min="3" max="3" width="17.28515625" bestFit="1" customWidth="1"/>
    <col min="4" max="4" width="20.7109375" bestFit="1" customWidth="1"/>
    <col min="5" max="5" width="3.28515625" customWidth="1"/>
    <col min="6" max="6" width="17.5703125" bestFit="1" customWidth="1"/>
    <col min="7" max="7" width="23.85546875" customWidth="1"/>
    <col min="8" max="8" width="15.42578125" bestFit="1" customWidth="1"/>
  </cols>
  <sheetData>
    <row r="1" spans="1:7" ht="15" x14ac:dyDescent="0.25">
      <c r="A1" s="100"/>
      <c r="B1" s="101" t="s">
        <v>144</v>
      </c>
      <c r="C1" s="101" t="s">
        <v>144</v>
      </c>
      <c r="D1" s="101" t="s">
        <v>144</v>
      </c>
      <c r="F1" s="141" t="s">
        <v>188</v>
      </c>
      <c r="G1" s="142" t="s">
        <v>144</v>
      </c>
    </row>
    <row r="2" spans="1:7" x14ac:dyDescent="0.2">
      <c r="A2" s="101" t="s">
        <v>145</v>
      </c>
      <c r="B2" s="101" t="s">
        <v>146</v>
      </c>
      <c r="C2" s="101" t="s">
        <v>147</v>
      </c>
      <c r="D2" s="101" t="s">
        <v>148</v>
      </c>
      <c r="F2" s="141" t="s">
        <v>189</v>
      </c>
      <c r="G2" s="142" t="s">
        <v>190</v>
      </c>
    </row>
    <row r="3" spans="1:7" ht="13.5" thickBot="1" x14ac:dyDescent="0.25">
      <c r="A3" s="102" t="s">
        <v>149</v>
      </c>
      <c r="B3" s="102" t="s">
        <v>150</v>
      </c>
      <c r="C3" s="102" t="s">
        <v>151</v>
      </c>
      <c r="D3" s="102" t="s">
        <v>150</v>
      </c>
      <c r="E3" s="106"/>
      <c r="F3" s="143" t="s">
        <v>191</v>
      </c>
      <c r="G3" s="143" t="s">
        <v>192</v>
      </c>
    </row>
    <row r="4" spans="1:7" ht="15" x14ac:dyDescent="0.25">
      <c r="A4" s="103" t="s">
        <v>152</v>
      </c>
      <c r="B4" s="108">
        <v>12400667</v>
      </c>
      <c r="C4" s="107">
        <v>143467</v>
      </c>
      <c r="D4" s="108">
        <v>12544134</v>
      </c>
      <c r="F4" s="139"/>
      <c r="G4" s="144">
        <v>12400667</v>
      </c>
    </row>
    <row r="5" spans="1:7" ht="15" x14ac:dyDescent="0.25">
      <c r="A5" s="103" t="s">
        <v>153</v>
      </c>
      <c r="B5" s="108">
        <v>166512669</v>
      </c>
      <c r="C5" s="108">
        <v>978731</v>
      </c>
      <c r="D5" s="108">
        <v>167491399</v>
      </c>
      <c r="F5" s="139"/>
      <c r="G5" s="144">
        <v>166512669</v>
      </c>
    </row>
    <row r="6" spans="1:7" ht="15" x14ac:dyDescent="0.25">
      <c r="A6" s="103" t="s">
        <v>154</v>
      </c>
      <c r="B6" s="104">
        <v>0</v>
      </c>
      <c r="C6" s="104">
        <v>0</v>
      </c>
      <c r="D6" s="104">
        <v>0</v>
      </c>
      <c r="F6" s="139"/>
      <c r="G6" s="144">
        <v>0</v>
      </c>
    </row>
    <row r="7" spans="1:7" ht="15" x14ac:dyDescent="0.25">
      <c r="A7" s="103" t="s">
        <v>184</v>
      </c>
      <c r="B7" s="104">
        <v>577915</v>
      </c>
      <c r="C7" s="104">
        <v>0</v>
      </c>
      <c r="D7" s="104">
        <v>577915</v>
      </c>
      <c r="F7" s="139"/>
      <c r="G7" s="144">
        <v>577915</v>
      </c>
    </row>
    <row r="8" spans="1:7" ht="15" x14ac:dyDescent="0.25">
      <c r="A8" s="103" t="s">
        <v>155</v>
      </c>
      <c r="B8" s="109">
        <v>30526896</v>
      </c>
      <c r="C8" s="109">
        <v>-617365</v>
      </c>
      <c r="D8" s="109">
        <v>29909531</v>
      </c>
      <c r="F8" s="139"/>
      <c r="G8" s="144">
        <v>30526896</v>
      </c>
    </row>
    <row r="9" spans="1:7" ht="15" x14ac:dyDescent="0.25">
      <c r="A9" s="106" t="s">
        <v>156</v>
      </c>
      <c r="B9" s="109">
        <v>4688995</v>
      </c>
      <c r="C9" s="104">
        <v>505011</v>
      </c>
      <c r="D9" s="109">
        <v>5194006</v>
      </c>
      <c r="F9" s="139"/>
      <c r="G9" s="144">
        <v>4688995</v>
      </c>
    </row>
    <row r="10" spans="1:7" ht="15" x14ac:dyDescent="0.25">
      <c r="A10" s="103" t="s">
        <v>157</v>
      </c>
      <c r="B10" s="104">
        <v>0</v>
      </c>
      <c r="C10" s="104">
        <v>0</v>
      </c>
      <c r="D10" s="104">
        <v>0</v>
      </c>
      <c r="F10" s="144"/>
      <c r="G10" s="144">
        <v>0</v>
      </c>
    </row>
    <row r="11" spans="1:7" ht="15" x14ac:dyDescent="0.25">
      <c r="A11" s="103" t="s">
        <v>158</v>
      </c>
      <c r="B11" s="104">
        <v>0</v>
      </c>
      <c r="C11" s="104">
        <v>0</v>
      </c>
      <c r="D11" s="104">
        <v>0</v>
      </c>
      <c r="F11" s="139"/>
      <c r="G11" s="144">
        <v>0</v>
      </c>
    </row>
    <row r="12" spans="1:7" ht="15" x14ac:dyDescent="0.25">
      <c r="A12" s="103" t="s">
        <v>95</v>
      </c>
      <c r="B12" s="109">
        <v>14593789</v>
      </c>
      <c r="C12" s="109">
        <v>565048</v>
      </c>
      <c r="D12" s="109">
        <v>15158837</v>
      </c>
      <c r="F12" s="145">
        <v>130628</v>
      </c>
      <c r="G12" s="144">
        <v>14463161</v>
      </c>
    </row>
    <row r="13" spans="1:7" ht="15" x14ac:dyDescent="0.25">
      <c r="A13" s="103" t="s">
        <v>159</v>
      </c>
      <c r="B13" s="109">
        <v>80212088</v>
      </c>
      <c r="C13" s="109">
        <v>8734377</v>
      </c>
      <c r="D13" s="109">
        <v>88946465</v>
      </c>
      <c r="F13" s="139"/>
      <c r="G13" s="144">
        <v>80212088</v>
      </c>
    </row>
    <row r="14" spans="1:7" ht="15" x14ac:dyDescent="0.25">
      <c r="A14" s="103" t="s">
        <v>160</v>
      </c>
      <c r="B14" s="109">
        <v>65281898</v>
      </c>
      <c r="C14" s="109">
        <v>-4544228</v>
      </c>
      <c r="D14" s="109">
        <v>60737670</v>
      </c>
      <c r="F14" s="139"/>
      <c r="G14" s="144">
        <v>65281898</v>
      </c>
    </row>
    <row r="15" spans="1:7" ht="15" x14ac:dyDescent="0.25">
      <c r="A15" s="103" t="s">
        <v>161</v>
      </c>
      <c r="B15" s="109">
        <v>57208</v>
      </c>
      <c r="C15" s="109">
        <v>3461</v>
      </c>
      <c r="D15" s="109">
        <v>60669</v>
      </c>
      <c r="F15" s="139"/>
      <c r="G15" s="144">
        <v>57208</v>
      </c>
    </row>
    <row r="16" spans="1:7" ht="15" x14ac:dyDescent="0.25">
      <c r="A16" s="103" t="s">
        <v>18</v>
      </c>
      <c r="B16" s="109">
        <v>57375432</v>
      </c>
      <c r="C16" s="104">
        <v>-546895</v>
      </c>
      <c r="D16" s="109">
        <v>56828537</v>
      </c>
      <c r="F16" s="139"/>
      <c r="G16" s="144">
        <v>57375432</v>
      </c>
    </row>
    <row r="17" spans="1:7" ht="15" x14ac:dyDescent="0.25">
      <c r="A17" s="103" t="s">
        <v>162</v>
      </c>
      <c r="B17" s="109">
        <v>11954819</v>
      </c>
      <c r="C17" s="109">
        <v>417789</v>
      </c>
      <c r="D17" s="109">
        <v>12372608</v>
      </c>
      <c r="F17" s="139"/>
      <c r="G17" s="144">
        <v>11954819</v>
      </c>
    </row>
    <row r="18" spans="1:7" ht="15" x14ac:dyDescent="0.25">
      <c r="A18" s="103" t="s">
        <v>163</v>
      </c>
      <c r="B18" s="109">
        <v>4862139</v>
      </c>
      <c r="C18" s="109">
        <v>508256</v>
      </c>
      <c r="D18" s="109">
        <v>5370395</v>
      </c>
      <c r="F18" s="139"/>
      <c r="G18" s="144">
        <v>4862139</v>
      </c>
    </row>
    <row r="19" spans="1:7" ht="15" x14ac:dyDescent="0.25">
      <c r="A19" s="103" t="s">
        <v>164</v>
      </c>
      <c r="B19" s="109">
        <v>67663559</v>
      </c>
      <c r="C19" s="109">
        <v>3526992</v>
      </c>
      <c r="D19" s="109">
        <v>71190551</v>
      </c>
      <c r="F19" s="139"/>
      <c r="G19" s="144">
        <v>67663559</v>
      </c>
    </row>
    <row r="20" spans="1:7" ht="15" x14ac:dyDescent="0.25">
      <c r="A20" s="103" t="s">
        <v>165</v>
      </c>
      <c r="B20" s="109">
        <v>60893447</v>
      </c>
      <c r="C20" s="109">
        <v>2636474</v>
      </c>
      <c r="D20" s="109">
        <v>63529921</v>
      </c>
      <c r="F20" s="139"/>
      <c r="G20" s="144">
        <v>60893447</v>
      </c>
    </row>
    <row r="21" spans="1:7" ht="15" x14ac:dyDescent="0.25">
      <c r="A21" s="103" t="s">
        <v>166</v>
      </c>
      <c r="B21" s="109">
        <v>23383156</v>
      </c>
      <c r="C21" s="109">
        <v>1498694</v>
      </c>
      <c r="D21" s="109">
        <v>24881850</v>
      </c>
      <c r="F21" s="139"/>
      <c r="G21" s="144">
        <v>23383156</v>
      </c>
    </row>
    <row r="22" spans="1:7" ht="15" x14ac:dyDescent="0.25">
      <c r="A22" s="103" t="s">
        <v>167</v>
      </c>
      <c r="B22" s="104">
        <v>0</v>
      </c>
      <c r="C22" s="104">
        <v>0</v>
      </c>
      <c r="D22" s="104">
        <v>0</v>
      </c>
      <c r="F22" s="139"/>
      <c r="G22" s="144">
        <v>0</v>
      </c>
    </row>
    <row r="23" spans="1:7" ht="15" x14ac:dyDescent="0.25">
      <c r="A23" s="138" t="s">
        <v>181</v>
      </c>
      <c r="B23" s="105">
        <v>0</v>
      </c>
      <c r="C23" s="105">
        <v>0</v>
      </c>
      <c r="D23" s="105">
        <v>0</v>
      </c>
      <c r="F23" s="139"/>
      <c r="G23" s="144">
        <v>0</v>
      </c>
    </row>
    <row r="24" spans="1:7" ht="15.75" thickBot="1" x14ac:dyDescent="0.3">
      <c r="A24" s="106" t="s">
        <v>0</v>
      </c>
      <c r="B24" s="146">
        <f>SUM(B4:B23)</f>
        <v>600984677</v>
      </c>
      <c r="C24" s="146">
        <f>SUM(C4:C23)</f>
        <v>13809812</v>
      </c>
      <c r="D24" s="146">
        <f>SUM(D4:D23)</f>
        <v>614794488</v>
      </c>
      <c r="F24" s="140">
        <v>130628</v>
      </c>
      <c r="G24" s="140">
        <v>600451775</v>
      </c>
    </row>
    <row r="25" spans="1:7" ht="12" customHeight="1" thickTop="1" x14ac:dyDescent="0.2"/>
    <row r="44" spans="1:1" x14ac:dyDescent="0.2">
      <c r="A44" s="110"/>
    </row>
    <row r="45" spans="1:1" x14ac:dyDescent="0.2">
      <c r="A45" s="110"/>
    </row>
    <row r="47" spans="1:1" x14ac:dyDescent="0.2">
      <c r="A47" s="112"/>
    </row>
    <row r="48" spans="1:1" x14ac:dyDescent="0.2">
      <c r="A48" s="112"/>
    </row>
  </sheetData>
  <pageMargins left="0.7" right="0.7" top="0.75" bottom="0.75" header="0.3" footer="0.3"/>
  <pageSetup scale="83" orientation="portrait" r:id="rId1"/>
  <headerFooter>
    <oddHeader>&amp;R&amp;"Arial,Bold"MidAmerican Energy Company Attachment 1-1m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AR17"/>
  <sheetViews>
    <sheetView workbookViewId="0">
      <selection activeCell="E29" sqref="E29"/>
    </sheetView>
  </sheetViews>
  <sheetFormatPr defaultColWidth="9.140625" defaultRowHeight="12.75" x14ac:dyDescent="0.2"/>
  <cols>
    <col min="1" max="1" width="13.140625" style="5" customWidth="1"/>
    <col min="2" max="25" width="9.140625" style="5"/>
    <col min="26" max="26" width="10.28515625" style="5" bestFit="1" customWidth="1"/>
    <col min="27" max="16384" width="9.140625" style="5"/>
  </cols>
  <sheetData>
    <row r="3" spans="1:44" ht="18" x14ac:dyDescent="0.25">
      <c r="A3" s="2" t="s">
        <v>51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</row>
    <row r="4" spans="1:44" x14ac:dyDescent="0.2">
      <c r="A4" s="6" t="s">
        <v>52</v>
      </c>
      <c r="B4" s="7"/>
      <c r="Z4" s="4"/>
      <c r="AA4" s="4"/>
    </row>
    <row r="5" spans="1:44" x14ac:dyDescent="0.2">
      <c r="B5" s="7"/>
      <c r="C5" s="157" t="s">
        <v>53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</row>
    <row r="6" spans="1:44" ht="63.75" x14ac:dyDescent="0.2">
      <c r="B6" s="155" t="s">
        <v>54</v>
      </c>
      <c r="C6" s="156"/>
      <c r="D6" s="155" t="s">
        <v>55</v>
      </c>
      <c r="E6" s="156"/>
      <c r="F6" s="155" t="s">
        <v>56</v>
      </c>
      <c r="G6" s="156"/>
      <c r="H6" s="155" t="s">
        <v>57</v>
      </c>
      <c r="I6" s="156"/>
      <c r="J6" s="155" t="s">
        <v>58</v>
      </c>
      <c r="K6" s="156"/>
      <c r="L6" s="155" t="s">
        <v>59</v>
      </c>
      <c r="M6" s="156"/>
      <c r="N6" s="155" t="s">
        <v>60</v>
      </c>
      <c r="O6" s="156"/>
      <c r="P6" s="155" t="s">
        <v>61</v>
      </c>
      <c r="Q6" s="156"/>
      <c r="R6" s="155" t="s">
        <v>62</v>
      </c>
      <c r="S6" s="156"/>
      <c r="T6" s="155" t="s">
        <v>63</v>
      </c>
      <c r="U6" s="156"/>
      <c r="V6" s="155" t="s">
        <v>64</v>
      </c>
      <c r="W6" s="156"/>
      <c r="X6" s="155" t="s">
        <v>65</v>
      </c>
      <c r="Y6" s="156"/>
      <c r="Z6" s="155" t="s">
        <v>0</v>
      </c>
      <c r="AA6" s="156"/>
      <c r="AE6" s="8" t="s">
        <v>77</v>
      </c>
      <c r="AF6" s="9" t="s">
        <v>78</v>
      </c>
      <c r="AG6" s="9" t="s">
        <v>79</v>
      </c>
      <c r="AH6" s="9" t="s">
        <v>80</v>
      </c>
      <c r="AI6" s="9" t="s">
        <v>81</v>
      </c>
      <c r="AJ6" s="9" t="s">
        <v>58</v>
      </c>
      <c r="AK6" s="9" t="s">
        <v>82</v>
      </c>
      <c r="AL6" s="9" t="s">
        <v>83</v>
      </c>
      <c r="AM6" s="9" t="s">
        <v>84</v>
      </c>
      <c r="AN6" s="9" t="s">
        <v>85</v>
      </c>
      <c r="AO6" s="9" t="s">
        <v>86</v>
      </c>
      <c r="AP6" s="9" t="s">
        <v>87</v>
      </c>
      <c r="AQ6" s="9" t="s">
        <v>88</v>
      </c>
    </row>
    <row r="7" spans="1:44" x14ac:dyDescent="0.2">
      <c r="B7" s="10" t="s">
        <v>66</v>
      </c>
      <c r="C7" s="10" t="s">
        <v>67</v>
      </c>
      <c r="D7" s="10" t="s">
        <v>66</v>
      </c>
      <c r="E7" s="10" t="s">
        <v>67</v>
      </c>
      <c r="F7" s="10" t="s">
        <v>66</v>
      </c>
      <c r="G7" s="10" t="s">
        <v>67</v>
      </c>
      <c r="H7" s="10" t="s">
        <v>66</v>
      </c>
      <c r="I7" s="10" t="s">
        <v>67</v>
      </c>
      <c r="J7" s="10" t="s">
        <v>66</v>
      </c>
      <c r="K7" s="10" t="s">
        <v>67</v>
      </c>
      <c r="L7" s="10" t="s">
        <v>66</v>
      </c>
      <c r="M7" s="10" t="s">
        <v>67</v>
      </c>
      <c r="N7" s="10" t="s">
        <v>66</v>
      </c>
      <c r="O7" s="10" t="s">
        <v>67</v>
      </c>
      <c r="P7" s="10" t="s">
        <v>66</v>
      </c>
      <c r="Q7" s="10" t="s">
        <v>67</v>
      </c>
      <c r="R7" s="10" t="s">
        <v>66</v>
      </c>
      <c r="S7" s="10" t="s">
        <v>67</v>
      </c>
      <c r="T7" s="10" t="s">
        <v>66</v>
      </c>
      <c r="U7" s="10" t="s">
        <v>67</v>
      </c>
      <c r="V7" s="10" t="s">
        <v>66</v>
      </c>
      <c r="W7" s="10" t="s">
        <v>67</v>
      </c>
      <c r="X7" s="10" t="s">
        <v>66</v>
      </c>
      <c r="Y7" s="10" t="s">
        <v>67</v>
      </c>
      <c r="Z7" s="10" t="s">
        <v>66</v>
      </c>
      <c r="AA7" s="10" t="s">
        <v>67</v>
      </c>
      <c r="AE7" s="9">
        <v>2009</v>
      </c>
      <c r="AF7" s="11">
        <v>2335.3962785445283</v>
      </c>
      <c r="AG7" s="11">
        <v>2324.3874937315391</v>
      </c>
      <c r="AH7" s="11">
        <v>2170.0550550535027</v>
      </c>
      <c r="AI7" s="11">
        <v>2056.6915781113689</v>
      </c>
      <c r="AJ7" s="11">
        <v>2238.5740109708636</v>
      </c>
      <c r="AK7" s="11">
        <v>2775.8342652615706</v>
      </c>
      <c r="AL7" s="11">
        <v>2821</v>
      </c>
      <c r="AM7" s="11">
        <v>2704</v>
      </c>
      <c r="AN7" s="11">
        <v>2475</v>
      </c>
      <c r="AO7" s="11">
        <v>2197</v>
      </c>
      <c r="AP7" s="11">
        <v>2141</v>
      </c>
      <c r="AQ7" s="11">
        <v>2248</v>
      </c>
    </row>
    <row r="8" spans="1:44" x14ac:dyDescent="0.2">
      <c r="A8" s="5" t="s">
        <v>68</v>
      </c>
      <c r="B8" s="12">
        <v>371005.37876069959</v>
      </c>
      <c r="C8" s="12">
        <v>434197.11</v>
      </c>
      <c r="D8" s="12">
        <v>387123.99888595159</v>
      </c>
      <c r="E8" s="12"/>
      <c r="F8" s="12">
        <v>397998.26690512517</v>
      </c>
      <c r="G8" s="12"/>
      <c r="H8" s="12">
        <v>313796.56185136223</v>
      </c>
      <c r="I8" s="12"/>
      <c r="J8" s="12">
        <v>318352.13555924536</v>
      </c>
      <c r="K8" s="12"/>
      <c r="L8" s="12">
        <v>433971.28966793191</v>
      </c>
      <c r="M8" s="12"/>
      <c r="N8" s="12">
        <v>428516.74867068417</v>
      </c>
      <c r="O8" s="12"/>
      <c r="P8" s="12">
        <v>400611.39604891819</v>
      </c>
      <c r="Q8" s="12"/>
      <c r="R8" s="12">
        <v>401114.93616161618</v>
      </c>
      <c r="S8" s="12"/>
      <c r="T8" s="12">
        <v>362783.17833333334</v>
      </c>
      <c r="U8" s="12"/>
      <c r="V8" s="12">
        <v>384338.41580471466</v>
      </c>
      <c r="W8" s="12"/>
      <c r="X8" s="12">
        <v>425587.37555555016</v>
      </c>
      <c r="Y8" s="12"/>
      <c r="Z8" s="13">
        <f>SUM(C8,D8,F8,H8,J8,L8,N8,P8,R8,T8,V8,X8)</f>
        <v>4688391.4134444324</v>
      </c>
      <c r="AA8" s="14">
        <f>SUM(C8,E8,G8,I8,K8,M8,O8,Q8,S8,U8,W8,Y8)</f>
        <v>434197.11</v>
      </c>
      <c r="AE8" s="9">
        <v>2010</v>
      </c>
      <c r="AF8" s="15">
        <v>2181</v>
      </c>
      <c r="AG8" s="15">
        <v>2175</v>
      </c>
      <c r="AH8" s="15">
        <v>2051</v>
      </c>
      <c r="AI8" s="15">
        <v>1899</v>
      </c>
      <c r="AJ8" s="15">
        <v>2051</v>
      </c>
      <c r="AK8" s="15">
        <v>2488</v>
      </c>
      <c r="AL8" s="15">
        <v>2629</v>
      </c>
      <c r="AM8" s="15">
        <v>2604</v>
      </c>
      <c r="AN8" s="15">
        <v>2443</v>
      </c>
      <c r="AO8" s="15">
        <v>2158</v>
      </c>
      <c r="AP8" s="15">
        <v>2117</v>
      </c>
      <c r="AQ8" s="15">
        <v>2218</v>
      </c>
      <c r="AR8" s="5" t="s">
        <v>89</v>
      </c>
    </row>
    <row r="9" spans="1:44" x14ac:dyDescent="0.2">
      <c r="A9" s="5" t="s">
        <v>69</v>
      </c>
      <c r="B9" s="12">
        <v>11080.57</v>
      </c>
      <c r="C9" s="12">
        <v>11080.57</v>
      </c>
      <c r="D9" s="12">
        <v>11080.57</v>
      </c>
      <c r="E9" s="12"/>
      <c r="F9" s="12">
        <v>11080.57</v>
      </c>
      <c r="G9" s="12"/>
      <c r="H9" s="12">
        <v>11080.57</v>
      </c>
      <c r="I9" s="12"/>
      <c r="J9" s="12">
        <v>11080.57</v>
      </c>
      <c r="K9" s="12"/>
      <c r="L9" s="12">
        <v>11080.57</v>
      </c>
      <c r="M9" s="12"/>
      <c r="N9" s="12">
        <v>11080.57</v>
      </c>
      <c r="O9" s="12"/>
      <c r="P9" s="12">
        <v>11080.57</v>
      </c>
      <c r="Q9" s="12"/>
      <c r="R9" s="12">
        <v>11080.57</v>
      </c>
      <c r="S9" s="12"/>
      <c r="T9" s="12">
        <v>11080.57</v>
      </c>
      <c r="U9" s="12"/>
      <c r="V9" s="12">
        <v>11080.57</v>
      </c>
      <c r="W9" s="12"/>
      <c r="X9" s="12">
        <v>11080.57</v>
      </c>
      <c r="Y9" s="12"/>
      <c r="Z9" s="13">
        <f>SUM(C9,D9,F9,H9,J9,L9,N9,P9,R9,T9,V9,X9)</f>
        <v>132966.84000000003</v>
      </c>
      <c r="AA9" s="14">
        <f>SUM(C9,E9,G9,I9,K9,M9,O9,Q9,S9,U9,W9,Y9)</f>
        <v>11080.57</v>
      </c>
      <c r="AE9" s="16" t="s">
        <v>90</v>
      </c>
      <c r="AF9" s="17">
        <f>(AF8-AF7)/AF7</f>
        <v>-6.6111383306969876E-2</v>
      </c>
      <c r="AG9" s="17">
        <f t="shared" ref="AG9:AQ9" si="0">(AG8-AG7)/AG7</f>
        <v>-6.4269616892368694E-2</v>
      </c>
      <c r="AH9" s="17">
        <f t="shared" si="0"/>
        <v>-5.4862688748957736E-2</v>
      </c>
      <c r="AI9" s="17">
        <f t="shared" si="0"/>
        <v>-7.6672448017789274E-2</v>
      </c>
      <c r="AJ9" s="17">
        <f t="shared" si="0"/>
        <v>-8.3791739764508946E-2</v>
      </c>
      <c r="AK9" s="17">
        <f t="shared" si="0"/>
        <v>-0.10369288572581534</v>
      </c>
      <c r="AL9" s="17">
        <f t="shared" si="0"/>
        <v>-6.8060971286777738E-2</v>
      </c>
      <c r="AM9" s="17">
        <f t="shared" si="0"/>
        <v>-3.6982248520710061E-2</v>
      </c>
      <c r="AN9" s="17">
        <f t="shared" si="0"/>
        <v>-1.2929292929292929E-2</v>
      </c>
      <c r="AO9" s="17">
        <f t="shared" si="0"/>
        <v>-1.7751479289940829E-2</v>
      </c>
      <c r="AP9" s="17">
        <f t="shared" si="0"/>
        <v>-1.1209715086408221E-2</v>
      </c>
      <c r="AQ9" s="17">
        <f t="shared" si="0"/>
        <v>-1.3345195729537367E-2</v>
      </c>
    </row>
    <row r="10" spans="1:44" x14ac:dyDescent="0.2">
      <c r="A10" s="5" t="s">
        <v>70</v>
      </c>
      <c r="B10" s="18">
        <v>8442.0400000000009</v>
      </c>
      <c r="C10" s="18">
        <v>8442.0400000000009</v>
      </c>
      <c r="D10" s="18">
        <v>8442.0400000000009</v>
      </c>
      <c r="E10" s="18"/>
      <c r="F10" s="18">
        <v>8442.0400000000009</v>
      </c>
      <c r="G10" s="18"/>
      <c r="H10" s="18">
        <v>8442.0400000000009</v>
      </c>
      <c r="I10" s="18"/>
      <c r="J10" s="18">
        <v>8442.0400000000009</v>
      </c>
      <c r="K10" s="18"/>
      <c r="L10" s="18">
        <v>8442.0400000000009</v>
      </c>
      <c r="M10" s="18"/>
      <c r="N10" s="18">
        <v>8442.0400000000009</v>
      </c>
      <c r="O10" s="18"/>
      <c r="P10" s="18">
        <v>8442.0400000000009</v>
      </c>
      <c r="Q10" s="18"/>
      <c r="R10" s="18">
        <v>8442.0400000000009</v>
      </c>
      <c r="S10" s="18"/>
      <c r="T10" s="18">
        <v>8442.0400000000009</v>
      </c>
      <c r="U10" s="18"/>
      <c r="V10" s="18">
        <v>8442.0400000000009</v>
      </c>
      <c r="W10" s="18"/>
      <c r="X10" s="18">
        <v>8442.0400000000009</v>
      </c>
      <c r="Y10" s="18"/>
      <c r="Z10" s="13">
        <f>SUM(C10,D10,F10,H10,J10,L10,N10,P10,R10,T10,V10,X10)</f>
        <v>101304.48000000004</v>
      </c>
      <c r="AA10" s="14">
        <f>SUM(C10,E10,G10,I10,K10,M10,O10,Q10,S10,U10,W10,Y10)</f>
        <v>8442.0400000000009</v>
      </c>
      <c r="AE10" s="16" t="s">
        <v>91</v>
      </c>
      <c r="AF10" s="17">
        <f>1+AF9</f>
        <v>0.93388861669303014</v>
      </c>
      <c r="AG10" s="17">
        <f t="shared" ref="AG10:AQ10" si="1">1+AG9</f>
        <v>0.93573038310763135</v>
      </c>
      <c r="AH10" s="17">
        <f t="shared" si="1"/>
        <v>0.94513731125104228</v>
      </c>
      <c r="AI10" s="17">
        <f t="shared" si="1"/>
        <v>0.92332755198221073</v>
      </c>
      <c r="AJ10" s="17">
        <f t="shared" si="1"/>
        <v>0.91620826023549107</v>
      </c>
      <c r="AK10" s="17">
        <f t="shared" si="1"/>
        <v>0.89630711427418464</v>
      </c>
      <c r="AL10" s="17">
        <f t="shared" si="1"/>
        <v>0.93193902871322232</v>
      </c>
      <c r="AM10" s="17">
        <f t="shared" si="1"/>
        <v>0.96301775147928992</v>
      </c>
      <c r="AN10" s="17">
        <f t="shared" si="1"/>
        <v>0.9870707070707071</v>
      </c>
      <c r="AO10" s="17">
        <f t="shared" si="1"/>
        <v>0.98224852071005919</v>
      </c>
      <c r="AP10" s="17">
        <f t="shared" si="1"/>
        <v>0.98879028491359178</v>
      </c>
      <c r="AQ10" s="17">
        <f t="shared" si="1"/>
        <v>0.98665480427046259</v>
      </c>
    </row>
    <row r="11" spans="1:44" x14ac:dyDescent="0.2">
      <c r="A11" s="5" t="s">
        <v>71</v>
      </c>
      <c r="B11" s="14">
        <f>SUM(B8:B10)</f>
        <v>390527.98876069958</v>
      </c>
      <c r="C11" s="14">
        <f t="shared" ref="C11:AA11" si="2">SUM(C8:C10)</f>
        <v>453719.72</v>
      </c>
      <c r="D11" s="14">
        <f t="shared" si="2"/>
        <v>406646.60888595157</v>
      </c>
      <c r="E11" s="14">
        <f t="shared" si="2"/>
        <v>0</v>
      </c>
      <c r="F11" s="14">
        <f t="shared" si="2"/>
        <v>417520.87690512516</v>
      </c>
      <c r="G11" s="14">
        <f t="shared" si="2"/>
        <v>0</v>
      </c>
      <c r="H11" s="14">
        <f t="shared" si="2"/>
        <v>333319.17185136222</v>
      </c>
      <c r="I11" s="14">
        <f t="shared" si="2"/>
        <v>0</v>
      </c>
      <c r="J11" s="14">
        <f t="shared" si="2"/>
        <v>337874.74555924535</v>
      </c>
      <c r="K11" s="14">
        <f t="shared" si="2"/>
        <v>0</v>
      </c>
      <c r="L11" s="14">
        <f t="shared" si="2"/>
        <v>453493.8996679319</v>
      </c>
      <c r="M11" s="14">
        <f t="shared" si="2"/>
        <v>0</v>
      </c>
      <c r="N11" s="14">
        <f t="shared" si="2"/>
        <v>448039.35867068416</v>
      </c>
      <c r="O11" s="14">
        <f t="shared" si="2"/>
        <v>0</v>
      </c>
      <c r="P11" s="14">
        <f t="shared" si="2"/>
        <v>420134.00604891818</v>
      </c>
      <c r="Q11" s="14">
        <f t="shared" si="2"/>
        <v>0</v>
      </c>
      <c r="R11" s="14">
        <f t="shared" si="2"/>
        <v>420637.54616161616</v>
      </c>
      <c r="S11" s="14">
        <f t="shared" si="2"/>
        <v>0</v>
      </c>
      <c r="T11" s="14">
        <f t="shared" si="2"/>
        <v>382305.78833333333</v>
      </c>
      <c r="U11" s="14">
        <f t="shared" si="2"/>
        <v>0</v>
      </c>
      <c r="V11" s="14">
        <f t="shared" si="2"/>
        <v>403861.02580471465</v>
      </c>
      <c r="W11" s="14">
        <f t="shared" si="2"/>
        <v>0</v>
      </c>
      <c r="X11" s="14">
        <f t="shared" si="2"/>
        <v>445109.98555555014</v>
      </c>
      <c r="Y11" s="14">
        <f t="shared" si="2"/>
        <v>0</v>
      </c>
      <c r="Z11" s="14">
        <f t="shared" si="2"/>
        <v>4922662.7334444327</v>
      </c>
      <c r="AA11" s="14">
        <f t="shared" si="2"/>
        <v>453719.72</v>
      </c>
    </row>
    <row r="12" spans="1:44" x14ac:dyDescent="0.2">
      <c r="B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"/>
      <c r="AA12" s="4"/>
    </row>
    <row r="13" spans="1:44" x14ac:dyDescent="0.2">
      <c r="A13" s="5" t="s">
        <v>72</v>
      </c>
      <c r="B13" s="7"/>
      <c r="Z13" s="4"/>
      <c r="AA13" s="4"/>
    </row>
    <row r="14" spans="1:44" x14ac:dyDescent="0.2">
      <c r="A14" s="5" t="s">
        <v>73</v>
      </c>
      <c r="B14" s="7"/>
      <c r="Z14" s="4"/>
      <c r="AA14" s="4"/>
    </row>
    <row r="15" spans="1:44" x14ac:dyDescent="0.2">
      <c r="A15" s="5" t="s">
        <v>74</v>
      </c>
      <c r="B15" s="7"/>
      <c r="Z15" s="4"/>
      <c r="AA15" s="4"/>
    </row>
    <row r="16" spans="1:44" x14ac:dyDescent="0.2">
      <c r="A16" s="5" t="s">
        <v>75</v>
      </c>
      <c r="B16" s="7"/>
      <c r="Z16" s="4"/>
      <c r="AA16" s="4"/>
    </row>
    <row r="17" spans="1:27" x14ac:dyDescent="0.2">
      <c r="A17" s="5" t="s">
        <v>76</v>
      </c>
      <c r="B17" s="7"/>
      <c r="Z17" s="4"/>
      <c r="AA17" s="4"/>
    </row>
  </sheetData>
  <mergeCells count="14">
    <mergeCell ref="T6:U6"/>
    <mergeCell ref="V6:W6"/>
    <mergeCell ref="X6:Y6"/>
    <mergeCell ref="Z6:AA6"/>
    <mergeCell ref="C5:AA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honeticPr fontId="3" type="noConversion"/>
  <pageMargins left="0.75" right="0.75" top="1" bottom="1" header="0.5" footer="0.5"/>
  <pageSetup scale="49" fitToHeight="2" orientation="landscape" verticalDpi="0" r:id="rId1"/>
  <headerFooter alignWithMargins="0">
    <oddHeader>&amp;CInterstate Power and Light&amp;RWorkpaper I-2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8"/>
  <sheetViews>
    <sheetView workbookViewId="0">
      <selection sqref="A1:A65536"/>
    </sheetView>
  </sheetViews>
  <sheetFormatPr defaultColWidth="9.140625" defaultRowHeight="12.75" x14ac:dyDescent="0.2"/>
  <cols>
    <col min="1" max="1" width="9.140625" style="65"/>
    <col min="2" max="2" width="9.140625" style="34"/>
    <col min="3" max="3" width="30.28515625" style="34" customWidth="1"/>
    <col min="4" max="9" width="11.28515625" style="34" bestFit="1" customWidth="1"/>
    <col min="10" max="11" width="11.85546875" style="34" bestFit="1" customWidth="1"/>
    <col min="12" max="12" width="13.5703125" style="34" customWidth="1"/>
    <col min="13" max="13" width="11.140625" style="34" bestFit="1" customWidth="1"/>
    <col min="14" max="14" width="16.85546875" style="34" bestFit="1" customWidth="1"/>
    <col min="15" max="15" width="11.28515625" style="34" bestFit="1" customWidth="1"/>
    <col min="16" max="16" width="13.42578125" style="34" bestFit="1" customWidth="1"/>
    <col min="17" max="17" width="9.140625" style="34"/>
    <col min="18" max="18" width="16" style="34" bestFit="1" customWidth="1"/>
    <col min="19" max="19" width="9.140625" style="34"/>
    <col min="20" max="20" width="12.28515625" style="34" bestFit="1" customWidth="1"/>
    <col min="21" max="16384" width="9.140625" style="34"/>
  </cols>
  <sheetData>
    <row r="1" spans="1:18" s="22" customFormat="1" x14ac:dyDescent="0.2">
      <c r="A1" s="23"/>
      <c r="B1" s="22" t="s">
        <v>2</v>
      </c>
    </row>
    <row r="3" spans="1:18" s="22" customFormat="1" x14ac:dyDescent="0.2">
      <c r="A3" s="23"/>
      <c r="D3" s="23" t="s">
        <v>3</v>
      </c>
      <c r="E3" s="23" t="s">
        <v>3</v>
      </c>
      <c r="F3" s="23" t="s">
        <v>3</v>
      </c>
      <c r="G3" s="23" t="s">
        <v>3</v>
      </c>
      <c r="H3" s="23" t="s">
        <v>3</v>
      </c>
      <c r="I3" s="23" t="s">
        <v>3</v>
      </c>
      <c r="J3" s="23" t="s">
        <v>3</v>
      </c>
      <c r="K3" s="23" t="s">
        <v>3</v>
      </c>
      <c r="L3" s="23" t="s">
        <v>3</v>
      </c>
      <c r="M3" s="23" t="s">
        <v>3</v>
      </c>
      <c r="N3" s="23" t="s">
        <v>3</v>
      </c>
      <c r="O3" s="23" t="s">
        <v>3</v>
      </c>
    </row>
    <row r="4" spans="1:18" s="3" customFormat="1" x14ac:dyDescent="0.2">
      <c r="A4" s="23" t="s">
        <v>4</v>
      </c>
      <c r="B4" s="22" t="s">
        <v>5</v>
      </c>
      <c r="C4" s="22"/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1" t="s">
        <v>0</v>
      </c>
      <c r="R4" s="20" t="s">
        <v>67</v>
      </c>
    </row>
    <row r="5" spans="1:18" s="3" customFormat="1" x14ac:dyDescent="0.2">
      <c r="A5" s="64"/>
      <c r="B5" s="3" t="s">
        <v>48</v>
      </c>
    </row>
    <row r="6" spans="1:18" s="3" customFormat="1" x14ac:dyDescent="0.2">
      <c r="A6" s="64">
        <v>1</v>
      </c>
      <c r="B6" s="3" t="s">
        <v>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>
        <v>0</v>
      </c>
    </row>
    <row r="7" spans="1:18" s="3" customFormat="1" x14ac:dyDescent="0.2">
      <c r="A7" s="64">
        <v>2</v>
      </c>
      <c r="B7" s="3" t="s">
        <v>19</v>
      </c>
      <c r="D7" s="24">
        <v>9500</v>
      </c>
      <c r="E7" s="24">
        <v>9500</v>
      </c>
      <c r="F7" s="24">
        <v>9500</v>
      </c>
      <c r="G7" s="24">
        <v>9500</v>
      </c>
      <c r="H7" s="24">
        <v>9785</v>
      </c>
      <c r="I7" s="24">
        <v>9785</v>
      </c>
      <c r="J7" s="24">
        <v>9785</v>
      </c>
      <c r="K7" s="24">
        <v>9785</v>
      </c>
      <c r="L7" s="24">
        <v>9785</v>
      </c>
      <c r="M7" s="24">
        <v>9785</v>
      </c>
      <c r="N7" s="24">
        <v>9785</v>
      </c>
      <c r="O7" s="24">
        <v>9785</v>
      </c>
      <c r="P7" s="24">
        <f>SUM(D7:O7)</f>
        <v>116280</v>
      </c>
    </row>
    <row r="8" spans="1:18" s="3" customFormat="1" x14ac:dyDescent="0.2">
      <c r="A8" s="64">
        <v>3</v>
      </c>
      <c r="B8" s="3" t="s">
        <v>20</v>
      </c>
      <c r="D8" s="24">
        <f>SUM(D6:D7)</f>
        <v>9500</v>
      </c>
      <c r="E8" s="24">
        <f t="shared" ref="E8:O8" si="0">SUM(E6:E7)</f>
        <v>9500</v>
      </c>
      <c r="F8" s="24">
        <f t="shared" si="0"/>
        <v>9500</v>
      </c>
      <c r="G8" s="24">
        <f t="shared" si="0"/>
        <v>9500</v>
      </c>
      <c r="H8" s="24">
        <f t="shared" si="0"/>
        <v>9785</v>
      </c>
      <c r="I8" s="24">
        <f t="shared" si="0"/>
        <v>9785</v>
      </c>
      <c r="J8" s="24">
        <f t="shared" si="0"/>
        <v>9785</v>
      </c>
      <c r="K8" s="24">
        <f t="shared" si="0"/>
        <v>9785</v>
      </c>
      <c r="L8" s="24">
        <f t="shared" si="0"/>
        <v>9785</v>
      </c>
      <c r="M8" s="24">
        <f t="shared" si="0"/>
        <v>9785</v>
      </c>
      <c r="N8" s="24">
        <f t="shared" si="0"/>
        <v>9785</v>
      </c>
      <c r="O8" s="24">
        <f t="shared" si="0"/>
        <v>9785</v>
      </c>
      <c r="P8" s="24">
        <f>SUM(D8:O8)</f>
        <v>116280</v>
      </c>
    </row>
    <row r="9" spans="1:18" s="3" customFormat="1" x14ac:dyDescent="0.2">
      <c r="A9" s="64"/>
      <c r="E9" s="25"/>
      <c r="F9" s="25"/>
      <c r="G9" s="25"/>
      <c r="H9" s="26"/>
      <c r="K9" s="27"/>
      <c r="N9" s="27"/>
    </row>
    <row r="10" spans="1:18" s="3" customFormat="1" x14ac:dyDescent="0.2">
      <c r="A10" s="64"/>
      <c r="B10" s="3" t="s">
        <v>21</v>
      </c>
      <c r="E10" s="25"/>
      <c r="F10" s="25"/>
      <c r="G10" s="25"/>
      <c r="H10" s="26"/>
      <c r="K10" s="27"/>
      <c r="L10" s="28"/>
      <c r="N10" s="27"/>
    </row>
    <row r="11" spans="1:18" s="3" customFormat="1" x14ac:dyDescent="0.2">
      <c r="A11" s="64">
        <v>4</v>
      </c>
      <c r="B11" s="3" t="s">
        <v>22</v>
      </c>
      <c r="D11" s="24">
        <v>254494.68</v>
      </c>
      <c r="E11" s="24"/>
      <c r="F11" s="24">
        <v>229439.26</v>
      </c>
      <c r="G11" s="24">
        <v>181741.33</v>
      </c>
      <c r="H11" s="24">
        <v>321340.92</v>
      </c>
      <c r="I11" s="24">
        <v>124890</v>
      </c>
      <c r="J11" s="24">
        <v>214723.23</v>
      </c>
      <c r="K11" s="24">
        <v>162534.42000000001</v>
      </c>
      <c r="L11" s="24">
        <v>194396.79</v>
      </c>
      <c r="M11" s="24">
        <v>138851.97</v>
      </c>
      <c r="N11" s="24">
        <v>161972.31</v>
      </c>
      <c r="O11" s="24">
        <v>206675.47</v>
      </c>
      <c r="P11" s="24">
        <f t="shared" ref="P11:P16" si="1">SUM(D11:O11)</f>
        <v>2191060.38</v>
      </c>
    </row>
    <row r="12" spans="1:18" s="3" customFormat="1" x14ac:dyDescent="0.2">
      <c r="A12" s="64">
        <v>5</v>
      </c>
      <c r="B12" s="3" t="s">
        <v>23</v>
      </c>
      <c r="D12" s="24">
        <v>-54181.22</v>
      </c>
      <c r="E12" s="24">
        <v>-48494.98</v>
      </c>
      <c r="F12" s="24">
        <v>-36643.68</v>
      </c>
      <c r="G12" s="24">
        <v>-33400.82</v>
      </c>
      <c r="H12" s="24">
        <v>-32509.58</v>
      </c>
      <c r="I12" s="24">
        <v>-23246.15</v>
      </c>
      <c r="J12" s="24">
        <v>-31225.17</v>
      </c>
      <c r="K12" s="24">
        <v>-18240.060000000001</v>
      </c>
      <c r="L12" s="24">
        <v>133998.07</v>
      </c>
      <c r="M12" s="24">
        <v>-23285.71</v>
      </c>
      <c r="N12" s="24">
        <v>-19183.53</v>
      </c>
      <c r="O12" s="24">
        <v>-36100.050000000003</v>
      </c>
      <c r="P12" s="24">
        <f t="shared" si="1"/>
        <v>-222512.88</v>
      </c>
    </row>
    <row r="13" spans="1:18" s="3" customFormat="1" x14ac:dyDescent="0.2">
      <c r="A13" s="64">
        <v>6</v>
      </c>
      <c r="B13" s="3" t="s">
        <v>24</v>
      </c>
      <c r="D13" s="24">
        <v>136055.32</v>
      </c>
      <c r="E13" s="24">
        <v>521</v>
      </c>
      <c r="F13" s="24">
        <v>521</v>
      </c>
      <c r="G13" s="24">
        <v>521</v>
      </c>
      <c r="H13" s="24">
        <v>521</v>
      </c>
      <c r="I13" s="24">
        <v>521</v>
      </c>
      <c r="J13" s="24">
        <v>521</v>
      </c>
      <c r="K13" s="24">
        <v>521</v>
      </c>
      <c r="L13" s="24">
        <v>521</v>
      </c>
      <c r="M13" s="24">
        <v>521</v>
      </c>
      <c r="N13" s="24">
        <v>521</v>
      </c>
      <c r="O13" s="24">
        <v>521</v>
      </c>
      <c r="P13" s="24">
        <f t="shared" si="1"/>
        <v>141786.32</v>
      </c>
    </row>
    <row r="14" spans="1:18" s="3" customFormat="1" x14ac:dyDescent="0.2">
      <c r="A14" s="64">
        <v>7</v>
      </c>
      <c r="B14" s="3" t="s">
        <v>25</v>
      </c>
      <c r="D14" s="24">
        <v>3236.06</v>
      </c>
      <c r="E14" s="24">
        <v>2950</v>
      </c>
      <c r="F14" s="24">
        <v>2747.04</v>
      </c>
      <c r="G14" s="24">
        <v>2879.2</v>
      </c>
      <c r="H14" s="24">
        <v>2496.88</v>
      </c>
      <c r="I14" s="24">
        <v>2232.56</v>
      </c>
      <c r="J14" s="24">
        <v>2647.92</v>
      </c>
      <c r="K14" s="24">
        <v>2747.04</v>
      </c>
      <c r="L14" s="24">
        <v>3372.44</v>
      </c>
      <c r="M14" s="24">
        <v>2414.2800000000002</v>
      </c>
      <c r="N14" s="24">
        <v>3587.2</v>
      </c>
      <c r="O14" s="24">
        <v>4377.8</v>
      </c>
      <c r="P14" s="24">
        <f t="shared" si="1"/>
        <v>35688.420000000006</v>
      </c>
    </row>
    <row r="15" spans="1:18" s="3" customFormat="1" x14ac:dyDescent="0.2">
      <c r="A15" s="64">
        <v>8</v>
      </c>
      <c r="B15" s="3" t="s">
        <v>26</v>
      </c>
      <c r="D15" s="24">
        <v>41177.9</v>
      </c>
      <c r="E15" s="24">
        <v>32203.46</v>
      </c>
      <c r="F15" s="24">
        <v>33712.06</v>
      </c>
      <c r="G15" s="24">
        <v>38722.49</v>
      </c>
      <c r="H15" s="24">
        <v>34694.68</v>
      </c>
      <c r="I15" s="24">
        <v>34694.68</v>
      </c>
      <c r="J15" s="24">
        <v>41285.29</v>
      </c>
      <c r="K15" s="24">
        <v>35558.879999999997</v>
      </c>
      <c r="L15" s="24">
        <v>29541.51</v>
      </c>
      <c r="M15" s="24">
        <v>34365.629999999997</v>
      </c>
      <c r="N15" s="24">
        <v>46324.92</v>
      </c>
      <c r="O15" s="24">
        <v>54668.06</v>
      </c>
      <c r="P15" s="24">
        <f t="shared" si="1"/>
        <v>456949.56</v>
      </c>
    </row>
    <row r="16" spans="1:18" s="3" customFormat="1" x14ac:dyDescent="0.2">
      <c r="A16" s="64">
        <v>9</v>
      </c>
      <c r="B16" s="3" t="s">
        <v>27</v>
      </c>
      <c r="D16" s="24">
        <f>SUM(D11:D15)</f>
        <v>380782.74000000005</v>
      </c>
      <c r="E16" s="24">
        <f t="shared" ref="E16:O16" si="2">SUM(E11:E15)</f>
        <v>-12820.520000000004</v>
      </c>
      <c r="F16" s="24">
        <f t="shared" si="2"/>
        <v>229775.68000000002</v>
      </c>
      <c r="G16" s="24">
        <f t="shared" si="2"/>
        <v>190463.19999999998</v>
      </c>
      <c r="H16" s="24">
        <f t="shared" si="2"/>
        <v>326543.89999999997</v>
      </c>
      <c r="I16" s="24">
        <f t="shared" si="2"/>
        <v>139092.09</v>
      </c>
      <c r="J16" s="24">
        <f t="shared" si="2"/>
        <v>227952.27000000002</v>
      </c>
      <c r="K16" s="24">
        <f t="shared" si="2"/>
        <v>183121.28000000003</v>
      </c>
      <c r="L16" s="24">
        <f t="shared" si="2"/>
        <v>361829.81</v>
      </c>
      <c r="M16" s="24">
        <f t="shared" si="2"/>
        <v>152867.17000000001</v>
      </c>
      <c r="N16" s="24">
        <f t="shared" si="2"/>
        <v>193221.90000000002</v>
      </c>
      <c r="O16" s="24">
        <f t="shared" si="2"/>
        <v>230142.27999999997</v>
      </c>
      <c r="P16" s="24">
        <f t="shared" si="1"/>
        <v>2602971.7999999998</v>
      </c>
    </row>
    <row r="17" spans="1:16" s="3" customFormat="1" x14ac:dyDescent="0.2">
      <c r="A17" s="6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6" s="3" customFormat="1" x14ac:dyDescent="0.2">
      <c r="A18" s="64"/>
      <c r="B18" s="3" t="s">
        <v>28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6" s="3" customFormat="1" x14ac:dyDescent="0.2">
      <c r="A19" s="64">
        <v>9</v>
      </c>
      <c r="B19" s="3" t="s">
        <v>29</v>
      </c>
      <c r="D19" s="24">
        <v>40000</v>
      </c>
      <c r="E19" s="24">
        <v>40000</v>
      </c>
      <c r="F19" s="24">
        <v>40000</v>
      </c>
      <c r="G19" s="24">
        <v>40000</v>
      </c>
      <c r="H19" s="24">
        <v>40000</v>
      </c>
      <c r="I19" s="24">
        <v>40000</v>
      </c>
      <c r="J19" s="24">
        <v>40000</v>
      </c>
      <c r="K19" s="24">
        <v>40000</v>
      </c>
      <c r="L19" s="24">
        <v>40000</v>
      </c>
      <c r="M19" s="24">
        <v>40000</v>
      </c>
      <c r="N19" s="24">
        <v>40000</v>
      </c>
      <c r="O19" s="24">
        <v>40000</v>
      </c>
      <c r="P19" s="24">
        <f>SUM(D19:O19)</f>
        <v>480000</v>
      </c>
    </row>
    <row r="20" spans="1:16" s="3" customFormat="1" x14ac:dyDescent="0.2">
      <c r="A20" s="64">
        <v>10</v>
      </c>
      <c r="B20" s="3" t="s">
        <v>30</v>
      </c>
      <c r="D20" s="24">
        <v>40000</v>
      </c>
      <c r="E20" s="24">
        <v>40000</v>
      </c>
      <c r="F20" s="24">
        <v>40000</v>
      </c>
      <c r="G20" s="24">
        <v>40000</v>
      </c>
      <c r="H20" s="24">
        <v>40000</v>
      </c>
      <c r="I20" s="24">
        <v>40000</v>
      </c>
      <c r="J20" s="24">
        <v>40000</v>
      </c>
      <c r="K20" s="24">
        <v>40000</v>
      </c>
      <c r="L20" s="24">
        <v>40000</v>
      </c>
      <c r="M20" s="24">
        <v>40000</v>
      </c>
      <c r="N20" s="24">
        <v>40000</v>
      </c>
      <c r="O20" s="24">
        <v>40000</v>
      </c>
      <c r="P20" s="24">
        <f>SUM(D20:O20)</f>
        <v>480000</v>
      </c>
    </row>
    <row r="21" spans="1:16" s="3" customFormat="1" x14ac:dyDescent="0.2">
      <c r="A21" s="64"/>
      <c r="K21" s="27"/>
      <c r="L21" s="28"/>
      <c r="N21" s="27"/>
      <c r="P21" s="25"/>
    </row>
    <row r="22" spans="1:16" s="3" customFormat="1" x14ac:dyDescent="0.2">
      <c r="A22" s="64"/>
      <c r="G22" s="25"/>
      <c r="H22" s="29"/>
    </row>
    <row r="23" spans="1:16" s="3" customFormat="1" x14ac:dyDescent="0.2">
      <c r="A23" s="64">
        <v>11</v>
      </c>
      <c r="B23" s="3" t="s">
        <v>31</v>
      </c>
      <c r="D23" s="24">
        <f>+D20+D16+D8</f>
        <v>430282.74000000005</v>
      </c>
      <c r="E23" s="24">
        <f>+E20+E16+E8</f>
        <v>36679.479999999996</v>
      </c>
      <c r="F23" s="24">
        <f t="shared" ref="F23:O23" si="3">+F20+F16+F8</f>
        <v>279275.68000000005</v>
      </c>
      <c r="G23" s="24">
        <f t="shared" si="3"/>
        <v>239963.19999999998</v>
      </c>
      <c r="H23" s="24">
        <f t="shared" si="3"/>
        <v>376328.89999999997</v>
      </c>
      <c r="I23" s="24">
        <f t="shared" si="3"/>
        <v>188877.09</v>
      </c>
      <c r="J23" s="24">
        <f t="shared" si="3"/>
        <v>277737.27</v>
      </c>
      <c r="K23" s="24">
        <f t="shared" si="3"/>
        <v>232906.28000000003</v>
      </c>
      <c r="L23" s="24">
        <f t="shared" si="3"/>
        <v>411614.81</v>
      </c>
      <c r="M23" s="24">
        <f t="shared" si="3"/>
        <v>202652.17</v>
      </c>
      <c r="N23" s="24">
        <f t="shared" si="3"/>
        <v>243006.90000000002</v>
      </c>
      <c r="O23" s="24">
        <f t="shared" si="3"/>
        <v>279927.27999999997</v>
      </c>
      <c r="P23" s="24">
        <f>SUM(D23:O23)</f>
        <v>3199251.8</v>
      </c>
    </row>
    <row r="24" spans="1:16" s="3" customFormat="1" x14ac:dyDescent="0.2">
      <c r="A24" s="6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3" customFormat="1" x14ac:dyDescent="0.2">
      <c r="A25" s="64" t="s">
        <v>1</v>
      </c>
      <c r="B25" s="3" t="s">
        <v>32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3" customFormat="1" x14ac:dyDescent="0.2">
      <c r="A26" s="64">
        <v>12</v>
      </c>
      <c r="B26" s="3" t="s">
        <v>33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>
        <v>0</v>
      </c>
    </row>
    <row r="27" spans="1:16" s="3" customFormat="1" x14ac:dyDescent="0.2">
      <c r="A27" s="64">
        <v>13</v>
      </c>
      <c r="B27" s="3" t="s">
        <v>34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0</v>
      </c>
    </row>
    <row r="28" spans="1:16" s="3" customFormat="1" x14ac:dyDescent="0.2">
      <c r="A28" s="6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s="3" customFormat="1" x14ac:dyDescent="0.2">
      <c r="A29" s="64">
        <v>14</v>
      </c>
      <c r="B29" s="3" t="s">
        <v>35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v>0</v>
      </c>
    </row>
    <row r="30" spans="1:16" s="3" customFormat="1" x14ac:dyDescent="0.2">
      <c r="A30" s="6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3" customFormat="1" x14ac:dyDescent="0.2">
      <c r="A31" s="64">
        <v>15</v>
      </c>
      <c r="B31" s="3" t="s">
        <v>50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v>0</v>
      </c>
    </row>
    <row r="32" spans="1:16" s="3" customFormat="1" x14ac:dyDescent="0.2">
      <c r="A32" s="6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20" s="3" customFormat="1" x14ac:dyDescent="0.2">
      <c r="A33" s="64"/>
      <c r="B33" s="3" t="s">
        <v>36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20" s="3" customFormat="1" x14ac:dyDescent="0.2">
      <c r="A34" s="64">
        <v>16</v>
      </c>
      <c r="B34" s="3" t="s">
        <v>37</v>
      </c>
      <c r="D34" s="27">
        <v>131383.30957774378</v>
      </c>
      <c r="E34" s="27">
        <v>118090.26971858219</v>
      </c>
      <c r="F34" s="27">
        <v>123379.59213270328</v>
      </c>
      <c r="G34" s="27">
        <v>110816.26357615352</v>
      </c>
      <c r="H34" s="27">
        <v>123779.37665663772</v>
      </c>
      <c r="I34" s="27">
        <v>147157.55887583486</v>
      </c>
      <c r="J34" s="27">
        <v>160188.03135356682</v>
      </c>
      <c r="K34" s="27">
        <v>158945.88824487085</v>
      </c>
      <c r="L34" s="27">
        <v>142348.42195599561</v>
      </c>
      <c r="M34" s="27">
        <v>130196.67412385799</v>
      </c>
      <c r="N34" s="27">
        <v>123452.06921522897</v>
      </c>
      <c r="O34" s="27">
        <v>133670.02442274726</v>
      </c>
      <c r="P34" s="27">
        <v>1603407.479853923</v>
      </c>
      <c r="R34" s="50"/>
      <c r="T34" s="27"/>
    </row>
    <row r="35" spans="1:20" s="3" customFormat="1" x14ac:dyDescent="0.2">
      <c r="A35" s="64">
        <v>17</v>
      </c>
      <c r="B35" s="3" t="s">
        <v>38</v>
      </c>
      <c r="D35" s="27">
        <v>316073.65709195822</v>
      </c>
      <c r="E35" s="27">
        <v>284094.10249207838</v>
      </c>
      <c r="F35" s="27">
        <v>296818.81984272826</v>
      </c>
      <c r="G35" s="27">
        <v>266594.75854545372</v>
      </c>
      <c r="H35" s="27">
        <v>297780.59616678976</v>
      </c>
      <c r="I35" s="27">
        <v>354022.3484405927</v>
      </c>
      <c r="J35" s="27">
        <v>385370.23503980914</v>
      </c>
      <c r="K35" s="27">
        <v>382381.96570591186</v>
      </c>
      <c r="L35" s="27">
        <v>342452.83098365815</v>
      </c>
      <c r="M35" s="27">
        <v>313218.92456352594</v>
      </c>
      <c r="N35" s="27">
        <v>296993.18062419182</v>
      </c>
      <c r="O35" s="27">
        <v>321574.89104709029</v>
      </c>
      <c r="P35" s="27">
        <v>3857376.3105437886</v>
      </c>
      <c r="R35" s="50"/>
      <c r="T35" s="27"/>
    </row>
    <row r="36" spans="1:20" s="3" customFormat="1" x14ac:dyDescent="0.2">
      <c r="A36" s="64">
        <v>18</v>
      </c>
      <c r="B36" s="3" t="s">
        <v>39</v>
      </c>
      <c r="D36" s="27">
        <v>18221522.07</v>
      </c>
      <c r="E36" s="27">
        <v>18221522.07</v>
      </c>
      <c r="F36" s="27">
        <v>18221522.07</v>
      </c>
      <c r="G36" s="27">
        <v>18221522.07</v>
      </c>
      <c r="H36" s="27">
        <v>18221522.07</v>
      </c>
      <c r="I36" s="27">
        <v>18221522.07</v>
      </c>
      <c r="J36" s="27">
        <v>18221522.07</v>
      </c>
      <c r="K36" s="27">
        <v>18221522.07</v>
      </c>
      <c r="L36" s="27">
        <v>18221522.07</v>
      </c>
      <c r="M36" s="27">
        <v>18221522.07</v>
      </c>
      <c r="N36" s="27">
        <v>18221522.07</v>
      </c>
      <c r="O36" s="27">
        <v>18221522.07</v>
      </c>
      <c r="P36" s="24">
        <f>SUM(D36:O36)</f>
        <v>218658264.83999994</v>
      </c>
      <c r="R36" s="50"/>
      <c r="T36" s="27"/>
    </row>
    <row r="37" spans="1:20" s="3" customFormat="1" x14ac:dyDescent="0.2">
      <c r="A37" s="64">
        <v>19</v>
      </c>
      <c r="B37" s="3" t="s">
        <v>40</v>
      </c>
      <c r="D37" s="27">
        <v>235203.16209144739</v>
      </c>
      <c r="E37" s="27">
        <v>212469.16128366621</v>
      </c>
      <c r="F37" s="27">
        <v>220941.5147954938</v>
      </c>
      <c r="G37" s="27">
        <v>200269.72430016659</v>
      </c>
      <c r="H37" s="27">
        <v>213070.20117021521</v>
      </c>
      <c r="I37" s="27">
        <v>241275.13277862821</v>
      </c>
      <c r="J37" s="27">
        <v>273925.67032050737</v>
      </c>
      <c r="K37" s="27">
        <v>272631.63309277646</v>
      </c>
      <c r="L37" s="27">
        <v>238558.65000761952</v>
      </c>
      <c r="M37" s="27">
        <v>226432.0051427102</v>
      </c>
      <c r="N37" s="27">
        <v>218703.69404898383</v>
      </c>
      <c r="O37" s="27">
        <v>239621.81214697711</v>
      </c>
      <c r="P37" s="27">
        <v>2793102.3611791921</v>
      </c>
      <c r="R37" s="50"/>
      <c r="T37" s="27"/>
    </row>
    <row r="38" spans="1:20" s="3" customFormat="1" x14ac:dyDescent="0.2">
      <c r="A38" s="64">
        <v>20</v>
      </c>
      <c r="B38" s="3" t="s">
        <v>41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7">
        <v>0</v>
      </c>
      <c r="R38" s="50"/>
      <c r="T38" s="27"/>
    </row>
    <row r="39" spans="1:20" s="3" customFormat="1" x14ac:dyDescent="0.2">
      <c r="A39" s="64">
        <v>21</v>
      </c>
      <c r="B39" s="3" t="s">
        <v>42</v>
      </c>
      <c r="D39" s="27"/>
      <c r="E39" s="27"/>
      <c r="F39" s="27"/>
      <c r="G39" s="27"/>
      <c r="H39" s="24"/>
      <c r="I39" s="27"/>
      <c r="J39" s="27"/>
      <c r="K39" s="24"/>
      <c r="L39" s="24"/>
      <c r="M39" s="27"/>
      <c r="N39" s="24"/>
      <c r="O39" s="27"/>
      <c r="P39" s="27">
        <v>0</v>
      </c>
      <c r="R39" s="50"/>
      <c r="T39" s="27"/>
    </row>
    <row r="40" spans="1:20" s="3" customFormat="1" x14ac:dyDescent="0.2">
      <c r="A40" s="64">
        <v>22</v>
      </c>
      <c r="B40" s="3" t="s">
        <v>43</v>
      </c>
      <c r="D40" s="27">
        <v>35000</v>
      </c>
      <c r="E40" s="27">
        <v>35000</v>
      </c>
      <c r="F40" s="27">
        <v>35000</v>
      </c>
      <c r="G40" s="27">
        <v>35000</v>
      </c>
      <c r="H40" s="27">
        <v>35000</v>
      </c>
      <c r="I40" s="27">
        <v>35000</v>
      </c>
      <c r="J40" s="27">
        <v>35000</v>
      </c>
      <c r="K40" s="27">
        <v>35000</v>
      </c>
      <c r="L40" s="27">
        <v>35000</v>
      </c>
      <c r="M40" s="27">
        <v>35000</v>
      </c>
      <c r="N40" s="27">
        <v>35000</v>
      </c>
      <c r="O40" s="27">
        <v>35000</v>
      </c>
      <c r="P40" s="27">
        <v>420000</v>
      </c>
      <c r="R40" s="50"/>
      <c r="T40" s="27"/>
    </row>
    <row r="41" spans="1:20" s="3" customFormat="1" x14ac:dyDescent="0.2">
      <c r="A41" s="64">
        <v>23</v>
      </c>
      <c r="B41" s="3" t="s">
        <v>44</v>
      </c>
      <c r="D41" s="27">
        <v>389516.20787573577</v>
      </c>
      <c r="E41" s="27">
        <v>350105.91676857101</v>
      </c>
      <c r="F41" s="27">
        <v>365787.33639182569</v>
      </c>
      <c r="G41" s="27">
        <v>328540.44321055379</v>
      </c>
      <c r="H41" s="27">
        <v>366972.59007610899</v>
      </c>
      <c r="I41" s="27">
        <v>436282.61822440429</v>
      </c>
      <c r="J41" s="27">
        <v>474914.46760213614</v>
      </c>
      <c r="K41" s="27">
        <v>471231.84707070608</v>
      </c>
      <c r="L41" s="27">
        <v>422024.81955734815</v>
      </c>
      <c r="M41" s="27">
        <v>385998.15262492787</v>
      </c>
      <c r="N41" s="27">
        <v>366002.21146563865</v>
      </c>
      <c r="O41" s="27">
        <v>396295.70291039115</v>
      </c>
      <c r="P41" s="27">
        <v>4753672.3137783483</v>
      </c>
      <c r="R41" s="50"/>
      <c r="T41" s="27"/>
    </row>
    <row r="42" spans="1:20" s="3" customFormat="1" ht="15" x14ac:dyDescent="0.35">
      <c r="A42" s="64">
        <v>24</v>
      </c>
      <c r="B42" s="3" t="s">
        <v>45</v>
      </c>
      <c r="D42" s="27">
        <v>86593.091739438954</v>
      </c>
      <c r="E42" s="27">
        <v>77831.815868706937</v>
      </c>
      <c r="F42" s="27">
        <v>81317.941941474448</v>
      </c>
      <c r="G42" s="27">
        <v>73037.609639400107</v>
      </c>
      <c r="H42" s="27">
        <v>81581.43490772965</v>
      </c>
      <c r="I42" s="27">
        <v>96989.701635935009</v>
      </c>
      <c r="J42" s="27">
        <v>105577.92263827476</v>
      </c>
      <c r="K42" s="27">
        <v>104759.24169234246</v>
      </c>
      <c r="L42" s="27">
        <v>93820.059800715899</v>
      </c>
      <c r="M42" s="27">
        <v>85810.995192702161</v>
      </c>
      <c r="N42" s="27">
        <v>81365.710677673327</v>
      </c>
      <c r="O42" s="27">
        <v>88100.236817392331</v>
      </c>
      <c r="P42" s="27">
        <v>1056785.7625517859</v>
      </c>
      <c r="R42" s="51"/>
      <c r="T42" s="27"/>
    </row>
    <row r="43" spans="1:20" s="3" customFormat="1" x14ac:dyDescent="0.2">
      <c r="A43" s="64">
        <v>25</v>
      </c>
      <c r="B43" s="3" t="s">
        <v>46</v>
      </c>
      <c r="D43" s="27">
        <f>SUM(D34:D42)</f>
        <v>19415291.498376325</v>
      </c>
      <c r="E43" s="27">
        <f t="shared" ref="E43:O43" si="4">SUM(E34:E42)</f>
        <v>19299113.336131599</v>
      </c>
      <c r="F43" s="27">
        <f t="shared" si="4"/>
        <v>19344767.275104225</v>
      </c>
      <c r="G43" s="27">
        <f t="shared" si="4"/>
        <v>19235780.869271729</v>
      </c>
      <c r="H43" s="27">
        <f t="shared" si="4"/>
        <v>19339706.268977478</v>
      </c>
      <c r="I43" s="27">
        <f t="shared" si="4"/>
        <v>19532249.429955397</v>
      </c>
      <c r="J43" s="27">
        <f t="shared" si="4"/>
        <v>19656498.396954294</v>
      </c>
      <c r="K43" s="27">
        <f t="shared" si="4"/>
        <v>19646472.645806607</v>
      </c>
      <c r="L43" s="27">
        <f t="shared" si="4"/>
        <v>19495726.852305334</v>
      </c>
      <c r="M43" s="27">
        <f t="shared" si="4"/>
        <v>19398178.821647726</v>
      </c>
      <c r="N43" s="27">
        <f t="shared" si="4"/>
        <v>19343038.936031714</v>
      </c>
      <c r="O43" s="27">
        <f t="shared" si="4"/>
        <v>19435784.737344597</v>
      </c>
      <c r="P43" s="27">
        <f>SUM(D43:O43)</f>
        <v>233142609.06790701</v>
      </c>
      <c r="R43" s="27"/>
    </row>
    <row r="44" spans="1:20" s="3" customFormat="1" x14ac:dyDescent="0.2">
      <c r="A44" s="64"/>
      <c r="G44" s="28"/>
      <c r="H44" s="29"/>
    </row>
    <row r="45" spans="1:20" s="3" customFormat="1" x14ac:dyDescent="0.2">
      <c r="A45" s="64"/>
      <c r="D45" s="27"/>
    </row>
    <row r="46" spans="1:20" s="3" customFormat="1" x14ac:dyDescent="0.2">
      <c r="A46" s="64">
        <v>26</v>
      </c>
      <c r="B46" s="3" t="s">
        <v>47</v>
      </c>
      <c r="D46" s="27">
        <f t="shared" ref="D46:P46" si="5">+D23+D43</f>
        <v>19845574.238376323</v>
      </c>
      <c r="E46" s="27">
        <f t="shared" si="5"/>
        <v>19335792.816131599</v>
      </c>
      <c r="F46" s="27">
        <f t="shared" si="5"/>
        <v>19624042.955104224</v>
      </c>
      <c r="G46" s="27">
        <f t="shared" si="5"/>
        <v>19475744.069271728</v>
      </c>
      <c r="H46" s="27">
        <f t="shared" si="5"/>
        <v>19716035.168977477</v>
      </c>
      <c r="I46" s="27">
        <f t="shared" si="5"/>
        <v>19721126.519955397</v>
      </c>
      <c r="J46" s="27">
        <f t="shared" si="5"/>
        <v>19934235.666954294</v>
      </c>
      <c r="K46" s="27">
        <f t="shared" si="5"/>
        <v>19879378.925806608</v>
      </c>
      <c r="L46" s="27">
        <f t="shared" si="5"/>
        <v>19907341.662305333</v>
      </c>
      <c r="M46" s="27">
        <f t="shared" si="5"/>
        <v>19600830.991647728</v>
      </c>
      <c r="N46" s="27">
        <f t="shared" si="5"/>
        <v>19586045.836031713</v>
      </c>
      <c r="O46" s="27">
        <f t="shared" si="5"/>
        <v>19715712.017344598</v>
      </c>
      <c r="P46" s="27">
        <f t="shared" si="5"/>
        <v>236341860.86790702</v>
      </c>
    </row>
    <row r="47" spans="1:20" s="3" customFormat="1" x14ac:dyDescent="0.2">
      <c r="A47" s="6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20" s="3" customFormat="1" x14ac:dyDescent="0.2">
      <c r="A48" s="6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7"/>
    </row>
    <row r="49" spans="1:18" s="3" customFormat="1" ht="13.5" thickBot="1" x14ac:dyDescent="0.25">
      <c r="A49" s="64"/>
      <c r="D49" s="24"/>
      <c r="E49" s="24"/>
      <c r="F49" s="24"/>
      <c r="G49" s="24"/>
      <c r="H49" s="24"/>
      <c r="I49" s="24"/>
      <c r="J49" s="24"/>
      <c r="K49" s="24"/>
      <c r="P49" s="30"/>
    </row>
    <row r="50" spans="1:18" ht="15.75" x14ac:dyDescent="0.25">
      <c r="D50" s="24"/>
      <c r="E50" s="24"/>
      <c r="F50" s="24"/>
      <c r="G50" s="24"/>
      <c r="H50" s="24"/>
      <c r="I50" s="24"/>
      <c r="J50" s="24"/>
      <c r="K50" s="24"/>
      <c r="L50" s="3"/>
      <c r="M50" s="3"/>
      <c r="N50" s="31" t="s">
        <v>49</v>
      </c>
      <c r="O50" s="32"/>
      <c r="P50" s="33">
        <f>+P46</f>
        <v>236341860.86790702</v>
      </c>
    </row>
    <row r="51" spans="1:18" ht="15.75" x14ac:dyDescent="0.25">
      <c r="D51" s="35"/>
      <c r="E51" s="35"/>
      <c r="F51" s="35"/>
      <c r="G51" s="35"/>
      <c r="H51" s="35"/>
      <c r="I51" s="35"/>
      <c r="J51" s="35"/>
      <c r="K51" s="35"/>
      <c r="N51" s="36" t="s">
        <v>92</v>
      </c>
      <c r="O51" s="37"/>
      <c r="P51" s="38">
        <v>-48822281.240000002</v>
      </c>
    </row>
    <row r="52" spans="1:18" ht="15.75" x14ac:dyDescent="0.25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 t="s">
        <v>93</v>
      </c>
      <c r="O52" s="37"/>
      <c r="P52" s="39">
        <f>SUM(P50:P51)</f>
        <v>187519579.62790701</v>
      </c>
    </row>
    <row r="53" spans="1:18" ht="15.75" x14ac:dyDescent="0.25">
      <c r="E53" s="40"/>
      <c r="I53" s="41"/>
      <c r="N53" s="36" t="s">
        <v>94</v>
      </c>
      <c r="O53" s="37"/>
      <c r="P53" s="39">
        <f>3855804*0.92</f>
        <v>3547339.68</v>
      </c>
    </row>
    <row r="54" spans="1:18" ht="15.75" x14ac:dyDescent="0.25">
      <c r="E54" s="40"/>
      <c r="I54" s="41"/>
      <c r="N54" s="36" t="s">
        <v>95</v>
      </c>
      <c r="O54" s="37"/>
      <c r="P54" s="38">
        <f>2611271*0.92</f>
        <v>2402369.3200000003</v>
      </c>
    </row>
    <row r="55" spans="1:18" ht="16.5" thickBot="1" x14ac:dyDescent="0.3">
      <c r="E55" s="42"/>
      <c r="I55" s="41"/>
      <c r="N55" s="43" t="s">
        <v>96</v>
      </c>
      <c r="O55" s="44"/>
      <c r="P55" s="45">
        <f>SUM(P52:P54)</f>
        <v>193469288.62790701</v>
      </c>
      <c r="R55" s="35">
        <f>+P36+P51</f>
        <v>169835983.59999993</v>
      </c>
    </row>
    <row r="56" spans="1:18" x14ac:dyDescent="0.2">
      <c r="E56" s="46"/>
      <c r="I56" s="41"/>
      <c r="P56" s="35"/>
    </row>
    <row r="57" spans="1:18" x14ac:dyDescent="0.2">
      <c r="I57" s="41"/>
      <c r="P57" s="35"/>
    </row>
    <row r="58" spans="1:18" x14ac:dyDescent="0.2">
      <c r="D58" s="47"/>
      <c r="E58" s="48"/>
      <c r="I58" s="49"/>
      <c r="P58" s="47"/>
    </row>
  </sheetData>
  <phoneticPr fontId="3" type="noConversion"/>
  <pageMargins left="0.75" right="0.75" top="1" bottom="1" header="0.5" footer="0.5"/>
  <pageSetup orientation="landscape" verticalDpi="0" r:id="rId1"/>
  <headerFooter alignWithMargins="0">
    <oddHeader>&amp;CInterstate Power and Light&amp;RWorkpaper I-2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1"/>
  <sheetViews>
    <sheetView view="pageLayout" zoomScaleNormal="90" workbookViewId="0">
      <selection activeCell="I18" sqref="I18"/>
    </sheetView>
  </sheetViews>
  <sheetFormatPr defaultColWidth="9.140625" defaultRowHeight="12.75" x14ac:dyDescent="0.2"/>
  <cols>
    <col min="1" max="1" width="5.5703125" style="80" customWidth="1"/>
    <col min="2" max="2" width="41.28515625" style="22" customWidth="1"/>
    <col min="3" max="3" width="14.28515625" style="22" customWidth="1"/>
    <col min="4" max="4" width="12.140625" style="22" bestFit="1" customWidth="1"/>
    <col min="5" max="6" width="11.5703125" style="22" bestFit="1" customWidth="1"/>
    <col min="7" max="7" width="12" style="22" bestFit="1" customWidth="1"/>
    <col min="8" max="8" width="12.42578125" style="22" bestFit="1" customWidth="1"/>
    <col min="9" max="9" width="12.140625" style="22" bestFit="1" customWidth="1"/>
    <col min="10" max="10" width="12.7109375" style="22" bestFit="1" customWidth="1"/>
    <col min="11" max="11" width="13.5703125" style="22" customWidth="1"/>
    <col min="12" max="12" width="12" style="22" bestFit="1" customWidth="1"/>
    <col min="13" max="13" width="15.28515625" style="22" customWidth="1"/>
    <col min="14" max="14" width="11.42578125" style="22" bestFit="1" customWidth="1"/>
    <col min="15" max="15" width="15.140625" style="22" bestFit="1" customWidth="1"/>
    <col min="16" max="16" width="11.28515625" style="22" customWidth="1"/>
    <col min="17" max="17" width="16" style="22" bestFit="1" customWidth="1"/>
    <col min="18" max="18" width="9.140625" style="22"/>
    <col min="19" max="19" width="12.28515625" style="22" bestFit="1" customWidth="1"/>
    <col min="20" max="16384" width="9.140625" style="22"/>
  </cols>
  <sheetData>
    <row r="1" spans="1:20" x14ac:dyDescent="0.2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0" x14ac:dyDescent="0.2">
      <c r="B2" s="67"/>
      <c r="O2" s="149"/>
    </row>
    <row r="3" spans="1:20" x14ac:dyDescent="0.2">
      <c r="B3" s="151" t="s">
        <v>113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20" x14ac:dyDescent="0.2">
      <c r="B4" s="153" t="s">
        <v>111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0" x14ac:dyDescent="0.2">
      <c r="B5" s="154" t="s">
        <v>186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0" x14ac:dyDescent="0.2">
      <c r="B6" s="67"/>
    </row>
    <row r="7" spans="1:20" x14ac:dyDescent="0.2">
      <c r="A7" s="152" t="s">
        <v>116</v>
      </c>
      <c r="C7" s="133" t="s">
        <v>3</v>
      </c>
      <c r="D7" s="133" t="s">
        <v>3</v>
      </c>
      <c r="E7" s="80" t="s">
        <v>3</v>
      </c>
      <c r="F7" s="80" t="s">
        <v>3</v>
      </c>
      <c r="G7" s="80" t="s">
        <v>3</v>
      </c>
      <c r="H7" s="80" t="s">
        <v>3</v>
      </c>
      <c r="I7" s="80" t="s">
        <v>3</v>
      </c>
      <c r="J7" s="80" t="s">
        <v>3</v>
      </c>
      <c r="K7" s="80" t="s">
        <v>3</v>
      </c>
      <c r="L7" s="80" t="s">
        <v>3</v>
      </c>
      <c r="M7" s="80" t="s">
        <v>3</v>
      </c>
      <c r="N7" s="80" t="s">
        <v>3</v>
      </c>
    </row>
    <row r="8" spans="1:20" x14ac:dyDescent="0.2">
      <c r="A8" s="152"/>
      <c r="B8" s="82" t="s">
        <v>125</v>
      </c>
      <c r="C8" s="52">
        <v>43101</v>
      </c>
      <c r="D8" s="52">
        <v>43132</v>
      </c>
      <c r="E8" s="52">
        <v>43160</v>
      </c>
      <c r="F8" s="52">
        <v>43191</v>
      </c>
      <c r="G8" s="52">
        <v>43221</v>
      </c>
      <c r="H8" s="52">
        <v>43252</v>
      </c>
      <c r="I8" s="52">
        <v>43282</v>
      </c>
      <c r="J8" s="52">
        <v>43313</v>
      </c>
      <c r="K8" s="52">
        <v>43344</v>
      </c>
      <c r="L8" s="52">
        <v>43374</v>
      </c>
      <c r="M8" s="52">
        <v>43405</v>
      </c>
      <c r="N8" s="52">
        <v>43435</v>
      </c>
      <c r="O8" s="72" t="s">
        <v>0</v>
      </c>
      <c r="Q8" s="20"/>
    </row>
    <row r="9" spans="1:20" x14ac:dyDescent="0.2">
      <c r="B9" s="73" t="s">
        <v>97</v>
      </c>
      <c r="C9" s="73" t="s">
        <v>98</v>
      </c>
      <c r="D9" s="73" t="s">
        <v>99</v>
      </c>
      <c r="E9" s="73" t="s">
        <v>100</v>
      </c>
      <c r="F9" s="73" t="s">
        <v>101</v>
      </c>
      <c r="G9" s="73" t="s">
        <v>102</v>
      </c>
      <c r="H9" s="73" t="s">
        <v>103</v>
      </c>
      <c r="I9" s="73" t="s">
        <v>104</v>
      </c>
      <c r="J9" s="73" t="s">
        <v>105</v>
      </c>
      <c r="K9" s="73" t="s">
        <v>106</v>
      </c>
      <c r="L9" s="73" t="s">
        <v>107</v>
      </c>
      <c r="M9" s="73" t="s">
        <v>108</v>
      </c>
      <c r="N9" s="79" t="s">
        <v>109</v>
      </c>
      <c r="O9" s="80" t="s">
        <v>115</v>
      </c>
      <c r="Q9" s="20"/>
    </row>
    <row r="10" spans="1:20" x14ac:dyDescent="0.2">
      <c r="A10" s="80">
        <v>1</v>
      </c>
      <c r="B10" s="22" t="s">
        <v>117</v>
      </c>
      <c r="C10" s="71">
        <v>31</v>
      </c>
      <c r="D10" s="71">
        <v>28</v>
      </c>
      <c r="E10" s="71">
        <v>31</v>
      </c>
      <c r="F10" s="71">
        <v>30</v>
      </c>
      <c r="G10" s="71">
        <v>31</v>
      </c>
      <c r="H10" s="71">
        <v>30</v>
      </c>
      <c r="I10" s="71">
        <v>31</v>
      </c>
      <c r="J10" s="71">
        <v>31</v>
      </c>
      <c r="K10" s="71">
        <v>30</v>
      </c>
      <c r="L10" s="71">
        <v>31</v>
      </c>
      <c r="M10" s="71">
        <v>30</v>
      </c>
      <c r="N10" s="71">
        <v>31</v>
      </c>
      <c r="O10" s="71"/>
      <c r="Q10" s="59"/>
      <c r="S10" s="54"/>
      <c r="T10" s="60"/>
    </row>
    <row r="11" spans="1:20" x14ac:dyDescent="0.2">
      <c r="A11" s="80">
        <v>2</v>
      </c>
      <c r="B11" s="22" t="s">
        <v>122</v>
      </c>
      <c r="C11" s="98">
        <v>3846.5298424800221</v>
      </c>
      <c r="D11" s="98">
        <v>3699.1584823698186</v>
      </c>
      <c r="E11" s="98">
        <v>3401.6390256640157</v>
      </c>
      <c r="F11" s="98">
        <v>3130.0529462784575</v>
      </c>
      <c r="G11" s="98">
        <v>3841.4788661305893</v>
      </c>
      <c r="H11" s="98">
        <v>4564.5290705556126</v>
      </c>
      <c r="I11" s="98">
        <v>4873.4372366536927</v>
      </c>
      <c r="J11" s="98">
        <v>4703.6076334163226</v>
      </c>
      <c r="K11" s="98">
        <v>4365.5324387958262</v>
      </c>
      <c r="L11" s="98">
        <v>3341.5149604825056</v>
      </c>
      <c r="M11" s="98">
        <v>3497.9775048497927</v>
      </c>
      <c r="N11" s="98">
        <v>3741.8608423839341</v>
      </c>
      <c r="O11" s="97"/>
      <c r="P11" s="97"/>
      <c r="Q11" s="59"/>
      <c r="S11" s="54"/>
      <c r="T11" s="60"/>
    </row>
    <row r="12" spans="1:20" x14ac:dyDescent="0.2">
      <c r="A12" s="80">
        <v>3</v>
      </c>
      <c r="B12" s="22" t="s">
        <v>129</v>
      </c>
      <c r="C12" s="81">
        <v>5.7000000000000002E-2</v>
      </c>
      <c r="D12" s="81">
        <v>5.7000000000000002E-2</v>
      </c>
      <c r="E12" s="81">
        <v>5.7000000000000002E-2</v>
      </c>
      <c r="F12" s="81">
        <v>5.7000000000000002E-2</v>
      </c>
      <c r="G12" s="81">
        <v>5.7000000000000002E-2</v>
      </c>
      <c r="H12" s="81">
        <v>5.7000000000000002E-2</v>
      </c>
      <c r="I12" s="81">
        <v>5.7000000000000002E-2</v>
      </c>
      <c r="J12" s="81">
        <v>5.7000000000000002E-2</v>
      </c>
      <c r="K12" s="81">
        <v>5.7000000000000002E-2</v>
      </c>
      <c r="L12" s="81">
        <v>5.7000000000000002E-2</v>
      </c>
      <c r="M12" s="81">
        <v>5.7000000000000002E-2</v>
      </c>
      <c r="N12" s="81">
        <v>5.7000000000000002E-2</v>
      </c>
      <c r="O12" s="71"/>
      <c r="Q12" s="59"/>
      <c r="S12" s="54"/>
      <c r="T12" s="60"/>
    </row>
    <row r="13" spans="1:20" x14ac:dyDescent="0.2">
      <c r="A13" s="80">
        <v>4</v>
      </c>
      <c r="B13" s="22" t="s">
        <v>130</v>
      </c>
      <c r="C13" s="89">
        <f t="shared" ref="C13:N13" si="0">+C10*C11*24*C12</f>
        <v>163123.63755989278</v>
      </c>
      <c r="D13" s="89">
        <f t="shared" si="0"/>
        <v>141692.56650869353</v>
      </c>
      <c r="E13" s="89">
        <f t="shared" si="0"/>
        <v>144256.70780035958</v>
      </c>
      <c r="F13" s="89">
        <f t="shared" si="0"/>
        <v>128457.37291526793</v>
      </c>
      <c r="G13" s="89">
        <f t="shared" si="0"/>
        <v>162909.43575486605</v>
      </c>
      <c r="H13" s="89">
        <f t="shared" si="0"/>
        <v>187328.27305560236</v>
      </c>
      <c r="I13" s="89">
        <f t="shared" si="0"/>
        <v>206672.7263320098</v>
      </c>
      <c r="J13" s="89">
        <f t="shared" si="0"/>
        <v>199470.59251791943</v>
      </c>
      <c r="K13" s="89">
        <f t="shared" si="0"/>
        <v>179161.45128818072</v>
      </c>
      <c r="L13" s="89">
        <f t="shared" si="0"/>
        <v>141706.96644414208</v>
      </c>
      <c r="M13" s="89">
        <f t="shared" si="0"/>
        <v>143556.99679903549</v>
      </c>
      <c r="N13" s="89">
        <f t="shared" si="0"/>
        <v>158684.8346038179</v>
      </c>
      <c r="O13" s="89">
        <f>SUM(C13:N13)</f>
        <v>1957021.5615797876</v>
      </c>
      <c r="Q13" s="59"/>
      <c r="S13" s="54"/>
      <c r="T13" s="60"/>
    </row>
    <row r="14" spans="1:20" ht="15.75" x14ac:dyDescent="0.25">
      <c r="A14" s="6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9"/>
      <c r="N14" s="55"/>
      <c r="O14" s="74"/>
    </row>
    <row r="15" spans="1:20" ht="15.75" x14ac:dyDescent="0.25">
      <c r="A15" s="66"/>
      <c r="B15" s="67" t="s">
        <v>112</v>
      </c>
      <c r="C15" s="53"/>
      <c r="D15" s="53"/>
      <c r="E15" s="53"/>
      <c r="F15" s="53"/>
      <c r="G15" s="53"/>
      <c r="H15" s="53"/>
      <c r="I15" s="53"/>
      <c r="J15" s="53"/>
      <c r="M15" s="69"/>
      <c r="N15" s="55"/>
      <c r="O15" s="68"/>
    </row>
    <row r="16" spans="1:20" ht="15.75" x14ac:dyDescent="0.25">
      <c r="B16" s="75" t="s">
        <v>178</v>
      </c>
      <c r="C16" s="75"/>
      <c r="D16" s="76"/>
      <c r="E16" s="75"/>
      <c r="F16" s="75"/>
      <c r="G16" s="75"/>
      <c r="H16" s="58"/>
      <c r="M16" s="69"/>
      <c r="N16" s="69"/>
      <c r="O16" s="70"/>
      <c r="Q16" s="53"/>
    </row>
    <row r="17" spans="1:17" ht="15.75" x14ac:dyDescent="0.25">
      <c r="A17" s="148"/>
      <c r="B17" s="22" t="s">
        <v>195</v>
      </c>
      <c r="C17" s="75"/>
      <c r="D17" s="76"/>
      <c r="E17" s="75"/>
      <c r="F17" s="75"/>
      <c r="G17" s="75"/>
      <c r="H17" s="58"/>
      <c r="M17" s="69"/>
      <c r="N17" s="69"/>
      <c r="O17" s="70"/>
      <c r="Q17" s="53"/>
    </row>
    <row r="18" spans="1:17" x14ac:dyDescent="0.2">
      <c r="B18" s="22" t="s">
        <v>126</v>
      </c>
      <c r="D18" s="61"/>
      <c r="H18" s="58"/>
      <c r="K18" s="62"/>
      <c r="L18" s="62"/>
      <c r="M18" s="62"/>
      <c r="N18" s="62"/>
      <c r="O18" s="53"/>
    </row>
    <row r="19" spans="1:17" ht="15.75" customHeight="1" x14ac:dyDescent="0.2">
      <c r="B19" s="75"/>
      <c r="C19" s="62"/>
      <c r="D19" s="62"/>
      <c r="E19" s="62"/>
      <c r="F19" s="62"/>
      <c r="G19" s="62"/>
      <c r="H19" s="62"/>
      <c r="I19" s="62"/>
      <c r="J19" s="62"/>
      <c r="O19" s="63"/>
    </row>
    <row r="21" spans="1:17" x14ac:dyDescent="0.2">
      <c r="C21" s="11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</sheetData>
  <mergeCells count="5">
    <mergeCell ref="A7:A8"/>
    <mergeCell ref="A1:O1"/>
    <mergeCell ref="B3:O3"/>
    <mergeCell ref="B4:O4"/>
    <mergeCell ref="B5:O5"/>
  </mergeCells>
  <pageMargins left="0.7" right="0.7" top="0.75" bottom="0.75" header="0.3" footer="0.3"/>
  <pageSetup scale="58" orientation="landscape" r:id="rId1"/>
  <headerFooter>
    <oddHeader>&amp;R&amp;"Arial,Bold"MidAmerican Energy Company Attachment 1-1m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9"/>
  <sheetViews>
    <sheetView view="pageLayout" zoomScaleNormal="100" workbookViewId="0">
      <selection activeCell="M7" sqref="M7"/>
    </sheetView>
  </sheetViews>
  <sheetFormatPr defaultColWidth="9.140625" defaultRowHeight="12.75" x14ac:dyDescent="0.2"/>
  <cols>
    <col min="1" max="1" width="5.5703125" style="95" customWidth="1"/>
    <col min="2" max="2" width="41.28515625" style="22" customWidth="1"/>
    <col min="3" max="3" width="14.28515625" style="22" customWidth="1"/>
    <col min="4" max="4" width="12.140625" style="22" bestFit="1" customWidth="1"/>
    <col min="5" max="6" width="11.5703125" style="22" bestFit="1" customWidth="1"/>
    <col min="7" max="7" width="12" style="22" bestFit="1" customWidth="1"/>
    <col min="8" max="8" width="12.42578125" style="22" bestFit="1" customWidth="1"/>
    <col min="9" max="9" width="12.140625" style="22" bestFit="1" customWidth="1"/>
    <col min="10" max="10" width="12.7109375" style="22" bestFit="1" customWidth="1"/>
    <col min="11" max="11" width="13.5703125" style="22" customWidth="1"/>
    <col min="12" max="12" width="12" style="22" bestFit="1" customWidth="1"/>
    <col min="13" max="13" width="15.28515625" style="22" customWidth="1"/>
    <col min="14" max="14" width="11.42578125" style="22" bestFit="1" customWidth="1"/>
    <col min="15" max="15" width="15.140625" style="22" bestFit="1" customWidth="1"/>
    <col min="16" max="16" width="11.28515625" style="22" customWidth="1"/>
    <col min="17" max="17" width="16" style="22" bestFit="1" customWidth="1"/>
    <col min="18" max="18" width="9.140625" style="22"/>
    <col min="19" max="19" width="12.28515625" style="22" bestFit="1" customWidth="1"/>
    <col min="20" max="16384" width="9.140625" style="22"/>
  </cols>
  <sheetData>
    <row r="1" spans="1:17" x14ac:dyDescent="0.2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7" x14ac:dyDescent="0.2">
      <c r="B2" s="67"/>
      <c r="O2" s="149"/>
    </row>
    <row r="3" spans="1:17" x14ac:dyDescent="0.2">
      <c r="B3" s="151" t="s">
        <v>113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7" x14ac:dyDescent="0.2">
      <c r="B4" s="153" t="s">
        <v>111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7" x14ac:dyDescent="0.2">
      <c r="B5" s="154" t="s">
        <v>186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">
      <c r="B6" s="67"/>
    </row>
    <row r="7" spans="1:17" x14ac:dyDescent="0.2">
      <c r="A7" s="152" t="s">
        <v>116</v>
      </c>
      <c r="C7" s="133" t="s">
        <v>3</v>
      </c>
      <c r="D7" s="133" t="s">
        <v>3</v>
      </c>
      <c r="E7" s="95" t="s">
        <v>3</v>
      </c>
      <c r="F7" s="95" t="s">
        <v>3</v>
      </c>
      <c r="G7" s="95" t="s">
        <v>3</v>
      </c>
      <c r="H7" s="95" t="s">
        <v>3</v>
      </c>
      <c r="I7" s="95" t="s">
        <v>3</v>
      </c>
      <c r="J7" s="95" t="s">
        <v>3</v>
      </c>
      <c r="K7" s="95" t="s">
        <v>3</v>
      </c>
      <c r="L7" s="95" t="s">
        <v>3</v>
      </c>
      <c r="M7" s="95" t="s">
        <v>3</v>
      </c>
      <c r="N7" s="95" t="s">
        <v>3</v>
      </c>
    </row>
    <row r="8" spans="1:17" ht="12.75" customHeight="1" x14ac:dyDescent="0.2">
      <c r="A8" s="152"/>
      <c r="B8" s="82" t="s">
        <v>125</v>
      </c>
      <c r="C8" s="52">
        <v>43101</v>
      </c>
      <c r="D8" s="52">
        <v>43132</v>
      </c>
      <c r="E8" s="52">
        <v>43160</v>
      </c>
      <c r="F8" s="52">
        <v>43191</v>
      </c>
      <c r="G8" s="52">
        <v>43221</v>
      </c>
      <c r="H8" s="52">
        <v>43252</v>
      </c>
      <c r="I8" s="52">
        <v>43282</v>
      </c>
      <c r="J8" s="52">
        <v>43313</v>
      </c>
      <c r="K8" s="52">
        <v>43344</v>
      </c>
      <c r="L8" s="52">
        <v>43374</v>
      </c>
      <c r="M8" s="52">
        <v>43405</v>
      </c>
      <c r="N8" s="52">
        <v>43435</v>
      </c>
      <c r="O8" s="72" t="s">
        <v>0</v>
      </c>
    </row>
    <row r="9" spans="1:17" x14ac:dyDescent="0.2">
      <c r="B9" s="73" t="s">
        <v>97</v>
      </c>
      <c r="C9" s="73" t="s">
        <v>98</v>
      </c>
      <c r="D9" s="73" t="s">
        <v>99</v>
      </c>
      <c r="E9" s="73" t="s">
        <v>100</v>
      </c>
      <c r="F9" s="73" t="s">
        <v>101</v>
      </c>
      <c r="G9" s="73" t="s">
        <v>102</v>
      </c>
      <c r="H9" s="73" t="s">
        <v>103</v>
      </c>
      <c r="I9" s="73" t="s">
        <v>104</v>
      </c>
      <c r="J9" s="73" t="s">
        <v>105</v>
      </c>
      <c r="K9" s="73" t="s">
        <v>106</v>
      </c>
      <c r="L9" s="73" t="s">
        <v>107</v>
      </c>
      <c r="M9" s="73" t="s">
        <v>108</v>
      </c>
      <c r="N9" s="94" t="s">
        <v>109</v>
      </c>
      <c r="O9" s="95" t="s">
        <v>115</v>
      </c>
      <c r="Q9" s="20"/>
    </row>
    <row r="10" spans="1:17" x14ac:dyDescent="0.2">
      <c r="A10" s="95">
        <v>1</v>
      </c>
      <c r="B10" s="22" t="s">
        <v>117</v>
      </c>
      <c r="C10" s="71">
        <v>31</v>
      </c>
      <c r="D10" s="71">
        <v>28</v>
      </c>
      <c r="E10" s="71">
        <v>31</v>
      </c>
      <c r="F10" s="71">
        <v>30</v>
      </c>
      <c r="G10" s="71">
        <v>31</v>
      </c>
      <c r="H10" s="71">
        <v>30</v>
      </c>
      <c r="I10" s="71">
        <v>31</v>
      </c>
      <c r="J10" s="71">
        <v>31</v>
      </c>
      <c r="K10" s="71">
        <v>30</v>
      </c>
      <c r="L10" s="71">
        <v>31</v>
      </c>
      <c r="M10" s="71">
        <v>30</v>
      </c>
      <c r="N10" s="71">
        <v>31</v>
      </c>
      <c r="O10" s="71"/>
      <c r="Q10" s="20"/>
    </row>
    <row r="11" spans="1:17" x14ac:dyDescent="0.2">
      <c r="A11" s="95">
        <v>2</v>
      </c>
      <c r="B11" s="22" t="s">
        <v>122</v>
      </c>
      <c r="C11" s="98">
        <v>3846.5298424800221</v>
      </c>
      <c r="D11" s="98">
        <v>3699.1584823698186</v>
      </c>
      <c r="E11" s="98">
        <v>3401.6390256640157</v>
      </c>
      <c r="F11" s="98">
        <v>3130.0529462784575</v>
      </c>
      <c r="G11" s="98">
        <v>3841.4788661305893</v>
      </c>
      <c r="H11" s="98">
        <v>4564.5290705556126</v>
      </c>
      <c r="I11" s="98">
        <v>4873.4372366536927</v>
      </c>
      <c r="J11" s="98">
        <v>4703.6076334163226</v>
      </c>
      <c r="K11" s="98">
        <v>4365.5324387958262</v>
      </c>
      <c r="L11" s="98">
        <v>3341.5149604825056</v>
      </c>
      <c r="M11" s="98">
        <v>3497.9775048497927</v>
      </c>
      <c r="N11" s="98">
        <v>3741.8608423839341</v>
      </c>
      <c r="O11" s="97"/>
      <c r="P11" s="97"/>
      <c r="Q11" s="20"/>
    </row>
    <row r="12" spans="1:17" x14ac:dyDescent="0.2">
      <c r="A12" s="95">
        <v>3</v>
      </c>
      <c r="B12" s="22" t="s">
        <v>141</v>
      </c>
      <c r="C12" s="81">
        <v>7.8231000000000002</v>
      </c>
      <c r="D12" s="81">
        <v>7.8231000000000002</v>
      </c>
      <c r="E12" s="81">
        <v>7.8231000000000002</v>
      </c>
      <c r="F12" s="81">
        <v>7.8231000000000002</v>
      </c>
      <c r="G12" s="81">
        <v>7.8231000000000002</v>
      </c>
      <c r="H12" s="81">
        <v>7.8231000000000002</v>
      </c>
      <c r="I12" s="81">
        <v>7.8231000000000002</v>
      </c>
      <c r="J12" s="81">
        <v>7.8231000000000002</v>
      </c>
      <c r="K12" s="81">
        <v>7.8231000000000002</v>
      </c>
      <c r="L12" s="81">
        <v>7.8231000000000002</v>
      </c>
      <c r="M12" s="81">
        <v>7.8231000000000002</v>
      </c>
      <c r="N12" s="81">
        <v>7.8231000000000002</v>
      </c>
      <c r="O12" s="71"/>
      <c r="Q12" s="20"/>
    </row>
    <row r="13" spans="1:17" x14ac:dyDescent="0.2">
      <c r="A13" s="95">
        <v>4</v>
      </c>
      <c r="B13" s="22" t="s">
        <v>142</v>
      </c>
      <c r="C13" s="89">
        <f>C11*C12</f>
        <v>30091.787610705462</v>
      </c>
      <c r="D13" s="89">
        <f t="shared" ref="D13:N13" si="0">D11*D12</f>
        <v>28938.886723427328</v>
      </c>
      <c r="E13" s="89">
        <f t="shared" si="0"/>
        <v>26611.362261672162</v>
      </c>
      <c r="F13" s="89">
        <f t="shared" si="0"/>
        <v>24486.717204031</v>
      </c>
      <c r="G13" s="89">
        <f t="shared" si="0"/>
        <v>30052.273317626212</v>
      </c>
      <c r="H13" s="89">
        <f t="shared" si="0"/>
        <v>35708.767371863614</v>
      </c>
      <c r="I13" s="89">
        <f t="shared" si="0"/>
        <v>38125.386846065507</v>
      </c>
      <c r="J13" s="89">
        <f t="shared" si="0"/>
        <v>36796.792876979234</v>
      </c>
      <c r="K13" s="89">
        <f t="shared" si="0"/>
        <v>34151.996821943627</v>
      </c>
      <c r="L13" s="89">
        <f t="shared" si="0"/>
        <v>26141.005687350691</v>
      </c>
      <c r="M13" s="89">
        <f t="shared" si="0"/>
        <v>27365.027818190414</v>
      </c>
      <c r="N13" s="89">
        <f t="shared" si="0"/>
        <v>29272.951556053755</v>
      </c>
      <c r="O13" s="89">
        <f>SUM(C13:N13)</f>
        <v>367742.956095909</v>
      </c>
      <c r="Q13" s="20"/>
    </row>
    <row r="14" spans="1:17" x14ac:dyDescent="0.2"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Q14" s="20"/>
    </row>
    <row r="15" spans="1:17" ht="15.75" x14ac:dyDescent="0.25">
      <c r="A15" s="66"/>
      <c r="B15" s="67" t="s">
        <v>112</v>
      </c>
      <c r="C15" s="53"/>
      <c r="D15" s="53"/>
      <c r="E15" s="53"/>
      <c r="F15" s="53"/>
      <c r="G15" s="53"/>
      <c r="H15" s="53"/>
      <c r="I15" s="53"/>
      <c r="J15" s="53"/>
      <c r="M15" s="69"/>
      <c r="N15" s="55"/>
      <c r="O15" s="68"/>
    </row>
    <row r="16" spans="1:17" ht="15.75" x14ac:dyDescent="0.25">
      <c r="B16" s="75" t="s">
        <v>178</v>
      </c>
      <c r="C16" s="75"/>
      <c r="D16" s="76"/>
      <c r="E16" s="75"/>
      <c r="F16" s="75"/>
      <c r="G16" s="75"/>
      <c r="H16" s="58"/>
      <c r="M16" s="69"/>
      <c r="N16" s="69"/>
      <c r="O16" s="70"/>
      <c r="Q16" s="53"/>
    </row>
    <row r="17" spans="2:15" x14ac:dyDescent="0.2">
      <c r="B17" s="110" t="s">
        <v>194</v>
      </c>
      <c r="D17" s="57"/>
      <c r="H17" s="58"/>
      <c r="O17" s="53"/>
    </row>
    <row r="18" spans="2:15" x14ac:dyDescent="0.2">
      <c r="B18" s="22" t="s">
        <v>143</v>
      </c>
      <c r="D18" s="61"/>
      <c r="H18" s="58"/>
      <c r="K18" s="62"/>
      <c r="L18" s="62"/>
      <c r="M18" s="62"/>
      <c r="N18" s="62"/>
      <c r="O18" s="53"/>
    </row>
    <row r="19" spans="2:15" x14ac:dyDescent="0.2">
      <c r="B19" s="75"/>
      <c r="C19" s="62"/>
      <c r="D19" s="62"/>
      <c r="E19" s="62"/>
      <c r="F19" s="62"/>
      <c r="G19" s="62"/>
      <c r="H19" s="62"/>
      <c r="I19" s="62"/>
      <c r="J19" s="62"/>
      <c r="O19" s="63"/>
    </row>
  </sheetData>
  <mergeCells count="5">
    <mergeCell ref="A1:O1"/>
    <mergeCell ref="B3:O3"/>
    <mergeCell ref="B4:O4"/>
    <mergeCell ref="B5:O5"/>
    <mergeCell ref="A7:A8"/>
  </mergeCells>
  <pageMargins left="0.7" right="0.7" top="0.75" bottom="0.75" header="0.3" footer="0.3"/>
  <pageSetup scale="58" orientation="landscape" r:id="rId1"/>
  <headerFooter>
    <oddHeader>&amp;R&amp;"Arial,Bold"MidAmerican Energy Company Attachment 1-1m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2"/>
  <sheetViews>
    <sheetView view="pageLayout" zoomScaleNormal="100" workbookViewId="0">
      <selection activeCell="J21" sqref="J21"/>
    </sheetView>
  </sheetViews>
  <sheetFormatPr defaultColWidth="9.140625" defaultRowHeight="12.75" x14ac:dyDescent="0.2"/>
  <cols>
    <col min="1" max="1" width="5.5703125" style="80" customWidth="1"/>
    <col min="2" max="2" width="41.28515625" style="22" customWidth="1"/>
    <col min="3" max="14" width="12.85546875" style="22" bestFit="1" customWidth="1"/>
    <col min="15" max="15" width="11.7109375" style="22" bestFit="1" customWidth="1"/>
    <col min="16" max="16" width="11.28515625" style="22" customWidth="1"/>
    <col min="17" max="17" width="16" style="22" bestFit="1" customWidth="1"/>
    <col min="18" max="18" width="9.140625" style="22"/>
    <col min="19" max="19" width="12.28515625" style="22" bestFit="1" customWidth="1"/>
    <col min="20" max="16384" width="9.140625" style="22"/>
  </cols>
  <sheetData>
    <row r="1" spans="1:20" x14ac:dyDescent="0.2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0" x14ac:dyDescent="0.2">
      <c r="B2" s="67"/>
      <c r="O2" s="149"/>
    </row>
    <row r="3" spans="1:20" x14ac:dyDescent="0.2">
      <c r="B3" s="151" t="s">
        <v>113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20" x14ac:dyDescent="0.2">
      <c r="B4" s="153" t="s">
        <v>111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0" x14ac:dyDescent="0.2">
      <c r="B5" s="154" t="s">
        <v>186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0" x14ac:dyDescent="0.2">
      <c r="B6" s="67"/>
      <c r="C6" s="87" t="s">
        <v>3</v>
      </c>
      <c r="D6" s="87" t="s">
        <v>3</v>
      </c>
      <c r="E6" s="87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87" t="s">
        <v>3</v>
      </c>
      <c r="K6" s="87" t="s">
        <v>3</v>
      </c>
      <c r="L6" s="87" t="s">
        <v>3</v>
      </c>
      <c r="M6" s="87" t="s">
        <v>3</v>
      </c>
      <c r="N6" s="87" t="s">
        <v>3</v>
      </c>
    </row>
    <row r="7" spans="1:20" x14ac:dyDescent="0.2">
      <c r="A7" s="152" t="s">
        <v>116</v>
      </c>
      <c r="C7" s="52">
        <v>43101</v>
      </c>
      <c r="D7" s="52">
        <v>43132</v>
      </c>
      <c r="E7" s="52">
        <v>43160</v>
      </c>
      <c r="F7" s="52">
        <v>43191</v>
      </c>
      <c r="G7" s="52">
        <v>43221</v>
      </c>
      <c r="H7" s="52">
        <v>43252</v>
      </c>
      <c r="I7" s="52">
        <v>43282</v>
      </c>
      <c r="J7" s="52">
        <v>43313</v>
      </c>
      <c r="K7" s="52">
        <v>43344</v>
      </c>
      <c r="L7" s="52">
        <v>43374</v>
      </c>
      <c r="M7" s="52">
        <v>43405</v>
      </c>
      <c r="N7" s="52">
        <v>43435</v>
      </c>
      <c r="O7" s="72" t="s">
        <v>0</v>
      </c>
    </row>
    <row r="8" spans="1:20" x14ac:dyDescent="0.2">
      <c r="A8" s="152"/>
      <c r="B8" s="80" t="s">
        <v>125</v>
      </c>
      <c r="C8" s="73" t="s">
        <v>98</v>
      </c>
      <c r="D8" s="73" t="s">
        <v>99</v>
      </c>
      <c r="E8" s="73" t="s">
        <v>100</v>
      </c>
      <c r="F8" s="73" t="s">
        <v>101</v>
      </c>
      <c r="G8" s="73" t="s">
        <v>102</v>
      </c>
      <c r="H8" s="73" t="s">
        <v>103</v>
      </c>
      <c r="I8" s="73" t="s">
        <v>104</v>
      </c>
      <c r="J8" s="73" t="s">
        <v>105</v>
      </c>
      <c r="K8" s="73" t="s">
        <v>106</v>
      </c>
      <c r="L8" s="73" t="s">
        <v>107</v>
      </c>
      <c r="M8" s="73" t="s">
        <v>108</v>
      </c>
      <c r="N8" s="86" t="s">
        <v>109</v>
      </c>
      <c r="O8" s="87" t="s">
        <v>115</v>
      </c>
      <c r="Q8" s="20"/>
    </row>
    <row r="9" spans="1:20" x14ac:dyDescent="0.2">
      <c r="B9" s="73" t="s">
        <v>97</v>
      </c>
      <c r="O9" s="73"/>
      <c r="Q9" s="20"/>
    </row>
    <row r="10" spans="1:20" x14ac:dyDescent="0.2">
      <c r="A10" s="80">
        <v>1</v>
      </c>
      <c r="B10" s="22" t="s">
        <v>123</v>
      </c>
      <c r="C10" s="97">
        <v>2433266.6932654651</v>
      </c>
      <c r="D10" s="97">
        <v>2235495.6304595191</v>
      </c>
      <c r="E10" s="97">
        <v>2203656.3948340146</v>
      </c>
      <c r="F10" s="97">
        <v>1954936.4193852851</v>
      </c>
      <c r="G10" s="97">
        <v>2014788.8754607895</v>
      </c>
      <c r="H10" s="97">
        <v>2094745.6887592797</v>
      </c>
      <c r="I10" s="97">
        <v>2377678.2495501968</v>
      </c>
      <c r="J10" s="97">
        <v>2586154.4564862987</v>
      </c>
      <c r="K10" s="97">
        <v>2101329.9828896672</v>
      </c>
      <c r="L10" s="97">
        <v>2145661.5923869587</v>
      </c>
      <c r="M10" s="97">
        <v>2021312.1681829728</v>
      </c>
      <c r="N10" s="97">
        <v>2133282.9617775101</v>
      </c>
      <c r="O10" s="85">
        <f>SUM(C10:N10)</f>
        <v>26302309.113437958</v>
      </c>
      <c r="Q10" s="59"/>
      <c r="S10" s="54"/>
      <c r="T10" s="60"/>
    </row>
    <row r="11" spans="1:20" x14ac:dyDescent="0.2">
      <c r="A11" s="80">
        <v>2</v>
      </c>
      <c r="B11" s="22" t="s">
        <v>131</v>
      </c>
      <c r="C11" s="137">
        <v>1.186735395600945</v>
      </c>
      <c r="D11" s="137">
        <v>1.4147257678186438</v>
      </c>
      <c r="E11" s="137">
        <v>1.2960787506551186</v>
      </c>
      <c r="F11" s="137">
        <v>1.4642065493802656</v>
      </c>
      <c r="G11" s="137">
        <v>1.3728181944896543</v>
      </c>
      <c r="H11" s="137">
        <v>1.2267178148849953</v>
      </c>
      <c r="I11" s="137">
        <v>1.1006113469740362</v>
      </c>
      <c r="J11" s="137">
        <v>1.1961369701398346</v>
      </c>
      <c r="K11" s="137">
        <v>1.2655780480477425</v>
      </c>
      <c r="L11" s="137">
        <v>1.3647133622224343</v>
      </c>
      <c r="M11" s="137">
        <v>1.3984478900485986</v>
      </c>
      <c r="N11" s="137">
        <v>1.18314087387309</v>
      </c>
      <c r="O11" s="137">
        <v>1.279940374700991</v>
      </c>
      <c r="Q11" s="59"/>
      <c r="S11" s="54"/>
      <c r="T11" s="60"/>
    </row>
    <row r="12" spans="1:20" x14ac:dyDescent="0.2">
      <c r="A12" s="80">
        <v>3</v>
      </c>
      <c r="B12" s="22" t="s">
        <v>114</v>
      </c>
      <c r="C12" s="84">
        <f>C10*C11</f>
        <v>2887643.7118349951</v>
      </c>
      <c r="D12" s="84">
        <f t="shared" ref="D12:N12" si="0">D10*D11</f>
        <v>3162613.2722570663</v>
      </c>
      <c r="E12" s="84">
        <f t="shared" si="0"/>
        <v>2856112.2270896323</v>
      </c>
      <c r="F12" s="84">
        <f t="shared" si="0"/>
        <v>2862430.7088859403</v>
      </c>
      <c r="G12" s="84">
        <f t="shared" si="0"/>
        <v>2765938.826287922</v>
      </c>
      <c r="H12" s="84">
        <f t="shared" si="0"/>
        <v>2569661.8540545478</v>
      </c>
      <c r="I12" s="84">
        <f t="shared" si="0"/>
        <v>2616899.6609083107</v>
      </c>
      <c r="J12" s="84">
        <f t="shared" si="0"/>
        <v>3093394.9558951519</v>
      </c>
      <c r="K12" s="84">
        <f t="shared" si="0"/>
        <v>2659397.0980497012</v>
      </c>
      <c r="L12" s="84">
        <f t="shared" si="0"/>
        <v>2928213.0459379489</v>
      </c>
      <c r="M12" s="84">
        <f t="shared" si="0"/>
        <v>2826699.7367250365</v>
      </c>
      <c r="N12" s="84">
        <f t="shared" si="0"/>
        <v>2523974.2676160168</v>
      </c>
      <c r="O12" s="84">
        <f>SUM(C12:N12)</f>
        <v>33752979.36554227</v>
      </c>
      <c r="Q12" s="59"/>
      <c r="S12" s="54"/>
      <c r="T12" s="60"/>
    </row>
    <row r="13" spans="1:20" ht="15.75" x14ac:dyDescent="0.25">
      <c r="A13" s="6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9"/>
      <c r="N13" s="55"/>
      <c r="O13" s="74"/>
    </row>
    <row r="14" spans="1:20" x14ac:dyDescent="0.2">
      <c r="A14" s="66"/>
      <c r="B14" s="67" t="s">
        <v>112</v>
      </c>
      <c r="C14" s="5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68"/>
    </row>
    <row r="15" spans="1:20" ht="15.75" x14ac:dyDescent="0.25">
      <c r="B15" s="75" t="s">
        <v>177</v>
      </c>
      <c r="C15" s="75"/>
      <c r="D15" s="76"/>
      <c r="E15" s="75"/>
      <c r="F15" s="75"/>
      <c r="G15" s="75"/>
      <c r="H15" s="58"/>
      <c r="M15" s="69"/>
      <c r="N15" s="69"/>
      <c r="O15" s="70"/>
      <c r="Q15" s="53"/>
    </row>
    <row r="16" spans="1:20" x14ac:dyDescent="0.2">
      <c r="B16" s="22" t="s">
        <v>193</v>
      </c>
      <c r="D16" s="57"/>
      <c r="H16" s="58"/>
      <c r="O16" s="53"/>
    </row>
    <row r="17" spans="2:15" x14ac:dyDescent="0.2">
      <c r="B17" s="22" t="s">
        <v>132</v>
      </c>
      <c r="D17" s="61"/>
      <c r="H17" s="58"/>
      <c r="K17" s="62"/>
      <c r="L17" s="62"/>
      <c r="M17" s="62"/>
      <c r="N17" s="62"/>
      <c r="O17" s="53"/>
    </row>
    <row r="18" spans="2:15" x14ac:dyDescent="0.2">
      <c r="B18" s="75"/>
      <c r="C18" s="62"/>
      <c r="D18" s="62"/>
      <c r="E18" s="62"/>
      <c r="F18" s="62"/>
      <c r="G18" s="62"/>
      <c r="H18" s="62"/>
      <c r="I18" s="62"/>
      <c r="J18" s="62"/>
      <c r="O18" s="63"/>
    </row>
    <row r="22" spans="2:15" x14ac:dyDescent="0.2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</sheetData>
  <mergeCells count="5">
    <mergeCell ref="A7:A8"/>
    <mergeCell ref="A1:O1"/>
    <mergeCell ref="B3:O3"/>
    <mergeCell ref="B4:O4"/>
    <mergeCell ref="B5:O5"/>
  </mergeCells>
  <pageMargins left="0.7" right="0.7" top="0.75" bottom="0.75" header="0.3" footer="0.3"/>
  <pageSetup scale="58" orientation="landscape" r:id="rId1"/>
  <headerFooter>
    <oddHeader>&amp;R&amp;"Arial,Bold"MidAmerican Energy Company Attachment 1-1m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Normal="100" workbookViewId="0">
      <selection activeCell="B5" sqref="B5:N5"/>
    </sheetView>
  </sheetViews>
  <sheetFormatPr defaultRowHeight="12.75" x14ac:dyDescent="0.2"/>
  <cols>
    <col min="2" max="2" width="65.140625" bestFit="1" customWidth="1"/>
    <col min="3" max="3" width="15.7109375" bestFit="1" customWidth="1"/>
  </cols>
  <sheetData>
    <row r="1" spans="1:14" x14ac:dyDescent="0.2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">
      <c r="A2" s="87"/>
      <c r="B2" s="67"/>
      <c r="C2" s="22"/>
      <c r="D2" s="22"/>
      <c r="E2" s="22"/>
      <c r="F2" s="22"/>
      <c r="G2" s="22"/>
      <c r="H2" s="22"/>
      <c r="I2" s="22"/>
      <c r="J2" s="22"/>
      <c r="K2" s="149"/>
      <c r="L2" s="22"/>
      <c r="M2" s="22"/>
      <c r="N2" s="22"/>
    </row>
    <row r="3" spans="1:14" x14ac:dyDescent="0.2">
      <c r="A3" s="87"/>
      <c r="B3" s="151" t="s">
        <v>133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">
      <c r="A4" s="87"/>
      <c r="B4" s="153" t="s">
        <v>111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">
      <c r="A5" s="87"/>
      <c r="B5" s="154" t="s">
        <v>186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">
      <c r="A6" s="87"/>
      <c r="B6" s="6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">
      <c r="A7" s="152" t="s">
        <v>116</v>
      </c>
      <c r="B7" s="2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22"/>
    </row>
    <row r="8" spans="1:14" x14ac:dyDescent="0.2">
      <c r="A8" s="152"/>
      <c r="B8" s="87" t="s">
        <v>135</v>
      </c>
      <c r="C8" s="90" t="s">
        <v>136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72"/>
    </row>
    <row r="9" spans="1:14" x14ac:dyDescent="0.2">
      <c r="A9" s="87"/>
      <c r="B9" s="73" t="s">
        <v>97</v>
      </c>
      <c r="C9" s="73" t="s">
        <v>98</v>
      </c>
      <c r="D9" s="73"/>
      <c r="E9" s="73"/>
      <c r="F9" s="73"/>
      <c r="G9" s="73"/>
      <c r="H9" s="73"/>
      <c r="I9" s="73"/>
      <c r="J9" s="73"/>
      <c r="K9" s="73"/>
      <c r="L9" s="73"/>
      <c r="M9" s="86"/>
      <c r="N9" s="87"/>
    </row>
    <row r="10" spans="1:14" x14ac:dyDescent="0.2">
      <c r="A10" s="87">
        <v>1</v>
      </c>
      <c r="B10" s="88" t="s">
        <v>134</v>
      </c>
      <c r="C10" s="92">
        <v>4422695</v>
      </c>
      <c r="D10" s="73"/>
      <c r="E10" s="73"/>
      <c r="F10" s="73"/>
      <c r="G10" s="73"/>
      <c r="H10" s="73"/>
      <c r="I10" s="73"/>
      <c r="J10" s="73"/>
      <c r="K10" s="73"/>
      <c r="L10" s="73"/>
      <c r="M10" s="86"/>
      <c r="N10" s="87"/>
    </row>
    <row r="11" spans="1:14" x14ac:dyDescent="0.2">
      <c r="A11" s="87">
        <v>2</v>
      </c>
      <c r="B11" s="88" t="s">
        <v>137</v>
      </c>
      <c r="C11" s="91">
        <f>'MEC 2018 Energy Forecast'!B14/'MEC Sch. 26-A Forecast'!G14</f>
        <v>5.4758765797775125E-2</v>
      </c>
      <c r="D11" s="73"/>
      <c r="E11" s="73"/>
      <c r="F11" s="73"/>
      <c r="G11" s="73"/>
      <c r="H11" s="73"/>
      <c r="I11" s="73"/>
      <c r="J11" s="73"/>
      <c r="K11" s="73"/>
      <c r="L11" s="73"/>
      <c r="M11" s="86"/>
      <c r="N11" s="87"/>
    </row>
    <row r="12" spans="1:14" x14ac:dyDescent="0.2">
      <c r="A12" s="87">
        <v>3</v>
      </c>
      <c r="B12" s="88" t="s">
        <v>138</v>
      </c>
      <c r="C12" s="93">
        <f>+C10*C11</f>
        <v>242181.31969999106</v>
      </c>
      <c r="D12" s="73"/>
      <c r="E12" s="73"/>
      <c r="F12" s="73"/>
      <c r="G12" s="73"/>
      <c r="H12" s="73"/>
      <c r="I12" s="73"/>
      <c r="J12" s="73"/>
      <c r="K12" s="73"/>
      <c r="L12" s="73"/>
      <c r="M12" s="86"/>
      <c r="N12" s="87"/>
    </row>
    <row r="13" spans="1:14" x14ac:dyDescent="0.2">
      <c r="A13" s="87"/>
      <c r="B13" s="88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x14ac:dyDescent="0.2">
      <c r="A14" s="87"/>
      <c r="B14" s="67" t="s">
        <v>112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x14ac:dyDescent="0.2">
      <c r="A15" s="87"/>
      <c r="B15" s="75" t="s">
        <v>187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">
      <c r="A16" s="87"/>
      <c r="B16" s="88" t="s">
        <v>200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71"/>
    </row>
    <row r="17" spans="1:14" x14ac:dyDescent="0.2">
      <c r="A17" s="87"/>
      <c r="B17" s="88" t="s">
        <v>139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ht="15.75" x14ac:dyDescent="0.25">
      <c r="A18" s="87"/>
      <c r="B18" s="22"/>
      <c r="C18" s="53"/>
      <c r="D18" s="53"/>
      <c r="E18" s="53"/>
      <c r="F18" s="53"/>
      <c r="G18" s="53"/>
      <c r="H18" s="53"/>
      <c r="I18" s="53"/>
      <c r="J18" s="53"/>
      <c r="K18" s="53"/>
      <c r="L18" s="69"/>
      <c r="M18" s="55"/>
      <c r="N18" s="74"/>
    </row>
  </sheetData>
  <mergeCells count="5">
    <mergeCell ref="A1:N1"/>
    <mergeCell ref="B3:N3"/>
    <mergeCell ref="B4:N4"/>
    <mergeCell ref="B5:N5"/>
    <mergeCell ref="A7:A8"/>
  </mergeCells>
  <pageMargins left="0.7" right="0.7" top="0.75" bottom="0.75" header="0.3" footer="0.3"/>
  <pageSetup scale="65" orientation="landscape" r:id="rId1"/>
  <headerFooter>
    <oddHeader>&amp;R&amp;"Arial,Bold"MidAmerican Energy Company Attachment 1-1m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Layout" zoomScaleNormal="100" workbookViewId="0">
      <selection activeCell="I1" sqref="I1"/>
    </sheetView>
  </sheetViews>
  <sheetFormatPr defaultRowHeight="12.75" x14ac:dyDescent="0.2"/>
  <cols>
    <col min="1" max="1" width="10" customWidth="1"/>
    <col min="2" max="2" width="13.42578125" customWidth="1"/>
    <col min="4" max="4" width="10.140625" bestFit="1" customWidth="1"/>
    <col min="6" max="6" width="10.85546875" bestFit="1" customWidth="1"/>
  </cols>
  <sheetData>
    <row r="1" spans="1:8" ht="54" customHeight="1" x14ac:dyDescent="0.2">
      <c r="A1" s="130" t="s">
        <v>140</v>
      </c>
      <c r="B1" s="135">
        <v>2018</v>
      </c>
    </row>
    <row r="2" spans="1:8" x14ac:dyDescent="0.2">
      <c r="A2" s="120" t="s">
        <v>54</v>
      </c>
      <c r="B2" s="121">
        <v>2433266.6932654651</v>
      </c>
      <c r="C2">
        <v>31</v>
      </c>
      <c r="D2" s="97">
        <f>'MEC 2018 Demand Forecast'!B2*24*C2*0.7511</f>
        <v>2149511.6521269376</v>
      </c>
      <c r="F2" s="116">
        <f>D2-B2</f>
        <v>-283755.04113852745</v>
      </c>
      <c r="H2">
        <v>2433266.6932654651</v>
      </c>
    </row>
    <row r="3" spans="1:8" x14ac:dyDescent="0.2">
      <c r="A3" s="122" t="s">
        <v>55</v>
      </c>
      <c r="B3" s="121">
        <v>2235495.6304595191</v>
      </c>
      <c r="C3">
        <v>28</v>
      </c>
      <c r="D3" s="97">
        <f>'MEC 2018 Demand Forecast'!B3*24*C3*0.7866</f>
        <v>1955357.4178199705</v>
      </c>
      <c r="F3" s="116">
        <f t="shared" ref="F3:F13" si="0">D3-B3</f>
        <v>-280138.21263954858</v>
      </c>
      <c r="H3">
        <v>2235495.6304595191</v>
      </c>
    </row>
    <row r="4" spans="1:8" x14ac:dyDescent="0.2">
      <c r="A4" s="120" t="s">
        <v>56</v>
      </c>
      <c r="B4" s="121">
        <v>2203656.3948340146</v>
      </c>
      <c r="C4">
        <v>31</v>
      </c>
      <c r="D4" s="97">
        <f>'MEC 2018 Demand Forecast'!B4*24*C4*0.7856</f>
        <v>1988211.7482098681</v>
      </c>
      <c r="F4" s="116">
        <f t="shared" si="0"/>
        <v>-215444.6466241465</v>
      </c>
      <c r="H4">
        <v>2203656.3948340146</v>
      </c>
    </row>
    <row r="5" spans="1:8" x14ac:dyDescent="0.2">
      <c r="A5" s="122" t="s">
        <v>57</v>
      </c>
      <c r="B5" s="121">
        <v>1954936.4193852851</v>
      </c>
      <c r="C5">
        <v>30</v>
      </c>
      <c r="D5" s="97">
        <f>'MEC 2018 Demand Forecast'!B5*24*C5*0.8115</f>
        <v>1828827.3354515771</v>
      </c>
      <c r="F5" s="116">
        <f t="shared" si="0"/>
        <v>-126109.08393370803</v>
      </c>
      <c r="H5">
        <v>1954936.4193852851</v>
      </c>
    </row>
    <row r="6" spans="1:8" x14ac:dyDescent="0.2">
      <c r="A6" s="120" t="s">
        <v>58</v>
      </c>
      <c r="B6" s="121">
        <v>2014788.8754607895</v>
      </c>
      <c r="C6">
        <v>31</v>
      </c>
      <c r="D6" s="97">
        <f>'MEC 2018 Demand Forecast'!B6*24*C6*0.6623</f>
        <v>1892893.3210604873</v>
      </c>
      <c r="F6" s="116">
        <f t="shared" si="0"/>
        <v>-121895.55440030224</v>
      </c>
      <c r="H6">
        <v>2014788.8754607895</v>
      </c>
    </row>
    <row r="7" spans="1:8" x14ac:dyDescent="0.2">
      <c r="A7" s="122" t="s">
        <v>59</v>
      </c>
      <c r="B7" s="121">
        <v>2094745.6887592797</v>
      </c>
      <c r="C7">
        <v>30</v>
      </c>
      <c r="D7" s="97">
        <f>'MEC 2018 Demand Forecast'!B7*24*C7*0.6754</f>
        <v>2219675.7126623476</v>
      </c>
      <c r="F7" s="116">
        <f t="shared" si="0"/>
        <v>124930.02390306792</v>
      </c>
      <c r="H7">
        <v>2094745.6887592797</v>
      </c>
    </row>
    <row r="8" spans="1:8" x14ac:dyDescent="0.2">
      <c r="A8" s="120" t="s">
        <v>60</v>
      </c>
      <c r="B8" s="121">
        <v>2377678.2495501968</v>
      </c>
      <c r="C8">
        <v>31</v>
      </c>
      <c r="D8" s="97">
        <f>'MEC 2018 Demand Forecast'!B8*24*C8*0.6819</f>
        <v>2472458.4576455699</v>
      </c>
      <c r="F8" s="116">
        <f t="shared" si="0"/>
        <v>94780.20809537312</v>
      </c>
      <c r="H8">
        <v>2377678.2495501968</v>
      </c>
    </row>
    <row r="9" spans="1:8" x14ac:dyDescent="0.2">
      <c r="A9" s="122" t="s">
        <v>61</v>
      </c>
      <c r="B9" s="121">
        <v>2586154.4564862987</v>
      </c>
      <c r="C9">
        <v>31</v>
      </c>
      <c r="D9" s="97">
        <f>'MEC 2018 Demand Forecast'!B9*24*C9*0.6985</f>
        <v>2444389.629364328</v>
      </c>
      <c r="F9" s="116">
        <f t="shared" si="0"/>
        <v>-141764.82712197071</v>
      </c>
      <c r="H9">
        <v>2586154.4564862987</v>
      </c>
    </row>
    <row r="10" spans="1:8" x14ac:dyDescent="0.2">
      <c r="A10" s="120" t="s">
        <v>62</v>
      </c>
      <c r="B10" s="121">
        <v>2101329.9828896672</v>
      </c>
      <c r="C10">
        <v>30</v>
      </c>
      <c r="D10" s="97">
        <f>'MEC 2018 Demand Forecast'!B10*24*C10*0.616</f>
        <v>1936200.9472547248</v>
      </c>
      <c r="F10" s="116">
        <f t="shared" si="0"/>
        <v>-165129.03563494235</v>
      </c>
      <c r="H10">
        <v>2101329.9828896672</v>
      </c>
    </row>
    <row r="11" spans="1:8" x14ac:dyDescent="0.2">
      <c r="A11" s="122" t="s">
        <v>63</v>
      </c>
      <c r="B11" s="121">
        <v>2145661.5923869587</v>
      </c>
      <c r="C11">
        <v>31</v>
      </c>
      <c r="D11" s="97">
        <f>'MEC 2018 Demand Forecast'!B11*24*C11*0.8047</f>
        <v>2000554.3139930025</v>
      </c>
      <c r="F11" s="116">
        <f t="shared" si="0"/>
        <v>-145107.27839395613</v>
      </c>
      <c r="H11">
        <v>2145661.5923869587</v>
      </c>
    </row>
    <row r="12" spans="1:8" x14ac:dyDescent="0.2">
      <c r="A12" s="120" t="s">
        <v>64</v>
      </c>
      <c r="B12" s="121">
        <v>2021312.1681829728</v>
      </c>
      <c r="C12">
        <v>30</v>
      </c>
      <c r="D12" s="97">
        <f>'MEC 2018 Demand Forecast'!B12*24*C12*0.7858</f>
        <v>1979071.7207838965</v>
      </c>
      <c r="F12" s="116">
        <f t="shared" si="0"/>
        <v>-42240.447399076307</v>
      </c>
      <c r="H12">
        <v>2021312.1681829728</v>
      </c>
    </row>
    <row r="13" spans="1:8" ht="13.5" thickBot="1" x14ac:dyDescent="0.25">
      <c r="A13" s="123" t="s">
        <v>65</v>
      </c>
      <c r="B13" s="121">
        <v>2133282.9617775101</v>
      </c>
      <c r="C13">
        <v>31</v>
      </c>
      <c r="D13" s="97">
        <f>'MEC 2018 Demand Forecast'!B13*24*C13*0.7776</f>
        <v>2164795.2173320837</v>
      </c>
      <c r="F13" s="116">
        <f t="shared" si="0"/>
        <v>31512.25555457361</v>
      </c>
      <c r="H13">
        <v>2133282.9617775101</v>
      </c>
    </row>
    <row r="14" spans="1:8" ht="14.25" thickTop="1" thickBot="1" x14ac:dyDescent="0.25">
      <c r="A14" s="124" t="s">
        <v>0</v>
      </c>
      <c r="B14" s="125">
        <f t="shared" ref="B14" si="1">SUM(B2:B13)</f>
        <v>26302309.113437958</v>
      </c>
      <c r="D14" s="97">
        <f>SUM(D2:D13)</f>
        <v>25031947.473704793</v>
      </c>
      <c r="F14" s="116">
        <f>SUM(F2:F13)</f>
        <v>-1270361.6397331636</v>
      </c>
      <c r="H14">
        <f>SUM(H2:H13)</f>
        <v>26302309.113437958</v>
      </c>
    </row>
    <row r="15" spans="1:8" x14ac:dyDescent="0.2">
      <c r="A15" s="126" t="s">
        <v>170</v>
      </c>
      <c r="B15" s="127">
        <f>AVERAGE(B2:B13)</f>
        <v>2191859.0927864965</v>
      </c>
      <c r="D15" s="97">
        <f>AVERAGE(D2:D13)</f>
        <v>2085995.6228087328</v>
      </c>
    </row>
    <row r="16" spans="1:8" x14ac:dyDescent="0.2">
      <c r="A16" s="110"/>
      <c r="B16" s="113"/>
    </row>
    <row r="17" spans="1:1" x14ac:dyDescent="0.2">
      <c r="A17" s="55" t="s">
        <v>185</v>
      </c>
    </row>
    <row r="18" spans="1:1" x14ac:dyDescent="0.2">
      <c r="A18" s="110"/>
    </row>
    <row r="19" spans="1:1" x14ac:dyDescent="0.2">
      <c r="A19" s="96"/>
    </row>
    <row r="21" spans="1:1" x14ac:dyDescent="0.2">
      <c r="A21" s="110"/>
    </row>
  </sheetData>
  <pageMargins left="0.7" right="0.7" top="0.75" bottom="0.75" header="0.3" footer="0.3"/>
  <pageSetup orientation="landscape" r:id="rId1"/>
  <headerFooter>
    <oddHeader>&amp;R&amp;"Arial,Bold"MidAmerican Energy Company Attachment 1-1m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activeCell="E7" sqref="E7"/>
    </sheetView>
  </sheetViews>
  <sheetFormatPr defaultRowHeight="12.75" x14ac:dyDescent="0.2"/>
  <cols>
    <col min="1" max="1" width="28.140625" customWidth="1"/>
    <col min="2" max="2" width="10.28515625" bestFit="1" customWidth="1"/>
  </cols>
  <sheetData>
    <row r="1" spans="1:4" x14ac:dyDescent="0.2">
      <c r="A1" s="128" t="s">
        <v>140</v>
      </c>
      <c r="B1" s="129">
        <v>2018</v>
      </c>
    </row>
    <row r="2" spans="1:4" x14ac:dyDescent="0.2">
      <c r="A2" s="110" t="s">
        <v>54</v>
      </c>
      <c r="B2" s="98">
        <v>3846.5298424800221</v>
      </c>
      <c r="D2" s="116"/>
    </row>
    <row r="3" spans="1:4" x14ac:dyDescent="0.2">
      <c r="A3" s="117" t="s">
        <v>55</v>
      </c>
      <c r="B3" s="98">
        <v>3699.1584823698186</v>
      </c>
      <c r="D3" s="116"/>
    </row>
    <row r="4" spans="1:4" x14ac:dyDescent="0.2">
      <c r="A4" s="110" t="s">
        <v>56</v>
      </c>
      <c r="B4" s="98">
        <v>3401.6390256640157</v>
      </c>
      <c r="D4" s="116"/>
    </row>
    <row r="5" spans="1:4" x14ac:dyDescent="0.2">
      <c r="A5" s="117" t="s">
        <v>57</v>
      </c>
      <c r="B5" s="98">
        <v>3130.0529462784575</v>
      </c>
      <c r="D5" s="116"/>
    </row>
    <row r="6" spans="1:4" x14ac:dyDescent="0.2">
      <c r="A6" s="110" t="s">
        <v>58</v>
      </c>
      <c r="B6" s="98">
        <v>3841.4788661305893</v>
      </c>
      <c r="D6" s="116"/>
    </row>
    <row r="7" spans="1:4" x14ac:dyDescent="0.2">
      <c r="A7" s="117" t="s">
        <v>59</v>
      </c>
      <c r="B7" s="98">
        <v>4564.5290705556126</v>
      </c>
      <c r="D7" s="116"/>
    </row>
    <row r="8" spans="1:4" x14ac:dyDescent="0.2">
      <c r="A8" s="110" t="s">
        <v>60</v>
      </c>
      <c r="B8" s="98">
        <v>4873.4372366536927</v>
      </c>
      <c r="D8" s="116"/>
    </row>
    <row r="9" spans="1:4" x14ac:dyDescent="0.2">
      <c r="A9" s="117" t="s">
        <v>61</v>
      </c>
      <c r="B9" s="98">
        <v>4703.6076334163226</v>
      </c>
      <c r="D9" s="116"/>
    </row>
    <row r="10" spans="1:4" x14ac:dyDescent="0.2">
      <c r="A10" s="110" t="s">
        <v>62</v>
      </c>
      <c r="B10" s="98">
        <v>4365.5324387958262</v>
      </c>
      <c r="D10" s="116"/>
    </row>
    <row r="11" spans="1:4" x14ac:dyDescent="0.2">
      <c r="A11" s="117" t="s">
        <v>63</v>
      </c>
      <c r="B11" s="98">
        <v>3341.5149604825056</v>
      </c>
      <c r="D11" s="116"/>
    </row>
    <row r="12" spans="1:4" x14ac:dyDescent="0.2">
      <c r="A12" s="110" t="s">
        <v>64</v>
      </c>
      <c r="B12" s="98">
        <v>3497.9775048497927</v>
      </c>
      <c r="D12" s="116"/>
    </row>
    <row r="13" spans="1:4" x14ac:dyDescent="0.2">
      <c r="A13" s="117" t="s">
        <v>65</v>
      </c>
      <c r="B13" s="98">
        <v>3741.8608423839341</v>
      </c>
      <c r="D13" s="116"/>
    </row>
    <row r="14" spans="1:4" x14ac:dyDescent="0.2">
      <c r="A14" s="117" t="s">
        <v>171</v>
      </c>
      <c r="B14" s="116">
        <f>MAX(B2:B13)</f>
        <v>4873.4372366536927</v>
      </c>
      <c r="D14" s="116"/>
    </row>
    <row r="15" spans="1:4" x14ac:dyDescent="0.2">
      <c r="A15" s="110" t="s">
        <v>170</v>
      </c>
      <c r="B15" s="116">
        <f>AVERAGE(B2:B13)</f>
        <v>3917.2765708383818</v>
      </c>
      <c r="D15" s="116"/>
    </row>
    <row r="17" spans="1:1" x14ac:dyDescent="0.2">
      <c r="A17" s="110"/>
    </row>
    <row r="18" spans="1:1" x14ac:dyDescent="0.2">
      <c r="A18" s="110" t="s">
        <v>182</v>
      </c>
    </row>
    <row r="19" spans="1:1" ht="68.25" customHeight="1" x14ac:dyDescent="0.2">
      <c r="A19" s="134"/>
    </row>
  </sheetData>
  <pageMargins left="0.7" right="0.7" top="0.75" bottom="0.75" header="0.3" footer="0.3"/>
  <pageSetup orientation="portrait" r:id="rId1"/>
  <headerFooter>
    <oddHeader>&amp;R&amp;"Arial,Bold"MidAmerican Energy Company Attachment 1-1m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879129F40784986C5B17F36C896B8" ma:contentTypeVersion="8" ma:contentTypeDescription="Create a new document." ma:contentTypeScope="" ma:versionID="d22aded212a912af71a277b0efd9dd34">
  <xsd:schema xmlns:xsd="http://www.w3.org/2001/XMLSchema" xmlns:p="http://schemas.microsoft.com/office/2006/metadata/properties" xmlns:ns2="d0069f4f-93d7-4305-af84-4976c378d001" targetNamespace="http://schemas.microsoft.com/office/2006/metadata/properties" ma:root="true" ma:fieldsID="22cf42cf28b09cedab1c2c905ac870b6" ns2:_="">
    <xsd:import namespace="d0069f4f-93d7-4305-af84-4976c378d001"/>
    <xsd:element name="properties">
      <xsd:complexType>
        <xsd:sequence>
          <xsd:element name="documentManagement">
            <xsd:complexType>
              <xsd:all>
                <xsd:element ref="ns2:ID_x0020__x0023_" minOccurs="0"/>
                <xsd:element ref="ns2:Status" minOccurs="0"/>
                <xsd:element ref="ns2:Notes0" minOccurs="0"/>
                <xsd:element ref="ns2:Author0" minOccurs="0"/>
                <xsd:element ref="ns2:Formatting_x0020_Review" minOccurs="0"/>
                <xsd:element ref="ns2:Reg_x002e__x0020_Pricing_x0020_Review" minOccurs="0"/>
                <xsd:element ref="ns2:Legal_x0020_Review" minOccurs="0"/>
                <xsd:element ref="ns2:Final_x0020_Revi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0069f4f-93d7-4305-af84-4976c378d001" elementFormDefault="qualified">
    <xsd:import namespace="http://schemas.microsoft.com/office/2006/documentManagement/types"/>
    <xsd:element name="ID_x0020__x0023_" ma:index="2" nillable="true" ma:displayName="ID #" ma:internalName="ID_x0020__x0023_">
      <xsd:simpleType>
        <xsd:restriction base="dms:Text">
          <xsd:maxLength value="255"/>
        </xsd:restriction>
      </xsd:simpleType>
    </xsd:element>
    <xsd:element name="Status" ma:index="3" nillable="true" ma:displayName="Status" ma:default="Assigned" ma:format="Dropdown" ma:internalName="Status">
      <xsd:simpleType>
        <xsd:restriction base="dms:Choice">
          <xsd:enumeration value="Assigned"/>
          <xsd:enumeration value="Working"/>
          <xsd:enumeration value="Ready for Review"/>
          <xsd:enumeration value="Approved-Final"/>
        </xsd:restriction>
      </xsd:simpleType>
    </xsd:element>
    <xsd:element name="Notes0" ma:index="4" nillable="true" ma:displayName="Notes" ma:internalName="Notes0">
      <xsd:simpleType>
        <xsd:restriction base="dms:Note"/>
      </xsd:simpleType>
    </xsd:element>
    <xsd:element name="Author0" ma:index="11" nillable="true" ma:displayName="Author" ma:internalName="Author0">
      <xsd:simpleType>
        <xsd:restriction base="dms:Text">
          <xsd:maxLength value="255"/>
        </xsd:restriction>
      </xsd:simpleType>
    </xsd:element>
    <xsd:element name="Formatting_x0020_Review" ma:index="12" nillable="true" ma:displayName="Formatting Review" ma:description="Intials" ma:internalName="Formatting_x0020_Review">
      <xsd:simpleType>
        <xsd:restriction base="dms:Text">
          <xsd:maxLength value="255"/>
        </xsd:restriction>
      </xsd:simpleType>
    </xsd:element>
    <xsd:element name="Reg_x002e__x0020_Pricing_x0020_Review" ma:index="13" nillable="true" ma:displayName="Reg. Pricing Review" ma:description="Initials" ma:internalName="Reg_x002e__x0020_Pricing_x0020_Review">
      <xsd:simpleType>
        <xsd:restriction base="dms:Text">
          <xsd:maxLength value="255"/>
        </xsd:restriction>
      </xsd:simpleType>
    </xsd:element>
    <xsd:element name="Legal_x0020_Review" ma:index="14" nillable="true" ma:displayName="Legal Review" ma:description="Initials" ma:internalName="Legal_x0020_Review">
      <xsd:simpleType>
        <xsd:restriction base="dms:Text">
          <xsd:maxLength value="255"/>
        </xsd:restriction>
      </xsd:simpleType>
    </xsd:element>
    <xsd:element name="Final_x0020_Review" ma:index="15" nillable="true" ma:displayName="Final Review" ma:description="Initials" ma:internalName="Final_x0020_Review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Notes0 xmlns="d0069f4f-93d7-4305-af84-4976c378d001" xsi:nil="true"/>
    <ID_x0020__x0023_ xmlns="d0069f4f-93d7-4305-af84-4976c378d001" xsi:nil="true"/>
    <Reg_x002e__x0020_Pricing_x0020_Review xmlns="d0069f4f-93d7-4305-af84-4976c378d001" xsi:nil="true"/>
    <Status xmlns="d0069f4f-93d7-4305-af84-4976c378d001">Assigned</Status>
    <Legal_x0020_Review xmlns="d0069f4f-93d7-4305-af84-4976c378d001" xsi:nil="true"/>
    <Author0 xmlns="d0069f4f-93d7-4305-af84-4976c378d001" xsi:nil="true"/>
    <Formatting_x0020_Review xmlns="d0069f4f-93d7-4305-af84-4976c378d001">jlm</Formatting_x0020_Review>
    <Final_x0020_Review xmlns="d0069f4f-93d7-4305-af84-4976c378d0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859D8-ECEE-4242-8DB2-5EE1F0473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69f4f-93d7-4305-af84-4976c378d00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D35857E-D1EB-453B-A5B1-17D3B0F00EDB}">
  <ds:schemaRefs>
    <ds:schemaRef ds:uri="http://purl.org/dc/dcmitype/"/>
    <ds:schemaRef ds:uri="http://purl.org/dc/elements/1.1/"/>
    <ds:schemaRef ds:uri="http://www.w3.org/XML/1998/namespace"/>
    <ds:schemaRef ds:uri="d0069f4f-93d7-4305-af84-4976c378d001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24A410E-EC24-4905-BDE0-9CDDA4111B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MISO Schedule 10 D&amp;E</vt:lpstr>
      <vt:lpstr>WP-I1  2010 FERC 456 Trans Rev</vt:lpstr>
      <vt:lpstr>WP-I2  2010 FERC 565 Trans Exp</vt:lpstr>
      <vt:lpstr>MISO Schedule 10 FERC</vt:lpstr>
      <vt:lpstr>MISO Schedule 26</vt:lpstr>
      <vt:lpstr>MISO Schedule 26-A</vt:lpstr>
      <vt:lpstr>A&amp;G Credit</vt:lpstr>
      <vt:lpstr>MEC 2018 Energy Forecast</vt:lpstr>
      <vt:lpstr>MEC 2018 Demand Forecast</vt:lpstr>
      <vt:lpstr>MEC Sch. 26-A Forecast</vt:lpstr>
      <vt:lpstr>Attachment MM</vt:lpstr>
      <vt:lpstr>'MISO Schedule 10 D&amp;E'!Print_Area</vt:lpstr>
      <vt:lpstr>'WP-I1  2010 FERC 456 Trans Rev'!Print_Area</vt:lpstr>
      <vt:lpstr>'WP-I2  2010 FERC 565 Trans Exp'!Print_Area</vt:lpstr>
      <vt:lpstr>'MISO Schedule 10 D&amp;E'!Print_Titles</vt:lpstr>
      <vt:lpstr>'WP-I2  2010 FERC 565 Trans Exp'!Print_Titles</vt:lpstr>
    </vt:vector>
  </TitlesOfParts>
  <Company>Alliant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Vognsen</dc:creator>
  <cp:lastModifiedBy>Vyncke, Laura M</cp:lastModifiedBy>
  <cp:lastPrinted>2018-02-28T16:36:39Z</cp:lastPrinted>
  <dcterms:created xsi:type="dcterms:W3CDTF">2009-02-17T13:32:26Z</dcterms:created>
  <dcterms:modified xsi:type="dcterms:W3CDTF">2018-02-28T16:36:46Z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0x010100300879129F40784986C5B17F36C896B8</vt:lpwstr>
  </property>
</Properties>
</file>