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Regulated Pricing\SD TCR\TCR Annual Reconciliation &amp; New Factor Calc\2017\Data Request\Data Request No. 1\Data Request 1-1 workpapers\"/>
    </mc:Choice>
  </mc:AlternateContent>
  <bookViews>
    <workbookView xWindow="0" yWindow="0" windowWidth="28800" windowHeight="11835" tabRatio="297"/>
  </bookViews>
  <sheets>
    <sheet name="Nonlevelized-MEC" sheetId="40" r:id="rId1"/>
    <sheet name="Plant Balance" sheetId="9" r:id="rId2"/>
    <sheet name="Plant Balance - ARO" sheetId="38" r:id="rId3"/>
    <sheet name="Accum Depr" sheetId="11" r:id="rId4"/>
    <sheet name="Accum Depr - ARO" sheetId="39" r:id="rId5"/>
    <sheet name="CWIP" sheetId="18" r:id="rId6"/>
    <sheet name="ADIT Projection Summary" sheetId="37" r:id="rId7"/>
    <sheet name="AFUDC on CWIP" sheetId="19" r:id="rId8"/>
    <sheet name="Inv Bal" sheetId="12" r:id="rId9"/>
    <sheet name="Prepay" sheetId="13" r:id="rId10"/>
    <sheet name="O&amp;M" sheetId="21" r:id="rId11"/>
    <sheet name="A&amp;G" sheetId="22" r:id="rId12"/>
    <sheet name="Depreciation" sheetId="14" r:id="rId13"/>
    <sheet name="Other Tax" sheetId="23" r:id="rId14"/>
    <sheet name="Amort Inves Tax Credit" sheetId="24" r:id="rId15"/>
    <sheet name="Acct 561" sheetId="25" r:id="rId16"/>
    <sheet name="Acct 565" sheetId="27" r:id="rId17"/>
    <sheet name="FERC Exp &amp; EPRI" sheetId="28" r:id="rId18"/>
    <sheet name="Labor Ratios" sheetId="15" r:id="rId19"/>
    <sheet name="Pref Stock" sheetId="26" r:id="rId20"/>
    <sheet name="Common Equity" sheetId="16" r:id="rId21"/>
    <sheet name="Acct 216.1" sheetId="29" r:id="rId22"/>
    <sheet name="Cost of Debt" sheetId="17" r:id="rId23"/>
    <sheet name="trans for others" sheetId="2" r:id="rId24"/>
    <sheet name="454 rents" sheetId="3" r:id="rId25"/>
    <sheet name="Divisor" sheetId="20" r:id="rId26"/>
    <sheet name="tax" sheetId="8" r:id="rId27"/>
    <sheet name="footnote k tax" sheetId="33" r:id="rId28"/>
    <sheet name="2016 Attach O True-Up" sheetId="36" r:id="rId29"/>
    <sheet name="short-term interest rate" sheetId="32" r:id="rId30"/>
  </sheets>
  <externalReferences>
    <externalReference r:id="rId31"/>
    <externalReference r:id="rId32"/>
    <externalReference r:id="rId33"/>
    <externalReference r:id="rId34"/>
    <externalReference r:id="rId35"/>
  </externalReferences>
  <definedNames>
    <definedName name="__123Graph_A" localSheetId="6" hidden="1">[1]Sheet3!#REF!</definedName>
    <definedName name="__123Graph_A" hidden="1">[1]Sheet3!#REF!</definedName>
    <definedName name="__123Graph_A1991" localSheetId="6" hidden="1">[1]Sheet3!#REF!</definedName>
    <definedName name="__123Graph_A1991" hidden="1">[1]Sheet3!#REF!</definedName>
    <definedName name="__123Graph_A1992" localSheetId="6" hidden="1">[1]Sheet3!#REF!</definedName>
    <definedName name="__123Graph_A1992" hidden="1">[1]Sheet3!#REF!</definedName>
    <definedName name="__123Graph_A1993" localSheetId="6" hidden="1">[1]Sheet3!#REF!</definedName>
    <definedName name="__123Graph_A1993" hidden="1">[1]Sheet3!#REF!</definedName>
    <definedName name="__123Graph_A1994" localSheetId="6" hidden="1">[1]Sheet3!#REF!</definedName>
    <definedName name="__123Graph_A1994" hidden="1">[1]Sheet3!#REF!</definedName>
    <definedName name="__123Graph_A1995" localSheetId="6" hidden="1">[1]Sheet3!#REF!</definedName>
    <definedName name="__123Graph_A1995" hidden="1">[1]Sheet3!#REF!</definedName>
    <definedName name="__123Graph_A1996" localSheetId="6" hidden="1">[1]Sheet3!#REF!</definedName>
    <definedName name="__123Graph_A1996" hidden="1">[1]Sheet3!#REF!</definedName>
    <definedName name="__123Graph_ABAR" localSheetId="6" hidden="1">[1]Sheet3!#REF!</definedName>
    <definedName name="__123Graph_ABAR" hidden="1">[1]Sheet3!#REF!</definedName>
    <definedName name="__123Graph_B" localSheetId="6" hidden="1">[1]Sheet3!#REF!</definedName>
    <definedName name="__123Graph_B" hidden="1">[1]Sheet3!#REF!</definedName>
    <definedName name="__123Graph_B1991" localSheetId="6" hidden="1">[1]Sheet3!#REF!</definedName>
    <definedName name="__123Graph_B1991" hidden="1">[1]Sheet3!#REF!</definedName>
    <definedName name="__123Graph_B1992" localSheetId="6" hidden="1">[1]Sheet3!#REF!</definedName>
    <definedName name="__123Graph_B1992" hidden="1">[1]Sheet3!#REF!</definedName>
    <definedName name="__123Graph_B1993" localSheetId="6" hidden="1">[1]Sheet3!#REF!</definedName>
    <definedName name="__123Graph_B1993" hidden="1">[1]Sheet3!#REF!</definedName>
    <definedName name="__123Graph_B1994" localSheetId="6" hidden="1">[1]Sheet3!#REF!</definedName>
    <definedName name="__123Graph_B1994" hidden="1">[1]Sheet3!#REF!</definedName>
    <definedName name="__123Graph_B1995" localSheetId="6" hidden="1">[1]Sheet3!#REF!</definedName>
    <definedName name="__123Graph_B1995" hidden="1">[1]Sheet3!#REF!</definedName>
    <definedName name="__123Graph_B1996" localSheetId="6" hidden="1">[1]Sheet3!#REF!</definedName>
    <definedName name="__123Graph_B1996" hidden="1">[1]Sheet3!#REF!</definedName>
    <definedName name="__123Graph_BBAR" localSheetId="6" hidden="1">[1]Sheet3!#REF!</definedName>
    <definedName name="__123Graph_BBAR" hidden="1">[1]Sheet3!#REF!</definedName>
    <definedName name="__123Graph_CBAR" localSheetId="6" hidden="1">[1]Sheet3!#REF!</definedName>
    <definedName name="__123Graph_CBAR" hidden="1">[1]Sheet3!#REF!</definedName>
    <definedName name="__123Graph_DBAR" localSheetId="6" hidden="1">[1]Sheet3!#REF!</definedName>
    <definedName name="__123Graph_DBAR" hidden="1">[1]Sheet3!#REF!</definedName>
    <definedName name="__123Graph_EBAR" localSheetId="6" hidden="1">[1]Sheet3!#REF!</definedName>
    <definedName name="__123Graph_EBAR" hidden="1">[1]Sheet3!#REF!</definedName>
    <definedName name="__123Graph_FBAR" localSheetId="6" hidden="1">[1]Sheet3!#REF!</definedName>
    <definedName name="__123Graph_FBAR" hidden="1">[1]Sheet3!#REF!</definedName>
    <definedName name="__123Graph_X" localSheetId="6" hidden="1">[1]Sheet3!#REF!</definedName>
    <definedName name="__123Graph_X" hidden="1">[1]Sheet3!#REF!</definedName>
    <definedName name="__123Graph_X1991" localSheetId="6" hidden="1">[1]Sheet3!#REF!</definedName>
    <definedName name="__123Graph_X1991" hidden="1">[1]Sheet3!#REF!</definedName>
    <definedName name="__123Graph_X1992" localSheetId="6" hidden="1">[1]Sheet3!#REF!</definedName>
    <definedName name="__123Graph_X1992" hidden="1">[1]Sheet3!#REF!</definedName>
    <definedName name="__123Graph_X1993" localSheetId="6" hidden="1">[1]Sheet3!#REF!</definedName>
    <definedName name="__123Graph_X1993" hidden="1">[1]Sheet3!#REF!</definedName>
    <definedName name="__123Graph_X1994" localSheetId="6" hidden="1">[1]Sheet3!#REF!</definedName>
    <definedName name="__123Graph_X1994" hidden="1">[1]Sheet3!#REF!</definedName>
    <definedName name="__123Graph_X1995" localSheetId="6" hidden="1">[1]Sheet3!#REF!</definedName>
    <definedName name="__123Graph_X1995" hidden="1">[1]Sheet3!#REF!</definedName>
    <definedName name="__123Graph_X1996" localSheetId="6" hidden="1">[1]Sheet3!#REF!</definedName>
    <definedName name="__123Graph_X1996" hidden="1">[1]Sheet3!#REF!</definedName>
    <definedName name="_FEB01" localSheetId="6" hidden="1">{#N/A,#N/A,FALSE,"EMPPAY"}</definedName>
    <definedName name="_FEB01" hidden="1">{#N/A,#N/A,FALSE,"EMPPAY"}</definedName>
    <definedName name="_Fill" localSheetId="6" hidden="1">'[2]Exp Detail'!#REF!</definedName>
    <definedName name="_Fill" hidden="1">'[2]Exp Detail'!#REF!</definedName>
    <definedName name="_JAN01" localSheetId="6" hidden="1">{#N/A,#N/A,FALSE,"EMPPAY"}</definedName>
    <definedName name="_JAN01" hidden="1">{#N/A,#N/A,FALSE,"EMPPAY"}</definedName>
    <definedName name="_JAN2001" localSheetId="6" hidden="1">{#N/A,#N/A,FALSE,"EMPPAY"}</definedName>
    <definedName name="_JAN2001" hidden="1">{#N/A,#N/A,FALSE,"EMPPAY"}</definedName>
    <definedName name="_Key1" localSheetId="6" hidden="1">'[2]Exp Detail'!#REF!</definedName>
    <definedName name="_Key1" hidden="1">'[2]Exp Detail'!#REF!</definedName>
    <definedName name="_Order1" hidden="1">255</definedName>
    <definedName name="_Sort" localSheetId="6" hidden="1">'[2]Exp Detail'!#REF!</definedName>
    <definedName name="_Sort" hidden="1">'[2]Exp Detail'!#REF!</definedName>
    <definedName name="A" localSheetId="6" hidden="1">{#N/A,#N/A,FALSE,"EMPPAY"}</definedName>
    <definedName name="A" hidden="1">{#N/A,#N/A,FALSE,"EMPPAY"}</definedName>
    <definedName name="Adjusted_KW">[3]CALCULATIONS!$C$29</definedName>
    <definedName name="Allocator.gross.plant">'[4]Appendix A'!$H$29</definedName>
    <definedName name="Allocator.net.plant">'[4]Appendix A'!$H$32</definedName>
    <definedName name="Allocator.wages.salary">'[4]Appendix A'!$H$17</definedName>
    <definedName name="Current_Year">'[5]Electric Fund Historical'!$D$1</definedName>
    <definedName name="DEC00" localSheetId="6" hidden="1">{#N/A,#N/A,FALSE,"ARREC"}</definedName>
    <definedName name="DEC00" hidden="1">{#N/A,#N/A,FALSE,"ARREC"}</definedName>
    <definedName name="FEB00" localSheetId="6" hidden="1">{#N/A,#N/A,FALSE,"ARREC"}</definedName>
    <definedName name="FEB00" hidden="1">{#N/A,#N/A,FALSE,"ARREC"}</definedName>
    <definedName name="Hours">[3]CALCULATIONS!$C$11</definedName>
    <definedName name="MAY" localSheetId="6" hidden="1">{#N/A,#N/A,FALSE,"EMPPAY"}</definedName>
    <definedName name="MAY" hidden="1">{#N/A,#N/A,FALSE,"EMPPAY"}</definedName>
    <definedName name="PAGE1" localSheetId="28">#REF!</definedName>
    <definedName name="PAGE1" localSheetId="27">#REF!</definedName>
    <definedName name="PAGE1" localSheetId="29">#REF!</definedName>
    <definedName name="PAGE1">#REF!</definedName>
    <definedName name="PAGE2" localSheetId="28">#REF!</definedName>
    <definedName name="PAGE2" localSheetId="27">#REF!</definedName>
    <definedName name="PAGE2" localSheetId="29">#REF!</definedName>
    <definedName name="PAGE2">#REF!</definedName>
    <definedName name="_xlnm.Print_Area" localSheetId="0">'Nonlevelized-MEC'!$A$1:$K$418</definedName>
    <definedName name="_xlnm.Print_Area" localSheetId="26">tax!$A$1:$N$85</definedName>
    <definedName name="TEST" localSheetId="6" hidden="1">{#N/A,#N/A,FALSE,"EMPPAY"}</definedName>
    <definedName name="TEST" hidden="1">{#N/A,#N/A,FALSE,"EMPPAY"}</definedName>
    <definedName name="wrn.ARREC." localSheetId="6" hidden="1">{#N/A,#N/A,FALSE,"ARREC"}</definedName>
    <definedName name="wrn.ARREC." hidden="1">{#N/A,#N/A,FALSE,"ARREC"}</definedName>
    <definedName name="wrn.EMPPAY." localSheetId="6" hidden="1">{#N/A,#N/A,FALSE,"EMPPAY"}</definedName>
    <definedName name="wrn.EMPPAY." hidden="1">{#N/A,#N/A,FALSE,"EMPPAY"}</definedName>
    <definedName name="xx" localSheetId="6" hidden="1">{#N/A,#N/A,FALSE,"EMPPAY"}</definedName>
    <definedName name="xx" hidden="1">{#N/A,#N/A,FALSE,"EMPPAY"}</definedName>
  </definedNames>
  <calcPr calcId="152511"/>
</workbook>
</file>

<file path=xl/calcChain.xml><?xml version="1.0" encoding="utf-8"?>
<calcChain xmlns="http://schemas.openxmlformats.org/spreadsheetml/2006/main">
  <c r="I77" i="8" l="1"/>
  <c r="H67" i="8"/>
  <c r="G56" i="8"/>
  <c r="F47" i="8"/>
  <c r="E38" i="8"/>
  <c r="D29" i="8"/>
  <c r="K7" i="2" l="1"/>
  <c r="C20" i="21" l="1"/>
  <c r="C19" i="21"/>
  <c r="C18" i="21"/>
  <c r="C17" i="21"/>
  <c r="C16" i="21"/>
  <c r="C15" i="21"/>
  <c r="C14" i="21"/>
  <c r="C13" i="21"/>
  <c r="C12" i="21"/>
  <c r="C11" i="21"/>
  <c r="C10" i="21"/>
  <c r="C9" i="21"/>
  <c r="A3" i="17" l="1"/>
  <c r="A3" i="16" l="1"/>
  <c r="C23" i="32" l="1"/>
  <c r="C22" i="32"/>
  <c r="C21" i="32"/>
  <c r="C20" i="32"/>
  <c r="C19" i="32"/>
  <c r="C18" i="32"/>
  <c r="C17" i="32"/>
  <c r="C16" i="32"/>
  <c r="C15" i="32"/>
  <c r="C14" i="32"/>
  <c r="C13" i="32"/>
  <c r="C12" i="32"/>
  <c r="C11" i="32"/>
  <c r="C10" i="32"/>
  <c r="C9" i="32"/>
  <c r="C8" i="32"/>
  <c r="C7" i="32"/>
  <c r="C6" i="32"/>
  <c r="C5" i="32"/>
  <c r="F23" i="39" l="1"/>
  <c r="F23" i="38"/>
  <c r="A3" i="29" l="1"/>
  <c r="A3" i="26"/>
  <c r="A3" i="15"/>
  <c r="A3" i="28"/>
  <c r="A3" i="27"/>
  <c r="A3" i="25"/>
  <c r="A3" i="24"/>
  <c r="A3" i="23"/>
  <c r="A3" i="14"/>
  <c r="A3" i="22"/>
  <c r="A3" i="13"/>
  <c r="A3" i="12"/>
  <c r="A3" i="18"/>
  <c r="A3" i="39"/>
  <c r="A3" i="11"/>
  <c r="A3" i="38"/>
  <c r="B13" i="20"/>
  <c r="B14" i="20"/>
  <c r="B15" i="20"/>
  <c r="B16" i="20"/>
  <c r="B17" i="20"/>
  <c r="B18" i="20"/>
  <c r="B19" i="20"/>
  <c r="B20" i="20"/>
  <c r="B21" i="20"/>
  <c r="B22" i="20"/>
  <c r="B12" i="20"/>
  <c r="B11" i="20"/>
  <c r="B9" i="16"/>
  <c r="B11" i="22"/>
  <c r="B12" i="22"/>
  <c r="B13" i="22"/>
  <c r="B14" i="22"/>
  <c r="B15" i="22"/>
  <c r="B16" i="22"/>
  <c r="B17" i="22"/>
  <c r="B18" i="22"/>
  <c r="B19" i="22"/>
  <c r="B20" i="22"/>
  <c r="B10" i="22"/>
  <c r="B9" i="22"/>
  <c r="B21" i="13"/>
  <c r="B20" i="13"/>
  <c r="B19" i="13"/>
  <c r="B18" i="13"/>
  <c r="B17" i="13"/>
  <c r="B16" i="13"/>
  <c r="B15" i="13"/>
  <c r="B14" i="13"/>
  <c r="B13" i="13"/>
  <c r="B12" i="13"/>
  <c r="B11" i="13"/>
  <c r="B10" i="13"/>
  <c r="B9" i="13"/>
  <c r="B21" i="12"/>
  <c r="B20" i="12"/>
  <c r="B19" i="12"/>
  <c r="B18" i="12"/>
  <c r="B17" i="12"/>
  <c r="B16" i="12"/>
  <c r="B15" i="12"/>
  <c r="B14" i="12"/>
  <c r="B13" i="12"/>
  <c r="B12" i="12"/>
  <c r="B11" i="12"/>
  <c r="B10" i="12"/>
  <c r="B9" i="12"/>
  <c r="B21" i="18"/>
  <c r="B20" i="18"/>
  <c r="B19" i="18"/>
  <c r="B18" i="18"/>
  <c r="B17" i="18"/>
  <c r="B16" i="18"/>
  <c r="B15" i="18"/>
  <c r="B14" i="18"/>
  <c r="B13" i="18"/>
  <c r="B12" i="18"/>
  <c r="B11" i="18"/>
  <c r="B10" i="18"/>
  <c r="B9" i="18"/>
  <c r="B21" i="39"/>
  <c r="B20" i="39"/>
  <c r="B19" i="39"/>
  <c r="B18" i="39"/>
  <c r="B17" i="39"/>
  <c r="B16" i="39"/>
  <c r="B15" i="39"/>
  <c r="B14" i="39"/>
  <c r="B13" i="39"/>
  <c r="B12" i="39"/>
  <c r="B11" i="39"/>
  <c r="B10" i="39"/>
  <c r="B9" i="39"/>
  <c r="B21" i="11"/>
  <c r="B20" i="11"/>
  <c r="B19" i="11"/>
  <c r="B18" i="11"/>
  <c r="B17" i="11"/>
  <c r="B16" i="11"/>
  <c r="B15" i="11"/>
  <c r="B14" i="11"/>
  <c r="B13" i="11"/>
  <c r="B12" i="11"/>
  <c r="B11" i="11"/>
  <c r="B10" i="11"/>
  <c r="B9" i="11"/>
  <c r="B11" i="38"/>
  <c r="B12" i="38"/>
  <c r="B13" i="38"/>
  <c r="B14" i="38"/>
  <c r="B15" i="38"/>
  <c r="B16" i="38"/>
  <c r="B17" i="38"/>
  <c r="B18" i="38"/>
  <c r="B19" i="38"/>
  <c r="B20" i="38"/>
  <c r="B21" i="38"/>
  <c r="B10" i="38"/>
  <c r="B9" i="38"/>
  <c r="I213" i="40" l="1"/>
  <c r="I210" i="40"/>
  <c r="C22" i="21" l="1"/>
  <c r="D369" i="40" l="1"/>
  <c r="D367" i="40"/>
  <c r="D366" i="40"/>
  <c r="I24" i="40"/>
  <c r="I23" i="40"/>
  <c r="I293" i="40"/>
  <c r="I292" i="40"/>
  <c r="I290" i="40"/>
  <c r="D276" i="40"/>
  <c r="I271" i="40"/>
  <c r="I266" i="40"/>
  <c r="I264" i="40"/>
  <c r="D253" i="40"/>
  <c r="D252" i="40"/>
  <c r="D251" i="40"/>
  <c r="I242" i="40"/>
  <c r="D189" i="40"/>
  <c r="D187" i="40"/>
  <c r="D184" i="40"/>
  <c r="D177" i="40"/>
  <c r="D174" i="40"/>
  <c r="D167" i="40"/>
  <c r="D166" i="40"/>
  <c r="D162" i="40"/>
  <c r="F19" i="12" l="1"/>
  <c r="C11" i="27" l="1"/>
  <c r="C23" i="25"/>
  <c r="D163" i="40" s="1"/>
  <c r="C17" i="23"/>
  <c r="D188" i="40" s="1"/>
  <c r="C13" i="23"/>
  <c r="D186" i="40" s="1"/>
  <c r="C9" i="23"/>
  <c r="D183" i="40" s="1"/>
  <c r="D368" i="40" l="1"/>
  <c r="D370" i="40" s="1"/>
  <c r="I26" i="40" s="1"/>
  <c r="D307" i="40"/>
  <c r="K304" i="40"/>
  <c r="I285" i="40"/>
  <c r="G276" i="40"/>
  <c r="I270" i="40"/>
  <c r="I257" i="40"/>
  <c r="G253" i="40"/>
  <c r="G251" i="40"/>
  <c r="D229" i="40"/>
  <c r="G226" i="40"/>
  <c r="D190" i="40"/>
  <c r="F188" i="40"/>
  <c r="C188" i="40"/>
  <c r="F187" i="40"/>
  <c r="F184" i="40"/>
  <c r="C184" i="40"/>
  <c r="D179" i="40"/>
  <c r="B178" i="40"/>
  <c r="B174" i="40"/>
  <c r="I170" i="40"/>
  <c r="C169" i="40"/>
  <c r="F168" i="40"/>
  <c r="F167" i="40"/>
  <c r="F166" i="40"/>
  <c r="I163" i="40"/>
  <c r="D157" i="40"/>
  <c r="K154" i="40"/>
  <c r="I119" i="40"/>
  <c r="G119" i="40"/>
  <c r="I118" i="40"/>
  <c r="I117" i="40"/>
  <c r="I116" i="40"/>
  <c r="D109" i="40"/>
  <c r="F101" i="40"/>
  <c r="B101" i="40"/>
  <c r="B109" i="40" s="1"/>
  <c r="F100" i="40"/>
  <c r="B100" i="40"/>
  <c r="B108" i="40" s="1"/>
  <c r="G99" i="40"/>
  <c r="F99" i="40"/>
  <c r="B99" i="40"/>
  <c r="B107" i="40" s="1"/>
  <c r="F98" i="40"/>
  <c r="F124" i="40" s="1"/>
  <c r="B98" i="40"/>
  <c r="B106" i="40" s="1"/>
  <c r="G97" i="40"/>
  <c r="F97" i="40"/>
  <c r="B97" i="40"/>
  <c r="B105" i="40" s="1"/>
  <c r="D83" i="40"/>
  <c r="K80" i="40"/>
  <c r="I58" i="40"/>
  <c r="I57" i="40"/>
  <c r="I25" i="40"/>
  <c r="F18" i="40"/>
  <c r="F19" i="40" s="1"/>
  <c r="F20" i="40" s="1"/>
  <c r="E23" i="18" l="1"/>
  <c r="E23" i="39" l="1"/>
  <c r="D23" i="39"/>
  <c r="E23" i="38" l="1"/>
  <c r="D23" i="38"/>
  <c r="C25" i="32" l="1"/>
  <c r="G32" i="36" s="1"/>
  <c r="G18" i="36"/>
  <c r="G21" i="36" s="1"/>
  <c r="G27" i="36" s="1"/>
  <c r="G11" i="36"/>
  <c r="G26" i="36" s="1"/>
  <c r="G28" i="36" l="1"/>
  <c r="I27" i="40" l="1"/>
  <c r="G33" i="36"/>
  <c r="G35" i="36"/>
  <c r="M77" i="8"/>
  <c r="M75" i="8"/>
  <c r="M73" i="8"/>
  <c r="M67" i="8"/>
  <c r="M65" i="8"/>
  <c r="M63" i="8"/>
  <c r="M56" i="8"/>
  <c r="M54" i="8"/>
  <c r="M47" i="8"/>
  <c r="M45" i="8"/>
  <c r="M43" i="8"/>
  <c r="M38" i="8"/>
  <c r="M36" i="8"/>
  <c r="M34" i="8"/>
  <c r="M29" i="8"/>
  <c r="M27" i="8"/>
  <c r="M24" i="8"/>
  <c r="M18" i="8"/>
  <c r="M42" i="8" s="1"/>
  <c r="M44" i="8" s="1"/>
  <c r="I11" i="8"/>
  <c r="H11" i="8"/>
  <c r="G11" i="8"/>
  <c r="F11" i="8"/>
  <c r="E11" i="8"/>
  <c r="D11" i="8"/>
  <c r="K6" i="8"/>
  <c r="D12" i="8" l="1"/>
  <c r="E13" i="8"/>
  <c r="I17" i="8"/>
  <c r="M23" i="8"/>
  <c r="H18" i="8"/>
  <c r="H62" i="8" s="1"/>
  <c r="H16" i="8"/>
  <c r="F18" i="8"/>
  <c r="F42" i="8" s="1"/>
  <c r="F14" i="8"/>
  <c r="M33" i="8"/>
  <c r="M35" i="8" s="1"/>
  <c r="M37" i="8" s="1"/>
  <c r="M39" i="8" s="1"/>
  <c r="M40" i="8" s="1"/>
  <c r="P40" i="8" s="1"/>
  <c r="G15" i="8"/>
  <c r="K15" i="8" s="1"/>
  <c r="M46" i="8"/>
  <c r="M48" i="8" s="1"/>
  <c r="M49" i="8" s="1"/>
  <c r="P49" i="8" s="1"/>
  <c r="H20" i="8"/>
  <c r="H21" i="8" s="1"/>
  <c r="K11" i="8"/>
  <c r="M62" i="8"/>
  <c r="M64" i="8" s="1"/>
  <c r="M66" i="8" s="1"/>
  <c r="M68" i="8" s="1"/>
  <c r="M69" i="8" s="1"/>
  <c r="M51" i="8"/>
  <c r="M53" i="8" s="1"/>
  <c r="M55" i="8" s="1"/>
  <c r="M57" i="8" s="1"/>
  <c r="M58" i="8" s="1"/>
  <c r="M72" i="8"/>
  <c r="M74" i="8" s="1"/>
  <c r="M76" i="8" s="1"/>
  <c r="M78" i="8" s="1"/>
  <c r="M79" i="8" s="1"/>
  <c r="M20" i="8"/>
  <c r="E34" i="8" l="1"/>
  <c r="K13" i="8"/>
  <c r="F20" i="8"/>
  <c r="F21" i="8" s="1"/>
  <c r="F43" i="8"/>
  <c r="F44" i="8" s="1"/>
  <c r="F46" i="8" s="1"/>
  <c r="F48" i="8" s="1"/>
  <c r="K14" i="8"/>
  <c r="E18" i="8"/>
  <c r="K17" i="8"/>
  <c r="I73" i="8"/>
  <c r="D24" i="8"/>
  <c r="K12" i="8"/>
  <c r="G18" i="8"/>
  <c r="K16" i="8"/>
  <c r="H63" i="8"/>
  <c r="H64" i="8" s="1"/>
  <c r="H66" i="8" s="1"/>
  <c r="H68" i="8" s="1"/>
  <c r="I18" i="8"/>
  <c r="D18" i="8"/>
  <c r="M21" i="8"/>
  <c r="M25" i="8"/>
  <c r="M26" i="8" s="1"/>
  <c r="M28" i="8" s="1"/>
  <c r="M30" i="8" s="1"/>
  <c r="M31" i="8" s="1"/>
  <c r="P69" i="8"/>
  <c r="P79" i="8"/>
  <c r="F49" i="8" l="1"/>
  <c r="F82" i="8" s="1"/>
  <c r="K48" i="8"/>
  <c r="K49" i="8" s="1"/>
  <c r="K68" i="8"/>
  <c r="K69" i="8" s="1"/>
  <c r="H69" i="8"/>
  <c r="H82" i="8" s="1"/>
  <c r="I72" i="8"/>
  <c r="I74" i="8" s="1"/>
  <c r="I76" i="8" s="1"/>
  <c r="I78" i="8" s="1"/>
  <c r="I20" i="8"/>
  <c r="I21" i="8" s="1"/>
  <c r="E33" i="8"/>
  <c r="E35" i="8" s="1"/>
  <c r="E37" i="8" s="1"/>
  <c r="E39" i="8" s="1"/>
  <c r="E20" i="8"/>
  <c r="E21" i="8" s="1"/>
  <c r="K18" i="8"/>
  <c r="D23" i="8"/>
  <c r="D20" i="8"/>
  <c r="G20" i="8"/>
  <c r="G21" i="8" s="1"/>
  <c r="G51" i="8"/>
  <c r="G53" i="8" s="1"/>
  <c r="G55" i="8" s="1"/>
  <c r="G57" i="8" s="1"/>
  <c r="P31" i="8"/>
  <c r="M82" i="8"/>
  <c r="N82" i="8" s="1"/>
  <c r="P21" i="8"/>
  <c r="K39" i="8" l="1"/>
  <c r="K40" i="8" s="1"/>
  <c r="E40" i="8"/>
  <c r="E82" i="8" s="1"/>
  <c r="D21" i="8"/>
  <c r="D25" i="8"/>
  <c r="D26" i="8" s="1"/>
  <c r="D28" i="8" s="1"/>
  <c r="D30" i="8" s="1"/>
  <c r="K20" i="8"/>
  <c r="K21" i="8" s="1"/>
  <c r="G58" i="8"/>
  <c r="G82" i="8" s="1"/>
  <c r="K57" i="8"/>
  <c r="K58" i="8" s="1"/>
  <c r="I79" i="8"/>
  <c r="I82" i="8" s="1"/>
  <c r="K78" i="8"/>
  <c r="K79" i="8" s="1"/>
  <c r="P82" i="8"/>
  <c r="N83" i="8"/>
  <c r="M83" i="8"/>
  <c r="K30" i="8" l="1"/>
  <c r="K31" i="8" s="1"/>
  <c r="K82" i="8" s="1"/>
  <c r="D31" i="8"/>
  <c r="D82" i="8" s="1"/>
  <c r="N40" i="8"/>
  <c r="N49" i="8"/>
  <c r="N58" i="8"/>
  <c r="N79" i="8"/>
  <c r="N69" i="8"/>
  <c r="N31" i="8"/>
  <c r="N81" i="8" l="1"/>
  <c r="H26" i="37" l="1"/>
  <c r="H17" i="37"/>
  <c r="F46" i="37"/>
  <c r="C45" i="37"/>
  <c r="I46" i="37"/>
  <c r="C39" i="37"/>
  <c r="F34" i="37"/>
  <c r="C33" i="37"/>
  <c r="I34" i="37"/>
  <c r="H27" i="37"/>
  <c r="C27" i="37"/>
  <c r="H25" i="37"/>
  <c r="H24" i="37"/>
  <c r="H23" i="37"/>
  <c r="H22" i="37"/>
  <c r="H21" i="37"/>
  <c r="H20" i="37"/>
  <c r="H19" i="37"/>
  <c r="H18" i="37"/>
  <c r="H16" i="37"/>
  <c r="H15" i="37"/>
  <c r="F28" i="37" l="1"/>
  <c r="K34" i="37"/>
  <c r="G46" i="37"/>
  <c r="K46" i="37"/>
  <c r="G34" i="37"/>
  <c r="H46" i="37" l="1"/>
  <c r="H34" i="37"/>
  <c r="C23" i="18" l="1"/>
  <c r="G10" i="18" l="1"/>
  <c r="G21" i="18"/>
  <c r="G11" i="18"/>
  <c r="G12" i="18"/>
  <c r="G13" i="18"/>
  <c r="G14" i="18"/>
  <c r="G15" i="18"/>
  <c r="G16" i="18"/>
  <c r="G17" i="18"/>
  <c r="G18" i="18"/>
  <c r="G19" i="18"/>
  <c r="G20" i="18"/>
  <c r="G9" i="18"/>
  <c r="F23" i="18"/>
  <c r="C12" i="33" l="1"/>
  <c r="C11" i="33"/>
  <c r="C9" i="33"/>
  <c r="D325" i="40" s="1"/>
  <c r="C8" i="33"/>
  <c r="D324" i="40" s="1"/>
  <c r="C14" i="33" l="1"/>
  <c r="D326" i="40" s="1"/>
  <c r="D193" i="40" s="1"/>
  <c r="D197" i="40" s="1"/>
  <c r="D23" i="18" l="1"/>
  <c r="I12" i="9" l="1"/>
  <c r="I13" i="9"/>
  <c r="I14" i="9"/>
  <c r="I15" i="9"/>
  <c r="I16" i="9"/>
  <c r="I17" i="9"/>
  <c r="I18" i="9"/>
  <c r="I19" i="9"/>
  <c r="I20" i="9"/>
  <c r="I21" i="9"/>
  <c r="D24" i="13" l="1"/>
  <c r="D129" i="40" s="1"/>
  <c r="F23" i="9"/>
  <c r="D91" i="40" s="1"/>
  <c r="E23" i="9"/>
  <c r="D90" i="40" s="1"/>
  <c r="I233" i="40" s="1"/>
  <c r="I236" i="40" s="1"/>
  <c r="I238" i="40" s="1"/>
  <c r="D23" i="9"/>
  <c r="D23" i="11"/>
  <c r="D97" i="40" s="1"/>
  <c r="F23" i="11"/>
  <c r="D99" i="40" s="1"/>
  <c r="E23" i="11"/>
  <c r="D107" i="40" l="1"/>
  <c r="G90" i="40"/>
  <c r="G17" i="40"/>
  <c r="I246" i="40"/>
  <c r="E252" i="40"/>
  <c r="G252" i="40" s="1"/>
  <c r="D89" i="40"/>
  <c r="D258" i="40"/>
  <c r="D98" i="40"/>
  <c r="C13" i="27"/>
  <c r="D164" i="40" s="1"/>
  <c r="G18" i="40" l="1"/>
  <c r="G19" i="40" s="1"/>
  <c r="G112" i="40"/>
  <c r="G121" i="40"/>
  <c r="I121" i="40" s="1"/>
  <c r="G98" i="40"/>
  <c r="G124" i="40" s="1"/>
  <c r="I90" i="40"/>
  <c r="G115" i="40"/>
  <c r="G120" i="40"/>
  <c r="I120" i="40" s="1"/>
  <c r="D105" i="40"/>
  <c r="D94" i="40"/>
  <c r="D106" i="40"/>
  <c r="G23" i="9"/>
  <c r="D92" i="40" s="1"/>
  <c r="I11" i="9"/>
  <c r="H23" i="9"/>
  <c r="D259" i="40" s="1"/>
  <c r="D261" i="40" s="1"/>
  <c r="G259" i="40" s="1"/>
  <c r="I10" i="9"/>
  <c r="C25" i="25"/>
  <c r="C11" i="24"/>
  <c r="D198" i="40" s="1"/>
  <c r="D201" i="40" s="1"/>
  <c r="I98" i="40" l="1"/>
  <c r="I106" i="40" s="1"/>
  <c r="G20" i="40"/>
  <c r="I20" i="40" s="1"/>
  <c r="I19" i="40"/>
  <c r="G174" i="40"/>
  <c r="I174" i="40" s="1"/>
  <c r="I124" i="40"/>
  <c r="G176" i="40"/>
  <c r="I176" i="40" s="1"/>
  <c r="G175" i="40"/>
  <c r="I175" i="40" s="1"/>
  <c r="I9" i="9"/>
  <c r="C22" i="22" l="1"/>
  <c r="D165" i="40" s="1"/>
  <c r="I241" i="40" l="1"/>
  <c r="I243" i="40" s="1"/>
  <c r="I245" i="40" s="1"/>
  <c r="I247" i="40" s="1"/>
  <c r="D171" i="40"/>
  <c r="D127" i="40" s="1"/>
  <c r="D24" i="20"/>
  <c r="E24" i="20"/>
  <c r="I41" i="40" s="1"/>
  <c r="F24" i="20"/>
  <c r="G24" i="20"/>
  <c r="H24" i="20"/>
  <c r="I24" i="20"/>
  <c r="J12" i="20"/>
  <c r="J13" i="20"/>
  <c r="J14" i="20"/>
  <c r="J15" i="20"/>
  <c r="J16" i="20"/>
  <c r="J17" i="20"/>
  <c r="J18" i="20"/>
  <c r="J19" i="20"/>
  <c r="J20" i="20"/>
  <c r="J21" i="20"/>
  <c r="J22" i="20"/>
  <c r="J11" i="20"/>
  <c r="C24" i="20"/>
  <c r="I39" i="40" s="1"/>
  <c r="D23" i="19"/>
  <c r="C23" i="19"/>
  <c r="E21" i="19"/>
  <c r="E20" i="19"/>
  <c r="E19" i="19"/>
  <c r="E18" i="19"/>
  <c r="E17" i="19"/>
  <c r="E16" i="19"/>
  <c r="E15" i="19"/>
  <c r="E14" i="19"/>
  <c r="E13" i="19"/>
  <c r="E12" i="19"/>
  <c r="E11" i="19"/>
  <c r="E10" i="19"/>
  <c r="E9" i="19"/>
  <c r="E23" i="19" s="1"/>
  <c r="C11" i="17"/>
  <c r="D275" i="40" s="1"/>
  <c r="G275" i="40" s="1"/>
  <c r="I46" i="40" l="1"/>
  <c r="G128" i="40"/>
  <c r="G162" i="40"/>
  <c r="G23" i="18"/>
  <c r="D112" i="40" s="1"/>
  <c r="I112" i="40" s="1"/>
  <c r="J24" i="20"/>
  <c r="C11" i="16"/>
  <c r="I269" i="40" s="1"/>
  <c r="I272" i="40" s="1"/>
  <c r="D277" i="40" s="1"/>
  <c r="D278" i="40" s="1"/>
  <c r="E275" i="40" l="1"/>
  <c r="I275" i="40" s="1"/>
  <c r="E276" i="40"/>
  <c r="I276" i="40" s="1"/>
  <c r="E277" i="40"/>
  <c r="I277" i="40" s="1"/>
  <c r="I162" i="40"/>
  <c r="G168" i="40"/>
  <c r="I168" i="40" s="1"/>
  <c r="G164" i="40"/>
  <c r="I164" i="40" s="1"/>
  <c r="C20" i="15"/>
  <c r="D254" i="40" s="1"/>
  <c r="I278" i="40" l="1"/>
  <c r="D194" i="40" s="1"/>
  <c r="D255" i="40"/>
  <c r="G254" i="40"/>
  <c r="G255" i="40" s="1"/>
  <c r="C22" i="15"/>
  <c r="D13" i="15" s="1"/>
  <c r="C19" i="14"/>
  <c r="C11" i="13"/>
  <c r="C12" i="13"/>
  <c r="C13" i="13"/>
  <c r="C14" i="13"/>
  <c r="C15" i="13"/>
  <c r="C16" i="13"/>
  <c r="C17" i="13"/>
  <c r="C18" i="13"/>
  <c r="C19" i="13"/>
  <c r="C20" i="13"/>
  <c r="C21" i="13"/>
  <c r="C10" i="13"/>
  <c r="D23" i="13"/>
  <c r="D24" i="12"/>
  <c r="D128" i="40" s="1"/>
  <c r="E24" i="12"/>
  <c r="C24" i="12"/>
  <c r="D23" i="12"/>
  <c r="E23" i="12"/>
  <c r="C23" i="12"/>
  <c r="F10" i="12"/>
  <c r="F11" i="12"/>
  <c r="F12" i="12"/>
  <c r="F13" i="12"/>
  <c r="F14" i="12"/>
  <c r="F15" i="12"/>
  <c r="F16" i="12"/>
  <c r="F17" i="12"/>
  <c r="F18" i="12"/>
  <c r="F20" i="12"/>
  <c r="F21" i="12"/>
  <c r="F9" i="12"/>
  <c r="G23" i="11"/>
  <c r="D100" i="40" s="1"/>
  <c r="H21" i="11"/>
  <c r="H20" i="11"/>
  <c r="H19" i="11"/>
  <c r="H18" i="11"/>
  <c r="H17" i="11"/>
  <c r="H16" i="11"/>
  <c r="H15" i="11"/>
  <c r="H14" i="11"/>
  <c r="H13" i="11"/>
  <c r="H12" i="11"/>
  <c r="H11" i="11"/>
  <c r="H10" i="11"/>
  <c r="H9" i="11"/>
  <c r="D102" i="40" l="1"/>
  <c r="D108" i="40"/>
  <c r="D110" i="40" s="1"/>
  <c r="I255" i="40"/>
  <c r="G92" i="40" s="1"/>
  <c r="D130" i="40"/>
  <c r="I128" i="40"/>
  <c r="D18" i="15"/>
  <c r="D15" i="15"/>
  <c r="D20" i="15"/>
  <c r="D19" i="15"/>
  <c r="D11" i="15"/>
  <c r="F24" i="12"/>
  <c r="F23" i="12"/>
  <c r="I23" i="9"/>
  <c r="H23" i="11"/>
  <c r="I259" i="40" l="1"/>
  <c r="K259" i="40" s="1"/>
  <c r="G93" i="40" s="1"/>
  <c r="G100" i="40"/>
  <c r="I92" i="40"/>
  <c r="D22" i="15"/>
  <c r="N12" i="3"/>
  <c r="M12" i="3"/>
  <c r="L12" i="3"/>
  <c r="K12" i="3"/>
  <c r="J12" i="3"/>
  <c r="I12" i="3"/>
  <c r="H12" i="3"/>
  <c r="G12" i="3"/>
  <c r="F12" i="3"/>
  <c r="E12" i="3"/>
  <c r="D12" i="3"/>
  <c r="C12" i="3"/>
  <c r="P10" i="3"/>
  <c r="P8" i="3"/>
  <c r="J37" i="2"/>
  <c r="L12" i="37" l="1"/>
  <c r="L27" i="37" s="1"/>
  <c r="G101" i="40"/>
  <c r="I93" i="40"/>
  <c r="G165" i="40"/>
  <c r="I100" i="40"/>
  <c r="K39" i="2"/>
  <c r="I291" i="40" s="1"/>
  <c r="I294" i="40" s="1"/>
  <c r="D18" i="40" s="1"/>
  <c r="I18" i="40" s="1"/>
  <c r="P12" i="3"/>
  <c r="I287" i="40" s="1"/>
  <c r="D17" i="40" s="1"/>
  <c r="I17" i="40" s="1"/>
  <c r="I21" i="40" l="1"/>
  <c r="L17" i="37"/>
  <c r="L23" i="37"/>
  <c r="L19" i="37"/>
  <c r="L24" i="37"/>
  <c r="L46" i="37"/>
  <c r="L18" i="37"/>
  <c r="L21" i="37"/>
  <c r="L16" i="37"/>
  <c r="L34" i="37"/>
  <c r="L26" i="37"/>
  <c r="L22" i="37"/>
  <c r="L25" i="37"/>
  <c r="L20" i="37"/>
  <c r="L15" i="37"/>
  <c r="I101" i="40"/>
  <c r="I109" i="40" s="1"/>
  <c r="G169" i="40"/>
  <c r="I108" i="40"/>
  <c r="I165" i="40"/>
  <c r="G166" i="40"/>
  <c r="G177" i="40"/>
  <c r="I94" i="40"/>
  <c r="G94" i="40" s="1"/>
  <c r="K45" i="2"/>
  <c r="I37" i="2"/>
  <c r="G129" i="40" l="1"/>
  <c r="I129" i="40" s="1"/>
  <c r="G186" i="40"/>
  <c r="G167" i="40"/>
  <c r="I167" i="40" s="1"/>
  <c r="I166" i="40"/>
  <c r="I169" i="40"/>
  <c r="G178" i="40"/>
  <c r="I178" i="40" s="1"/>
  <c r="I102" i="40"/>
  <c r="I110" i="40"/>
  <c r="G110" i="40" s="1"/>
  <c r="G183" i="40"/>
  <c r="I177" i="40"/>
  <c r="I179" i="40" l="1"/>
  <c r="I171" i="40"/>
  <c r="I127" i="40" s="1"/>
  <c r="I130" i="40" s="1"/>
  <c r="G201" i="40"/>
  <c r="I201" i="40" s="1"/>
  <c r="J12" i="37"/>
  <c r="G189" i="40"/>
  <c r="I189" i="40" s="1"/>
  <c r="I186" i="40"/>
  <c r="G188" i="40"/>
  <c r="I188" i="40" s="1"/>
  <c r="I183" i="40"/>
  <c r="G184" i="40"/>
  <c r="I184" i="40" s="1"/>
  <c r="I190" i="40" l="1"/>
  <c r="J25" i="37"/>
  <c r="M25" i="37" s="1"/>
  <c r="J15" i="37"/>
  <c r="M15" i="37" s="1"/>
  <c r="J23" i="37"/>
  <c r="M23" i="37" s="1"/>
  <c r="J22" i="37"/>
  <c r="M22" i="37" s="1"/>
  <c r="J19" i="37"/>
  <c r="M19" i="37" s="1"/>
  <c r="J17" i="37"/>
  <c r="M17" i="37" s="1"/>
  <c r="J20" i="37"/>
  <c r="M20" i="37" s="1"/>
  <c r="J27" i="37"/>
  <c r="M27" i="37" s="1"/>
  <c r="J26" i="37"/>
  <c r="M26" i="37" s="1"/>
  <c r="J16" i="37"/>
  <c r="M16" i="37" s="1"/>
  <c r="J24" i="37"/>
  <c r="M24" i="37" s="1"/>
  <c r="J21" i="37"/>
  <c r="M21" i="37" s="1"/>
  <c r="J18" i="37"/>
  <c r="M18" i="37" s="1"/>
  <c r="J46" i="37"/>
  <c r="M46" i="37" s="1"/>
  <c r="J34" i="37"/>
  <c r="M34" i="37" s="1"/>
  <c r="M28" i="37" l="1"/>
  <c r="M48" i="37" s="1"/>
  <c r="D115" i="40" s="1"/>
  <c r="D122" i="40" l="1"/>
  <c r="D132" i="40" s="1"/>
  <c r="D204" i="40" s="1"/>
  <c r="D200" i="40" s="1"/>
  <c r="D202" i="40" s="1"/>
  <c r="D207" i="40" s="1"/>
  <c r="D214" i="40" s="1"/>
  <c r="I115" i="40"/>
  <c r="I122" i="40" s="1"/>
  <c r="I132" i="40" s="1"/>
  <c r="I204" i="40" s="1"/>
  <c r="I200" i="40" s="1"/>
  <c r="I202" i="40" s="1"/>
  <c r="I207" i="40" s="1"/>
  <c r="I214" i="40" s="1"/>
  <c r="I14" i="40" s="1"/>
  <c r="I29" i="40" s="1"/>
  <c r="I35" i="40" s="1"/>
  <c r="D48" i="40" s="1"/>
  <c r="I52" i="40" l="1"/>
  <c r="D53" i="40"/>
  <c r="D54" i="40"/>
  <c r="D52" i="40"/>
  <c r="I53" i="40"/>
  <c r="I54" i="40"/>
  <c r="D49" i="40"/>
</calcChain>
</file>

<file path=xl/sharedStrings.xml><?xml version="1.0" encoding="utf-8"?>
<sst xmlns="http://schemas.openxmlformats.org/spreadsheetml/2006/main" count="1146" uniqueCount="723">
  <si>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</si>
  <si>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</si>
  <si>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</si>
  <si>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</si>
  <si>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</si>
  <si>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</si>
  <si>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</si>
  <si>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</si>
  <si>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</si>
  <si>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</si>
  <si>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</si>
  <si>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</si>
  <si>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</si>
  <si>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</si>
  <si>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</si>
  <si>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 xml:space="preserve">  Average of 12 coincident system peaks for requirements (RQ) service       </t>
  </si>
  <si>
    <t>(Note A)</t>
  </si>
  <si>
    <t>(Note B)</t>
  </si>
  <si>
    <t>(Note C)</t>
  </si>
  <si>
    <t>(Note D)</t>
  </si>
  <si>
    <t>Annual Cost ($/kW/Yr)</t>
  </si>
  <si>
    <t>Peak Rate</t>
  </si>
  <si>
    <t>Off-Peak Rate</t>
  </si>
  <si>
    <t>Point-To-Point Rate ($/kW/Wk)</t>
  </si>
  <si>
    <t>Point-To-Point Rate ($/kW/Day)</t>
  </si>
  <si>
    <t>Capped at weekly rate</t>
  </si>
  <si>
    <t>Point-To-Point Rate ($/MWh)</t>
  </si>
  <si>
    <t>Capped at weekly</t>
  </si>
  <si>
    <t xml:space="preserve"> times 1,000)</t>
  </si>
  <si>
    <t>and daily rates</t>
  </si>
  <si>
    <t>Short Term</t>
  </si>
  <si>
    <t>Long Term</t>
  </si>
  <si>
    <t>(1)</t>
  </si>
  <si>
    <t>(2)</t>
  </si>
  <si>
    <t>(3)</t>
  </si>
  <si>
    <t>(4)</t>
  </si>
  <si>
    <t>(5)</t>
  </si>
  <si>
    <t>Form No. 1</t>
  </si>
  <si>
    <t>Transmission</t>
  </si>
  <si>
    <t>Page, Line, Col.</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</si>
  <si>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</si>
  <si>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</si>
  <si>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</si>
  <si>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</si>
  <si>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</si>
  <si>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</si>
  <si>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</si>
  <si>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</si>
  <si>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</si>
  <si>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</si>
  <si>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</si>
  <si>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356.1</t>
  </si>
  <si>
    <t>GP=</t>
  </si>
  <si>
    <t>NP=</t>
  </si>
  <si>
    <t>NP</t>
  </si>
  <si>
    <t xml:space="preserve">LAND HELD FOR FUTURE USE </t>
  </si>
  <si>
    <t>214.x.d  (Note G)</t>
  </si>
  <si>
    <t>TE</t>
  </si>
  <si>
    <t>GP</t>
  </si>
  <si>
    <t xml:space="preserve">  Transmission </t>
  </si>
  <si>
    <t xml:space="preserve">     Less Account 565</t>
  </si>
  <si>
    <t xml:space="preserve">  A&amp;G</t>
  </si>
  <si>
    <t xml:space="preserve">     Less FERC Annual Fees</t>
  </si>
  <si>
    <t xml:space="preserve">  Transmission Lease Payments</t>
  </si>
  <si>
    <t>336.7.b</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</si>
  <si>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</si>
  <si>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</si>
  <si>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</si>
  <si>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</si>
  <si>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</si>
  <si>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</si>
  <si>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</si>
  <si>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</si>
  <si>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</si>
  <si>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</si>
  <si>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RETURN </t>
  </si>
  <si>
    <t xml:space="preserve">                SUPPORTING CALCULATIONS AND NOTES</t>
  </si>
  <si>
    <t xml:space="preserve">TRANSMISSION EXPENSES </t>
  </si>
  <si>
    <t>TE=</t>
  </si>
  <si>
    <t>TRANSMISSION PLANT INCLUDED IN ISO RATES</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</si>
  <si>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</si>
  <si>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</si>
  <si>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</si>
  <si>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</si>
  <si>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</si>
  <si>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</si>
  <si>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</si>
  <si>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</si>
  <si>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</si>
  <si>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</si>
  <si>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</si>
  <si>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</si>
  <si>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</si>
  <si>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</si>
  <si>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CE</t>
  </si>
  <si>
    <t xml:space="preserve">  Gas</t>
  </si>
  <si>
    <t>*</t>
  </si>
  <si>
    <t xml:space="preserve">  Water</t>
  </si>
  <si>
    <t>RETURN (R)</t>
  </si>
  <si>
    <t>Preferred Dividends (118.29c) (positive number)</t>
  </si>
  <si>
    <t xml:space="preserve">                                          Development of Common Stock:</t>
  </si>
  <si>
    <t>Common Stock</t>
  </si>
  <si>
    <t>(sum lines 23-25)</t>
  </si>
  <si>
    <t>Cost</t>
  </si>
  <si>
    <t>%</t>
  </si>
  <si>
    <t>(Note P)</t>
  </si>
  <si>
    <t>Weighted</t>
  </si>
  <si>
    <t>=WCLTD</t>
  </si>
  <si>
    <t xml:space="preserve">  Common Stock  (line 26)</t>
  </si>
  <si>
    <t>=R</t>
  </si>
  <si>
    <t>REVENUE CREDITS</t>
  </si>
  <si>
    <t>ACCOUNT 447 (SALES FOR RESALE)</t>
  </si>
  <si>
    <t>(310-311)</t>
  </si>
  <si>
    <t>(Note Q)</t>
  </si>
  <si>
    <t xml:space="preserve">  Total of (a)-(b)</t>
  </si>
  <si>
    <t xml:space="preserve">  a. Transmission charges for all transmission transactions </t>
  </si>
  <si>
    <t>Note</t>
  </si>
  <si>
    <t>Letter</t>
  </si>
  <si>
    <t>A</t>
  </si>
  <si>
    <t>B</t>
  </si>
  <si>
    <t>C</t>
  </si>
  <si>
    <t>D</t>
  </si>
  <si>
    <t>E</t>
  </si>
  <si>
    <t>F</t>
  </si>
  <si>
    <t>G</t>
  </si>
  <si>
    <t>Identified in Form 1 as being only transmission related.</t>
  </si>
  <si>
    <t>H</t>
  </si>
  <si>
    <t>I</t>
  </si>
  <si>
    <t>J</t>
  </si>
  <si>
    <t>K</t>
  </si>
  <si>
    <t>L</t>
  </si>
  <si>
    <t>M</t>
  </si>
  <si>
    <t>N</t>
  </si>
  <si>
    <t>O</t>
  </si>
  <si>
    <t>P</t>
  </si>
  <si>
    <t>Q</t>
  </si>
  <si>
    <t>R</t>
  </si>
  <si>
    <t>Includes income related only to transmission facilities, such as pole attachments, rentals and special use.</t>
  </si>
  <si>
    <t xml:space="preserve">  Plus Contract Demand of firm P-T-P over one year</t>
  </si>
  <si>
    <t>TOTAL REVENUE CREDITS  (sum lines 2-5)</t>
  </si>
  <si>
    <t xml:space="preserve">Network &amp; P-to-P Rate ($/kW/Mo) </t>
  </si>
  <si>
    <t xml:space="preserve">  a. Bundled Non-RQ Sales for Resale (311.x.h)</t>
  </si>
  <si>
    <t xml:space="preserve">  Revenues from Grandfathered Interzonal Transactions</t>
  </si>
  <si>
    <t xml:space="preserve">  Revenues from service provided by the ISO at a discount</t>
  </si>
  <si>
    <t xml:space="preserve">  Less 12 CP of firm P-T-P over one year (enter negative)</t>
  </si>
  <si>
    <t>Divisor (sum lines 8-14)</t>
  </si>
  <si>
    <t>(line 7 / line 15)</t>
  </si>
  <si>
    <t>(line 16 / 12)</t>
  </si>
  <si>
    <t>(line 16 / 52; line 16 / 52)</t>
  </si>
  <si>
    <t>Total Income Taxes</t>
  </si>
  <si>
    <t xml:space="preserve">  Total  (sum lines 17 - 19)</t>
  </si>
  <si>
    <t>Load</t>
  </si>
  <si>
    <t>(page 4, line 34)</t>
  </si>
  <si>
    <t>(page 4, line 37)</t>
  </si>
  <si>
    <t xml:space="preserve">  Plus 12 CP of firm bundled sales over one year not in line 8</t>
  </si>
  <si>
    <t xml:space="preserve">  Plus 12 CP of Network Load not in line 8</t>
  </si>
  <si>
    <t>FIT =</t>
  </si>
  <si>
    <t>SIT=</t>
  </si>
  <si>
    <t xml:space="preserve">  (State Income Tax Rate or Composite SIT)</t>
  </si>
  <si>
    <t>p =</t>
  </si>
  <si>
    <t xml:space="preserve">  (percent of federal income tax deductible for state purposes)</t>
  </si>
  <si>
    <t xml:space="preserve">     T=1 - {[(1 - SIT) * (1 - FIT)] / (1 - SIT * FIT * p)} =</t>
  </si>
  <si>
    <t xml:space="preserve">     CIT=(T/1-T) * (1-(WCLTD/R)) =</t>
  </si>
  <si>
    <t>Amortized Investment Tax Credit (266.8f) (enter negative)</t>
  </si>
  <si>
    <t xml:space="preserve">      1 / (1 - T)  = (from line 21)</t>
  </si>
  <si>
    <t xml:space="preserve">       and FIT, SIT &amp; p are as given in footnote K.</t>
  </si>
  <si>
    <t>Income Tax Calculation = line 22 * line 28</t>
  </si>
  <si>
    <t>REV. REQUIREMENT  (sum lines 8, 12, 20, 27, 28)</t>
  </si>
  <si>
    <t>ITC adjustment (line 23 * line 24)</t>
  </si>
  <si>
    <t>(line 25 plus line 26)</t>
  </si>
  <si>
    <t>calculated</t>
  </si>
  <si>
    <t>WS</t>
  </si>
  <si>
    <t xml:space="preserve">  Less Contract Demands from service over one year provided by ISO at a discount (enter negative)</t>
  </si>
  <si>
    <t>WORKING CAPITAL  (Note H)</t>
  </si>
  <si>
    <t xml:space="preserve">  CWC  </t>
  </si>
  <si>
    <t>Total  (sum lines 27-29)</t>
  </si>
  <si>
    <t xml:space="preserve">  b. Transmission charges for all transmission transactions included in Divisor on Page 1</t>
  </si>
  <si>
    <t xml:space="preserve">  b. Bundled Sales for Resale  included in Divisor on page 1</t>
  </si>
  <si>
    <t>Enter dollar amounts</t>
  </si>
  <si>
    <t xml:space="preserve">  Total  (sum lines 12-15)</t>
  </si>
  <si>
    <t xml:space="preserve">Less Preferred Stock (line 28) </t>
  </si>
  <si>
    <t>5a</t>
  </si>
  <si>
    <t>zero</t>
  </si>
  <si>
    <t xml:space="preserve">The FERC's annual charges for the year assessed the Transmission Owner for service under this tariff. </t>
  </si>
  <si>
    <t>S</t>
  </si>
  <si>
    <t>(Note T)</t>
  </si>
  <si>
    <t>T</t>
  </si>
  <si>
    <t>Transmission plant included in ISO rates  (line 1 less lines 2 &amp; 3)</t>
  </si>
  <si>
    <t>219.20-24.c</t>
  </si>
  <si>
    <t>219.25.c</t>
  </si>
  <si>
    <t>219.26.c</t>
  </si>
  <si>
    <t>263.i</t>
  </si>
  <si>
    <t>201.3.d</t>
  </si>
  <si>
    <t>201.3.e</t>
  </si>
  <si>
    <t>(330.x.n)</t>
  </si>
  <si>
    <t>U</t>
  </si>
  <si>
    <t>Long Term Interest (117, sum of 62.c through 67.c)</t>
  </si>
  <si>
    <t>Proprietary Capital (112.16.c)</t>
  </si>
  <si>
    <t>Less Account 216.1 (112.12.c)  (enter negative)</t>
  </si>
  <si>
    <t xml:space="preserve">  Long Term Debt (112, sum of  18.c through 21.c)</t>
  </si>
  <si>
    <t>111.57.c</t>
  </si>
  <si>
    <t>207.58.g</t>
  </si>
  <si>
    <t>207.75.g</t>
  </si>
  <si>
    <t>1a</t>
  </si>
  <si>
    <t xml:space="preserve">  Account No. 456.1</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</si>
  <si>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</si>
  <si>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Account 456.1 entry shall be the annual total of the quarterly values reported at Form 1, 330.x.n.</t>
  </si>
  <si>
    <t>V</t>
  </si>
  <si>
    <t>205.46.g</t>
  </si>
  <si>
    <t>205.5.g &amp; 207.99.g</t>
  </si>
  <si>
    <t>321.112.b</t>
  </si>
  <si>
    <t>321.96.b</t>
  </si>
  <si>
    <t>323.197.b</t>
  </si>
  <si>
    <t>336.11.b</t>
  </si>
  <si>
    <t>354.20.b</t>
  </si>
  <si>
    <t>354.21.b</t>
  </si>
  <si>
    <t>354.23.b</t>
  </si>
  <si>
    <t>227.8.c &amp; .16.c</t>
  </si>
  <si>
    <t>36a</t>
  </si>
  <si>
    <t>W</t>
  </si>
  <si>
    <t>X</t>
  </si>
  <si>
    <t>REV. REQUIREMENT TO BE COLLECTED UNDER ATTACHMENT O</t>
  </si>
  <si>
    <t>included in Attachment GG]</t>
  </si>
  <si>
    <t xml:space="preserve">[Revenue Requirement for facilities included on page 2, line 2, and also  </t>
  </si>
  <si>
    <t xml:space="preserve">  [Rate Base (page 2, line 30) * Rate of Return (page 4, line 30)]</t>
  </si>
  <si>
    <t>References to data from FERC Form 1 are indicated as:   #.y.x  (page, line, column)</t>
  </si>
  <si>
    <t>General Note:   References to pages in this formulary rate are indicated as:  (page#, line#, col.#)</t>
  </si>
  <si>
    <t>(Note E)</t>
  </si>
  <si>
    <t xml:space="preserve">       where WCLTD=(page 4, line 27) and R= (page 4, line 30)</t>
  </si>
  <si>
    <t>FERC Annual Charge ($/MWh)</t>
  </si>
  <si>
    <t>(line 1- line 7)</t>
  </si>
  <si>
    <t>(line 2- line 8)</t>
  </si>
  <si>
    <t>(line 3 - line 9)</t>
  </si>
  <si>
    <t>(line 4 - line 10)</t>
  </si>
  <si>
    <t>(line 5 - line 11)</t>
  </si>
  <si>
    <t>ADJUSTMENTS TO RATE BASE  (Note F)</t>
  </si>
  <si>
    <t xml:space="preserve">  Less Contract Demand from Grandfathered Interzonal Transactions over one year (enter negative)  (Note S)</t>
  </si>
  <si>
    <t xml:space="preserve">     Less LSE Expenses included in Transmission O&amp;M Accounts  (Note V)</t>
  </si>
  <si>
    <t xml:space="preserve">     Plus Transmission Related Reg. Comm.  Exp.  (Note I)</t>
  </si>
  <si>
    <t>TAXES OTHER THAN INCOME TAXES  (Note J)</t>
  </si>
  <si>
    <t>(Note K)</t>
  </si>
  <si>
    <t>Less transmission plant excluded from ISO rates  (Note M)</t>
  </si>
  <si>
    <t>Total transmission plant  (page 2, line 2, column 3)</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</si>
  <si>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</si>
  <si>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</si>
  <si>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</si>
  <si>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</si>
  <si>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</si>
  <si>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</si>
  <si>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</si>
  <si>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</si>
  <si>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354.24, 25, 26.b</t>
  </si>
  <si>
    <t>COMMON PLANT ALLOCATOR  (CE)  (Note O)</t>
  </si>
  <si>
    <t xml:space="preserve">  Preferred Stock  (112.3.c)</t>
  </si>
  <si>
    <t>ACCOUNT 454 (RENT FROM ELECTRIC PROPERTY)  (Note R)</t>
  </si>
  <si>
    <t>ACCOUNT 456.1 (OTHER ELECTRIC REVENUES)  (Note U)</t>
  </si>
  <si>
    <t>TOTAL WORKING CAPITAL  (sum lines 26 - 28)</t>
  </si>
  <si>
    <t>TOTAL NET PLANT  (sum lines 13-17)</t>
  </si>
  <si>
    <t>TOTAL GROSS PLANT  (sum lines 1-5)</t>
  </si>
  <si>
    <t>TOTAL ACCUM. DEPRECIATION  (sum lines 7-11)</t>
  </si>
  <si>
    <t>TOTAL DEPRECIATION  (sum lines 9 - 11)</t>
  </si>
  <si>
    <t>Rate Formula Template</t>
  </si>
  <si>
    <t>Utilizing FERC Form 1 Data</t>
  </si>
  <si>
    <t>Inputs Required:</t>
  </si>
  <si>
    <t>Cash Working Capital assigned to transmission is one-eighth of O&amp;M allocated to transmission at page 3, line 8, column 5.  Prepayments are the electric related prepayments booked to Account No. 165 and reported on Page 111, line 57 in the Form 1.</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</si>
  <si>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</si>
  <si>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</si>
  <si>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Removes transmission plant determined by Commission order to be state-jurisdictional according to the seven-factor test (until Form 1 balances are adjusted to reflect application of seven-factor test).</t>
  </si>
  <si>
    <t>Line 33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</si>
  <si>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</si>
  <si>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</si>
  <si>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</si>
  <si>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</si>
  <si>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TOTAL O&amp;M  (sum lines 1, 3, 5a, 6, 7 less lines 1a, 2, 4, 5)</t>
  </si>
  <si>
    <t>LESS ATTACHMENT GG ADJUSTMENT [Attachment GG, page 2, line 3, column 10]   (Note W)</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</si>
  <si>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</si>
  <si>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</si>
  <si>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Peak as would be reported on page 401, column d of Form 1 at the time of the applicable pricing zone coincident monthly peaks.</t>
  </si>
  <si>
    <t>Labeled LF, LU, IF, IU on pages 310-311 of Form 1at the time of the applicable pricing zone coincident monthly peaks.</t>
  </si>
  <si>
    <t>Labeled LF on page 328 of Form 1 at the time of the applicable pricing zone coincident monthly peaks.</t>
  </si>
  <si>
    <t>MidAmerican Energy Company</t>
  </si>
  <si>
    <t>Account 456 (Transmission of Electricity for Others)</t>
  </si>
  <si>
    <t>kW</t>
  </si>
  <si>
    <t>Network Integration Transmission Service</t>
  </si>
  <si>
    <t>Network</t>
  </si>
  <si>
    <t>12 CP</t>
  </si>
  <si>
    <t>Revenue</t>
  </si>
  <si>
    <t xml:space="preserve">Alliant (Coulter) </t>
  </si>
  <si>
    <t xml:space="preserve">Atlantic Municpal Utilities </t>
  </si>
  <si>
    <t xml:space="preserve">Cedar Falls, Iowa </t>
  </si>
  <si>
    <t xml:space="preserve">City of Breda, Iowa </t>
  </si>
  <si>
    <t xml:space="preserve">City of Buffalo, Iowa </t>
  </si>
  <si>
    <t xml:space="preserve">City of Carlisle, Iowa </t>
  </si>
  <si>
    <t xml:space="preserve">City of Denver, Iowa </t>
  </si>
  <si>
    <t xml:space="preserve">City of Fonda, Iowa </t>
  </si>
  <si>
    <t xml:space="preserve">City of Geneseo, Illinois </t>
  </si>
  <si>
    <t xml:space="preserve">City of Lake View, Iowa </t>
  </si>
  <si>
    <t xml:space="preserve">City of Montezuma, Iowa </t>
  </si>
  <si>
    <t xml:space="preserve">City of Sergeant Bluff, Iowa  </t>
  </si>
  <si>
    <t xml:space="preserve">City of Wall Lake, Iowa </t>
  </si>
  <si>
    <t xml:space="preserve">Central Iowa Power Cooperative </t>
  </si>
  <si>
    <t xml:space="preserve">Eldridge Municpal Utilities </t>
  </si>
  <si>
    <t xml:space="preserve">Indianola Municipal </t>
  </si>
  <si>
    <t xml:space="preserve">City of Pella, Iowa </t>
  </si>
  <si>
    <t xml:space="preserve">Corn Belt Power Coop (Hudson) </t>
  </si>
  <si>
    <t xml:space="preserve">Waverly, Iowa </t>
  </si>
  <si>
    <t>Net Transmission Revenues (Account 456)</t>
  </si>
  <si>
    <t>Account 454 (Transmission Rents)</t>
  </si>
  <si>
    <t>12CP</t>
  </si>
  <si>
    <t>ADJUST</t>
  </si>
  <si>
    <t>STATES BASED ON ONLY THEIR  SHARE OF COMPANY INCOME</t>
  </si>
  <si>
    <t>ALL STATE</t>
  </si>
  <si>
    <t>FEDERAL</t>
  </si>
  <si>
    <t>make sure iteration is turned ON</t>
  </si>
  <si>
    <t>TOTAL</t>
  </si>
  <si>
    <t>IOWA</t>
  </si>
  <si>
    <t>ILLINOIS</t>
  </si>
  <si>
    <t>NEB</t>
  </si>
  <si>
    <t>SUM OF</t>
  </si>
  <si>
    <t>COMPOSITE</t>
  </si>
  <si>
    <t>DEFERREDS</t>
  </si>
  <si>
    <t>COMPANY</t>
  </si>
  <si>
    <t>ONLY</t>
  </si>
  <si>
    <t>STATES</t>
  </si>
  <si>
    <t>RATE</t>
  </si>
  <si>
    <t>FEDERAL INCOME TAX:</t>
  </si>
  <si>
    <t xml:space="preserve">FEDERAL TAXABLE INCOME </t>
  </si>
  <si>
    <t>B/4 STATE TAXES</t>
  </si>
  <si>
    <t xml:space="preserve">   LESS: IOWA TAX</t>
  </si>
  <si>
    <t xml:space="preserve">             ILLINOIS TAX</t>
  </si>
  <si>
    <t xml:space="preserve">             NEBRASKA TAX</t>
  </si>
  <si>
    <t>FEDERAL TAXABLE INCOME</t>
  </si>
  <si>
    <t>FEDERAL TAX RATE</t>
  </si>
  <si>
    <t>FEDERAL INCOME TAX</t>
  </si>
  <si>
    <t>IOWA INCOME TAX:</t>
  </si>
  <si>
    <t>ADD BACK:  IOWA INCOME TAX</t>
  </si>
  <si>
    <t>SUBTRACT:  50% OF FEDERAL INC TAXES</t>
  </si>
  <si>
    <t>IA TAXABLE INCOME before APPORTIONMENT</t>
  </si>
  <si>
    <t>IOWA APPORTIONMENT FACTOR</t>
  </si>
  <si>
    <t>IOWA TAXABLE INCOME</t>
  </si>
  <si>
    <t>IOWA TAX RATE</t>
  </si>
  <si>
    <t>IOWA INCOME TAX</t>
  </si>
  <si>
    <t>ILLINOIS INCOME TAX:</t>
  </si>
  <si>
    <t>ADD BACK:  ILLINOIS INCOME TAX</t>
  </si>
  <si>
    <t>ILL TAXABLE INCOME before APPORTIONMENT</t>
  </si>
  <si>
    <t>ILL APPORTIONMENT FACTOR</t>
  </si>
  <si>
    <t>ILL TAXABLE INCOME</t>
  </si>
  <si>
    <t>ILL TAX RATE</t>
  </si>
  <si>
    <t>ILL INCOME TAX</t>
  </si>
  <si>
    <t>NEBRASKA INCOME TAX:</t>
  </si>
  <si>
    <t>N/A*</t>
  </si>
  <si>
    <t>NEB TAXABLE INCOME before APPORTIONMENT</t>
  </si>
  <si>
    <t>NEB APPORTIONMENT FACTOR</t>
  </si>
  <si>
    <t>NEB TAXABLE INCOME</t>
  </si>
  <si>
    <t>NEBRASKA TAX RATE</t>
  </si>
  <si>
    <t>NEB INCOME TAX</t>
  </si>
  <si>
    <t>*  ACCORDING TO NEBRASKA LAW, NEBRASKA INCOME TAX IS NOT REQUIRED TO BE</t>
  </si>
  <si>
    <t xml:space="preserve">    ADDED BACK TO FEDERAL TAXABLE INCOME FOR  CALCULATING NEBRASKA TAXABLE INCOME</t>
  </si>
  <si>
    <t>TOTAL COMPOSITE TAX RATE</t>
  </si>
  <si>
    <t xml:space="preserve">Source for apportionment % </t>
  </si>
  <si>
    <t>Combined state tax rates</t>
  </si>
  <si>
    <t>350.7.b</t>
  </si>
  <si>
    <t xml:space="preserve">     Less EPRI &amp; Reg. Comm. Exp. &amp; Non-safety  Ad.  (Note I)  353.1.f</t>
  </si>
  <si>
    <t>7a</t>
  </si>
  <si>
    <t>7b</t>
  </si>
  <si>
    <t>NITS Customer 1</t>
  </si>
  <si>
    <t>7c</t>
  </si>
  <si>
    <t>NITS Customer 2</t>
  </si>
  <si>
    <t>7d</t>
  </si>
  <si>
    <t>NITS Customer 3</t>
  </si>
  <si>
    <t>7e</t>
  </si>
  <si>
    <t>NITS Customer 4</t>
  </si>
  <si>
    <t>7f</t>
  </si>
  <si>
    <t>NITS Customer 5</t>
  </si>
  <si>
    <t>MidAmerican Adjusted Revenue Req.</t>
  </si>
  <si>
    <t>Y</t>
  </si>
  <si>
    <t>The sum of MidAmerican Energy Company's net revenue requirement and the individual revenue requirements of each Network Integration Transmission Service</t>
  </si>
  <si>
    <t>(NITS) customer which owns integrated transmission facilities within the MidAmerican pricing zone.  Customers 1 - 5 are indicative only, and additional customers</t>
  </si>
  <si>
    <t>may be added or deleted to the extent they are eligible to receive the Section 30.9 credit.  The revenue requirement for each NITS customer will be</t>
  </si>
  <si>
    <t>calculated based on the process described in the MidAmerican Network Customers Section 30.9 Credits Calculation Procedure set forth on Sheet 2758Z.03.</t>
  </si>
  <si>
    <t>Historic Year Actual ATRR</t>
  </si>
  <si>
    <t>Projected ATRR from Prior Year</t>
  </si>
  <si>
    <t>Import from Prior Year</t>
  </si>
  <si>
    <t>Prior Year ATRR True-Up</t>
  </si>
  <si>
    <t>(line 6a - line 6b)</t>
  </si>
  <si>
    <t>Prior Year Divisor True-Up</t>
  </si>
  <si>
    <t>Interest on Prior Year True-Up</t>
  </si>
  <si>
    <t>6a</t>
  </si>
  <si>
    <t>6b</t>
  </si>
  <si>
    <t>6c</t>
  </si>
  <si>
    <t>6d</t>
  </si>
  <si>
    <t>6e</t>
  </si>
  <si>
    <t>216.b</t>
  </si>
  <si>
    <t>18a</t>
  </si>
  <si>
    <t>Unamortized Balance of Abandoned Plant</t>
  </si>
  <si>
    <t>23a</t>
  </si>
  <si>
    <t>23b</t>
  </si>
  <si>
    <t>Midwest ISO (MEC Trans Rev Forecast) (Schedule 9)</t>
  </si>
  <si>
    <t>9a</t>
  </si>
  <si>
    <t>9b</t>
  </si>
  <si>
    <t>Abandoned Plant Amortization</t>
  </si>
  <si>
    <t>Plant Account Balances</t>
  </si>
  <si>
    <t>End of Month</t>
  </si>
  <si>
    <t>Production</t>
  </si>
  <si>
    <t>Distribution</t>
  </si>
  <si>
    <t>General &amp;</t>
  </si>
  <si>
    <t>Intangible</t>
  </si>
  <si>
    <t>13-Month Average</t>
  </si>
  <si>
    <t>(A)</t>
  </si>
  <si>
    <t>(B)</t>
  </si>
  <si>
    <t>(D)</t>
  </si>
  <si>
    <t>(E)</t>
  </si>
  <si>
    <t>(F)</t>
  </si>
  <si>
    <t>Analysis of Accumulated Depreciation</t>
  </si>
  <si>
    <t>(C)</t>
  </si>
  <si>
    <t>Net Prefunded AFUDC on CWIP Included in Rate Base</t>
  </si>
  <si>
    <t>Prefunded AFUDC Amortization</t>
  </si>
  <si>
    <t>Forecast Inventory Balances</t>
  </si>
  <si>
    <t>Total M&amp;S</t>
  </si>
  <si>
    <t>Material and Supplies</t>
  </si>
  <si>
    <t>Prepayments</t>
  </si>
  <si>
    <t>Monthly Change</t>
  </si>
  <si>
    <t>Prepaid Insurance</t>
  </si>
  <si>
    <t>and Interest</t>
  </si>
  <si>
    <t>FERC 165</t>
  </si>
  <si>
    <t>Depreciation Expense</t>
  </si>
  <si>
    <t>General</t>
  </si>
  <si>
    <t>Labor Ratios</t>
  </si>
  <si>
    <t>Function Labor</t>
  </si>
  <si>
    <t>Other:</t>
  </si>
  <si>
    <t>Total Other</t>
  </si>
  <si>
    <t>Portion of Total</t>
  </si>
  <si>
    <t xml:space="preserve">    Customer Accounts</t>
  </si>
  <si>
    <t xml:space="preserve">    Customer Services</t>
  </si>
  <si>
    <t>Common Equity</t>
  </si>
  <si>
    <t>Embedded Cost of Debt</t>
  </si>
  <si>
    <t>Long-Term Debt</t>
  </si>
  <si>
    <t>Interest Cost</t>
  </si>
  <si>
    <t>Total L-T Interest Cost</t>
  </si>
  <si>
    <t>Z</t>
  </si>
  <si>
    <t>These are shown in the workpapers required pursuant to the Annual Rate Calculation and True-Up Procedures.</t>
  </si>
  <si>
    <t>AA</t>
  </si>
  <si>
    <t>Calculate using 13 month average balance reconciling to FERC Form No. 1 by page, line and column as shown in Column 2.</t>
  </si>
  <si>
    <t>BB</t>
  </si>
  <si>
    <t>CC</t>
  </si>
  <si>
    <t>Calculation of Prior Year Divisor True-Up</t>
  </si>
  <si>
    <t>Pg 1. Line 15</t>
  </si>
  <si>
    <t xml:space="preserve">    Difference between Historic and Projected Yr Divisor</t>
  </si>
  <si>
    <t xml:space="preserve">    Projected Year Divisor</t>
  </si>
  <si>
    <t xml:space="preserve">    Prior Year Projected Annual Cost ($ per kW per year)</t>
  </si>
  <si>
    <t>Pg 1. Line 16</t>
  </si>
  <si>
    <t xml:space="preserve">    Projected Year Divisor True-up (Difference * Prior Year Projected Annual Cost)</t>
  </si>
  <si>
    <t>page 1 of 6</t>
  </si>
  <si>
    <t>page 2 of 6</t>
  </si>
  <si>
    <t>page 3 of 6</t>
  </si>
  <si>
    <t>page 4 of 6</t>
  </si>
  <si>
    <t>page 5 of 6</t>
  </si>
  <si>
    <t>page 6 of 6</t>
  </si>
  <si>
    <t>CWIP 13-Month Average</t>
  </si>
  <si>
    <t>Project 1</t>
  </si>
  <si>
    <t>Project 2</t>
  </si>
  <si>
    <t xml:space="preserve">Pending </t>
  </si>
  <si>
    <t xml:space="preserve">Pending  </t>
  </si>
  <si>
    <t>Net Prefunded AFUDC on CWIP</t>
  </si>
  <si>
    <t>Month</t>
  </si>
  <si>
    <t>System Peak</t>
  </si>
  <si>
    <t>for RQ Service</t>
  </si>
  <si>
    <t>Firm PTP</t>
  </si>
  <si>
    <t>&gt; 1 year</t>
  </si>
  <si>
    <t>Plus:</t>
  </si>
  <si>
    <t xml:space="preserve">Contract </t>
  </si>
  <si>
    <t xml:space="preserve">Demand of </t>
  </si>
  <si>
    <t>Less:</t>
  </si>
  <si>
    <t xml:space="preserve">Grandfathered </t>
  </si>
  <si>
    <t>Interzonal</t>
  </si>
  <si>
    <t>Tran. &gt; 1 yr</t>
  </si>
  <si>
    <t>Serv. To ISO</t>
  </si>
  <si>
    <t>at a Discount</t>
  </si>
  <si>
    <t>Firm Sales</t>
  </si>
  <si>
    <t>Divisor</t>
  </si>
  <si>
    <t>(G)</t>
  </si>
  <si>
    <t>(H)</t>
  </si>
  <si>
    <t>(line 1 minus line 6 plus line 6c through 6e)</t>
  </si>
  <si>
    <t>DD</t>
  </si>
  <si>
    <t>EE</t>
  </si>
  <si>
    <t>30a</t>
  </si>
  <si>
    <t>included in Attachment MM]</t>
  </si>
  <si>
    <t>36b</t>
  </si>
  <si>
    <t xml:space="preserve">  Total of (a)-(b)-(c)-(d)</t>
  </si>
  <si>
    <t>(Transmission Owner)</t>
  </si>
  <si>
    <t>Operation and Maintenance Expenses</t>
  </si>
  <si>
    <t>Monthly Expense</t>
  </si>
  <si>
    <t>Administrative and General Expenses</t>
  </si>
  <si>
    <t>219.28.c &amp; 200.21</t>
  </si>
  <si>
    <t>O&amp;M  (Note CC)</t>
  </si>
  <si>
    <t xml:space="preserve">  General &amp; Intangible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</si>
  <si>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 Payroll Taxes should only be included in line 13 and should not be included in A&amp;G.</t>
  </si>
  <si>
    <t xml:space="preserve">Account Nos. 561.4 and 561.8 consist of RTO expenses billed to load-serving entities and are not included in Transmission Owner revenue requirements.  </t>
  </si>
  <si>
    <t>Plant in Service, Accumulated Depreciation, and Depreciation Expense amounts exclude Asset Retirement Obligation amounts unless authorized by FERC.</t>
  </si>
  <si>
    <t>FF</t>
  </si>
  <si>
    <t>GG</t>
  </si>
  <si>
    <t>(Note GG)</t>
  </si>
  <si>
    <t>GROSS PLANT IN SERVICE     (Note BB and Note EE)</t>
  </si>
  <si>
    <t>ACCUMULATED DEPRECIATION   (Note BB and Note EE)</t>
  </si>
  <si>
    <t>NET PLANT IN SERVICE    (Note EE)</t>
  </si>
  <si>
    <t>CWIP for Certificate of Need Projects (Note EE)</t>
  </si>
  <si>
    <t>(Note DD, Note EE )</t>
  </si>
  <si>
    <t xml:space="preserve">  Materials &amp; Supplies  (Note G, Note EE)</t>
  </si>
  <si>
    <t xml:space="preserve">  Prepayments (Account 165, Note EE)</t>
  </si>
  <si>
    <t>(Note DD)</t>
  </si>
  <si>
    <t>DEPRECIATION AND AMORTIZATION EXPENSE (Note BB)</t>
  </si>
  <si>
    <t xml:space="preserve">  Account No. 255 (enter negative)      </t>
  </si>
  <si>
    <t>Taxes Other Than Income Taxes</t>
  </si>
  <si>
    <t>Payroll</t>
  </si>
  <si>
    <t>Highway and Vehicle</t>
  </si>
  <si>
    <t>Property</t>
  </si>
  <si>
    <t>Gross Receipts</t>
  </si>
  <si>
    <t>Other</t>
  </si>
  <si>
    <t>Payments in Lieu of Taxes</t>
  </si>
  <si>
    <t>TOTAL ADJUSTMENTS  (sum lines 19 - 23b)</t>
  </si>
  <si>
    <t>RATE BASE  (sum lines 18, 18a, 24, 25, &amp; 29)</t>
  </si>
  <si>
    <t>Amortized Investment Tax Credit</t>
  </si>
  <si>
    <t>Investment Tax Credit</t>
  </si>
  <si>
    <t>Account 561</t>
  </si>
  <si>
    <t>Gas</t>
  </si>
  <si>
    <t>Preferred Stock</t>
  </si>
  <si>
    <t>Preferred Stock Dividend</t>
  </si>
  <si>
    <t>336.10.f &amp; 336.1.f</t>
  </si>
  <si>
    <t>For FAS 109</t>
  </si>
  <si>
    <t>incl w Iowa</t>
  </si>
  <si>
    <t>W:\INC\2010\Utility - MEC\state apportionment / _SalesApportionment_2010.xls</t>
  </si>
  <si>
    <t>(line 29 - line 30 - line 30a)</t>
  </si>
  <si>
    <t>Account 565</t>
  </si>
  <si>
    <t>EPRI Expenses</t>
  </si>
  <si>
    <t>FERC Annual Fees</t>
  </si>
  <si>
    <t>FERC Annual Fees and EPRI Expenses</t>
  </si>
  <si>
    <t>FERC Fees and EPRI Expenses</t>
  </si>
  <si>
    <t>Account 216.1</t>
  </si>
  <si>
    <t>Unappropriated Undistributed Subsidiary Earnings</t>
  </si>
  <si>
    <t>MISSOURI</t>
  </si>
  <si>
    <t>MICHIGAN</t>
  </si>
  <si>
    <t>apportion %</t>
  </si>
  <si>
    <t xml:space="preserve"> apportion %</t>
  </si>
  <si>
    <t xml:space="preserve">             MISSOURI TAX</t>
  </si>
  <si>
    <t xml:space="preserve">             MICHIGAN TAX</t>
  </si>
  <si>
    <t xml:space="preserve">             BLENDED TAX</t>
  </si>
  <si>
    <t>MISSOURI INCOME TAX:</t>
  </si>
  <si>
    <t>ADD BACK:  STATE INCOME TAX</t>
  </si>
  <si>
    <t>MO TAXABLE INCOME before APPORTIONMENT</t>
  </si>
  <si>
    <t>MO APPORTIONMENT FACTOR</t>
  </si>
  <si>
    <t>MO TAXABLE INCOME</t>
  </si>
  <si>
    <t>MISSOURI TAX RATE</t>
  </si>
  <si>
    <t>MO INCOME TAX</t>
  </si>
  <si>
    <t xml:space="preserve">ADD BACK:  STATE INCOME TAX </t>
  </si>
  <si>
    <t>MICHIGAN INCOME TAX:</t>
  </si>
  <si>
    <t xml:space="preserve">ADD BACK:  MICHIGAN INCOME TAX </t>
  </si>
  <si>
    <t>MI TAXABLE INCOME before APPORTIONMENT</t>
  </si>
  <si>
    <t>MI APPORTIONMENT FACTOR</t>
  </si>
  <si>
    <t>MI TAXABLE INCOME</t>
  </si>
  <si>
    <t>MICHIGAN TAX RATE</t>
  </si>
  <si>
    <t>MI INCOME TAX</t>
  </si>
  <si>
    <t>Anything not IL, SD or Neb is included as Iowa</t>
  </si>
  <si>
    <t>Line No.</t>
  </si>
  <si>
    <t>I.</t>
  </si>
  <si>
    <t>Annual Transmission Revenue Requirement True-Up</t>
  </si>
  <si>
    <t xml:space="preserve">Historic Year Actual ATRR </t>
  </si>
  <si>
    <t>Historic Year Projected ATRR</t>
  </si>
  <si>
    <t xml:space="preserve">Historic Year ATRR True-Up  </t>
  </si>
  <si>
    <t>(Line 1 - Line 2)</t>
  </si>
  <si>
    <t>II.</t>
  </si>
  <si>
    <t>Divisor True-Up</t>
  </si>
  <si>
    <t>Historic Year Actual Divisor</t>
  </si>
  <si>
    <t>Historic Year Projected Divisor</t>
  </si>
  <si>
    <t xml:space="preserve">Difference in Divisor  </t>
  </si>
  <si>
    <t>(Line 5 - Line 4)</t>
  </si>
  <si>
    <t>Historic Year Projected Annual Cost ($/kW/Yr)</t>
  </si>
  <si>
    <t xml:space="preserve">Historic Year Divisor True-Up  </t>
  </si>
  <si>
    <t>(Line 6 X Line 7)</t>
  </si>
  <si>
    <t>III.</t>
  </si>
  <si>
    <t>Summary</t>
  </si>
  <si>
    <t xml:space="preserve">ATRR True-Up (Line 3)  </t>
  </si>
  <si>
    <t xml:space="preserve">Divisor True-Up (Line 8)  </t>
  </si>
  <si>
    <t>(Line 9 + Line 10)</t>
  </si>
  <si>
    <t>Interest on Historic Year True-Up</t>
  </si>
  <si>
    <t>(Line 11 X Line 12 X 24 months)</t>
  </si>
  <si>
    <t xml:space="preserve">True-Up Principal and Interest (Over)Under Collected  </t>
  </si>
  <si>
    <t>(Line 11 + Line 13)</t>
  </si>
  <si>
    <t>Average</t>
  </si>
  <si>
    <t>Project P3213</t>
  </si>
  <si>
    <t>Project P3205</t>
  </si>
  <si>
    <t>Attachment O - Footnote K</t>
  </si>
  <si>
    <t>Tax Percentages</t>
  </si>
  <si>
    <t>Federal Income Tax Deduction for State Income Tax Calculation</t>
  </si>
  <si>
    <t>Federal Income Taxes before State Income Tax Deduction</t>
  </si>
  <si>
    <t>(Line 3 / Line 4)</t>
  </si>
  <si>
    <r>
      <t xml:space="preserve">* Data used for calculations is from Tax Tab of workbook. The data cells used are highlighted in </t>
    </r>
    <r>
      <rPr>
        <sz val="12"/>
        <rFont val="Arial MT"/>
      </rPr>
      <t>yellow.</t>
    </r>
  </si>
  <si>
    <t>MVP 16</t>
  </si>
  <si>
    <t>Project P3022</t>
  </si>
  <si>
    <t xml:space="preserve">MVP 4 </t>
  </si>
  <si>
    <t xml:space="preserve">MVP 3 </t>
  </si>
  <si>
    <t>Attachment O-MEC</t>
  </si>
  <si>
    <t>LESS ATTACHMENT MM ADJUSTMENT [Attachment MM, page 2, line 3, column 14]   (Note Z)</t>
  </si>
  <si>
    <t xml:space="preserve">  c. Transmission charges from Schedules associated with Attachment GG  (Note X)</t>
  </si>
  <si>
    <t xml:space="preserve">  d. Transmission charges from Schedules associated with Attachment MM (Note AA)</t>
  </si>
  <si>
    <t>Pursuant to Attachment GG of the Midwest ISO Tariff, removes dollar amount of revenue requirements calculated pursuant to Attachment GG.</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</si>
  <si>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</si>
  <si>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Pursuant to Attachment MM of the Midwest ISO Tariff, removes dollar amount of revenue requirements calculated pursuant to Attachment MM.</t>
  </si>
  <si>
    <t xml:space="preserve">Removes from revenue credits that are distributed pursuant to Schedules associated with Attachment MM of the Midwest ISO Tariff, since the Transmission Owner's </t>
  </si>
  <si>
    <t>Schedule 10-FERC charges should not be included in O&amp;M.</t>
  </si>
  <si>
    <t>Total Schedule 9 Transmission Revenue</t>
  </si>
  <si>
    <t>Total Schedule 26 Transmission Revenue</t>
  </si>
  <si>
    <t>Total Schedule 26-A Transmission Revenue</t>
  </si>
  <si>
    <t>Ames, Iowa</t>
  </si>
  <si>
    <t>Total (Sum of Lines 2 through 23)</t>
  </si>
  <si>
    <t>ADIT Summary Worksheet</t>
  </si>
  <si>
    <t>Page 1 of 1</t>
  </si>
  <si>
    <t>ADIT for the Projection</t>
  </si>
  <si>
    <t>(a)</t>
  </si>
  <si>
    <t>(b)</t>
  </si>
  <si>
    <t>(c)</t>
  </si>
  <si>
    <t>(d)</t>
  </si>
  <si>
    <t>(e)</t>
  </si>
  <si>
    <t>(f)</t>
  </si>
  <si>
    <t>(g)</t>
  </si>
  <si>
    <t>(h)</t>
  </si>
  <si>
    <t>(i)</t>
  </si>
  <si>
    <t>(j)</t>
  </si>
  <si>
    <t>(k)</t>
  </si>
  <si>
    <t>(l)</t>
  </si>
  <si>
    <t>Beginning</t>
  </si>
  <si>
    <t>Weighting</t>
  </si>
  <si>
    <t>100% Allocator</t>
  </si>
  <si>
    <t>Plant</t>
  </si>
  <si>
    <t>NP Allocator</t>
  </si>
  <si>
    <t>Labor</t>
  </si>
  <si>
    <t>S/W Allocator</t>
  </si>
  <si>
    <t xml:space="preserve">Total </t>
  </si>
  <si>
    <t>Balance &amp;</t>
  </si>
  <si>
    <t xml:space="preserve"> for Projection</t>
  </si>
  <si>
    <t>(f) x Allocator</t>
  </si>
  <si>
    <t xml:space="preserve"> Related</t>
  </si>
  <si>
    <t>(h) x Allocator</t>
  </si>
  <si>
    <t>Related</t>
  </si>
  <si>
    <t>(j) x Allocator</t>
  </si>
  <si>
    <t>ADIT</t>
  </si>
  <si>
    <t>Monthly</t>
  </si>
  <si>
    <t>(d) x [(g)+(i)+(k)]</t>
  </si>
  <si>
    <t>Changes</t>
  </si>
  <si>
    <t xml:space="preserve">From Attach O </t>
  </si>
  <si>
    <t>ADIT- 282</t>
  </si>
  <si>
    <t>Page 2, Line 18</t>
  </si>
  <si>
    <t>Page 4, Line 16</t>
  </si>
  <si>
    <t>Balance</t>
  </si>
  <si>
    <t xml:space="preserve">December </t>
  </si>
  <si>
    <t>Increment</t>
  </si>
  <si>
    <t>January</t>
  </si>
  <si>
    <t>February</t>
  </si>
  <si>
    <t>March</t>
  </si>
  <si>
    <t>April</t>
  </si>
  <si>
    <t>May</t>
  </si>
  <si>
    <t>June</t>
  </si>
  <si>
    <t>July</t>
  </si>
  <si>
    <t>August</t>
  </si>
  <si>
    <t>September</t>
  </si>
  <si>
    <t>October</t>
  </si>
  <si>
    <t>November</t>
  </si>
  <si>
    <t xml:space="preserve">Sum Ties to December </t>
  </si>
  <si>
    <t>Total Account 282</t>
  </si>
  <si>
    <t>ADIT-283</t>
  </si>
  <si>
    <t>ADIT-281</t>
  </si>
  <si>
    <t>ADIT-190</t>
  </si>
  <si>
    <t>Total ADIT (to be entered on Attachment O, Page 2, Line 19)</t>
  </si>
  <si>
    <t xml:space="preserve">ADIT Worksheet for Projection </t>
  </si>
  <si>
    <t xml:space="preserve">For Projection </t>
  </si>
  <si>
    <t>Reserved</t>
  </si>
  <si>
    <t>KANSAS</t>
  </si>
  <si>
    <t>KANSAS INCOME TAX:</t>
  </si>
  <si>
    <t xml:space="preserve">ADD BACK:  KANSAS INCOME TAX </t>
  </si>
  <si>
    <t>KS TAXABLE INCOME before APPORTIONMENT</t>
  </si>
  <si>
    <t>KS APPORTIONMENT FACTOR</t>
  </si>
  <si>
    <t>KS TAXABLE INCOME</t>
  </si>
  <si>
    <t>KANSAS TAX RATE</t>
  </si>
  <si>
    <t>KANSAS INCOME TAX</t>
  </si>
  <si>
    <t xml:space="preserve">Total Principal 2015 True-Up  </t>
  </si>
  <si>
    <t>FERC Interest Rate</t>
  </si>
  <si>
    <t>Short Term Interest Rate</t>
  </si>
  <si>
    <t xml:space="preserve">Heartland (Auburn) </t>
  </si>
  <si>
    <t>Plant Account Balances - ARO</t>
  </si>
  <si>
    <t>Analysis of Accumulated Depreciation - ARO</t>
  </si>
  <si>
    <t>MVP 7</t>
  </si>
  <si>
    <t>2a</t>
  </si>
  <si>
    <t>Production - ARO</t>
  </si>
  <si>
    <t>Transmission - ARO</t>
  </si>
  <si>
    <t>Project P2248</t>
  </si>
  <si>
    <t>(Note Y)  (sum lines 7a - 7f)</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</si>
  <si>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 The calculation of ADIT in the annual true-up calculation will use the beginning-of-year and end-of-year balances as set forth in the ADIT Summary Worksheet Line 37; the calculation of ADIT in the annual projection will be performed in accordance with IRS regulation Section 1.167(l)-1(h)(6) pursuant to ADIT Summary Worksheet line 24. The Annual True-up or projected net revenue requirement ADIT Summary Worksheets set forth the calculation pursuant to IRS regulation Section 1.167(l)-1(h)(6).</t>
  </si>
  <si>
    <t xml:space="preserve">Debt cost rate = long-term interest (line 21) / long term debt (line 27).  Preferred cost rate = preferred dividends (line 22) / preferred outstanding (line 28).   ROE will be supported in the original filing and no change in ROE may be made absent a filing with FERC.  A 50 basis point adder for RTO participation may be added to the ROE up to the upper end of the zone of reasonableness established by FERC. </t>
  </si>
  <si>
    <t>Attachment O revenue requirements have already been reduced by the Attachment MM revenue requirements.</t>
  </si>
  <si>
    <t>Page 2 Line 23a includes the net prefunded AFUDC on CWIP included in rate base and Page 3 Line 9a includes the annual amortization of the prefunded AFUDC amounts.</t>
  </si>
  <si>
    <t>Page 2 Line 23b includes any unamortized balances related to the recovery of abandoned plant costs approved by FERC under a separate docket.</t>
  </si>
  <si>
    <t>Page 3 Line 9b includes the Amortization expense of abandonment costs included in transmission depreciation expense.</t>
  </si>
  <si>
    <t>The Account 255 balances are calculated using a simple average of beginning of year and end of year balances.</t>
  </si>
  <si>
    <t xml:space="preserve">    Historic Year Actual Divisor</t>
  </si>
  <si>
    <t>For the 13 Months Ended December 31, 2018</t>
  </si>
  <si>
    <t>Budget Year Ending December 31, 2018</t>
  </si>
  <si>
    <t>Budget 2018</t>
  </si>
  <si>
    <t>Estimated - For the 12 months ended 12/31/18</t>
  </si>
  <si>
    <t>2016 Attachment O True-up Adjustment</t>
  </si>
  <si>
    <t>For the Year Ended December 31, 2016</t>
  </si>
  <si>
    <t xml:space="preserve">Interest for 24 Months (Jan'16 - Dec '17)  </t>
  </si>
  <si>
    <t>Transmission of Electricity for Others (2018 MidAmerican Transmission Revenue Forecast)</t>
  </si>
  <si>
    <t>12 Months Ending December 31, 2018</t>
  </si>
  <si>
    <t>Alliant (George)</t>
  </si>
  <si>
    <t>Alliant (St. Joseph)</t>
  </si>
  <si>
    <t>Realgy</t>
  </si>
  <si>
    <t>2018 MidAmerican Transmission Revenue Forecast</t>
  </si>
  <si>
    <t>(Line 1 - Line 28 - Line 29 - Line 30)</t>
  </si>
  <si>
    <t>(Line 27)</t>
  </si>
  <si>
    <t>Note F</t>
  </si>
  <si>
    <t>Composite Income Tax Rate 2018</t>
  </si>
  <si>
    <t>TO 21%</t>
  </si>
  <si>
    <t>Statutory Rate</t>
  </si>
  <si>
    <t>MidAmerican Energy Attachment 1-1g</t>
  </si>
</sst>
</file>

<file path=xl/styles.xml><?xml version="1.0" encoding="utf-8"?>
<styleSheet xmlns="http://schemas.openxmlformats.org/spreadsheetml/2006/main" xmlns:mc="http://schemas.openxmlformats.org/markup-compatibility/2006" xmlns:x14ac="http://schemas.microsoft.com/office/spreadsheetml/2009/9/ac" mc:Ignorable="x14ac">
  <numFmts count="88">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 #,##0_);_(* \(#,##0\);_(* &quot;-&quot;??_);_(@_)"/>
    <numFmt numFmtId="175" formatCode="_(&quot;$&quot;* #,##0_);_(&quot;$&quot;* \(#,##0\);_(&quot;$&quot;* &quot;-&quot;??_);_(@_)"/>
    <numFmt numFmtId="176" formatCode="0_);\(0\)"/>
    <numFmt numFmtId="177" formatCode="[$-409]mmm\-yy;@"/>
    <numFmt numFmtId="178" formatCode="dd\-mmm\-yy_)"/>
    <numFmt numFmtId="179" formatCode="0.0000%"/>
    <numFmt numFmtId="180" formatCode="[$-409]mmmm\-yy;@"/>
    <numFmt numFmtId="181" formatCode="0.000"/>
    <numFmt numFmtId="182" formatCode="#,##0;\-#,##0;&quot;-&quot;"/>
    <numFmt numFmtId="183" formatCode="[$-409]mmmm\ d\,\ yyyy;@"/>
    <numFmt numFmtId="184" formatCode="#,##0.00&quot;£&quot;_);\(#,##0.00&quot;£&quot;\)"/>
    <numFmt numFmtId="185" formatCode="mm/dd/yy"/>
    <numFmt numFmtId="186" formatCode="_(&quot;$&quot;* #,##0.0000_);_(&quot;$&quot;* \(#,##0.0000\);_(&quot;$&quot;* &quot;-&quot;??_);_(@_)"/>
    <numFmt numFmtId="187" formatCode="_(* #,##0.0000_);_(* \(#,##0.0000\);_(* &quot;-&quot;??_);_(@_)"/>
    <numFmt numFmtId="188" formatCode="0.0%_);\(0.0%\)"/>
    <numFmt numFmtId="189" formatCode="\•\ \ @"/>
    <numFmt numFmtId="190" formatCode="#,##0,_);\(#,##0,\)"/>
    <numFmt numFmtId="191" formatCode="#,##0.0_);\(#,##0.0\)"/>
    <numFmt numFmtId="192" formatCode="0.0,_);\(0.0,\)"/>
    <numFmt numFmtId="193" formatCode="0.00,_);\(0.00,\)"/>
    <numFmt numFmtId="194" formatCode="#,##0.000_);\(#,##0.000\)"/>
    <numFmt numFmtId="195" formatCode="_._.* #,##0.0_)_%;_._.* \(#,##0.0\)_%;_._.* \ ?_)_%"/>
    <numFmt numFmtId="196" formatCode="_._.* #,##0.00_)_%;_._.* \(#,##0.00\)_%;_._.* \ ?_)_%"/>
    <numFmt numFmtId="197" formatCode="_._.* #,##0.000_)_%;_._.* \(#,##0.000\)_%;_._.* \ ?_)_%"/>
    <numFmt numFmtId="198" formatCode="_._.* #,##0.0000_)_%;_._.* \(#,##0.0000\)_%;_._.* \ ?_)_%"/>
    <numFmt numFmtId="199" formatCode="_._.&quot;$&quot;* #,##0.0_)_%;_._.&quot;$&quot;* \(#,##0.0\)_%;_._.&quot;$&quot;* \ ?_)_%"/>
    <numFmt numFmtId="200" formatCode="_._.&quot;$&quot;* #,##0.00_)_%;_._.&quot;$&quot;* \(#,##0.00\)_%;_._.&quot;$&quot;* \ ?_)_%"/>
    <numFmt numFmtId="201" formatCode="_._.&quot;$&quot;* #,##0.000_)_%;_._.&quot;$&quot;* \(#,##0.000\)_%;_._.&quot;$&quot;* \ ?_)_%"/>
    <numFmt numFmtId="202" formatCode="_._.&quot;$&quot;* #,##0.0000_)_%;_._.&quot;$&quot;* \(#,##0.0000\)_%;_._.&quot;$&quot;* \ ?_)_%"/>
    <numFmt numFmtId="203" formatCode="&quot;$&quot;#,##0,_);\(&quot;$&quot;#,##0,\)"/>
    <numFmt numFmtId="204" formatCode="&quot;$&quot;#,##0.0_);\(&quot;$&quot;#,##0.0\)"/>
    <numFmt numFmtId="205" formatCode="&quot;$&quot;0.0,_);\(&quot;$&quot;0.0,\)"/>
    <numFmt numFmtId="206" formatCode="&quot;$&quot;0.00,_);\(&quot;$&quot;0.00,\)"/>
    <numFmt numFmtId="207" formatCode="&quot;$&quot;#,##0.000_);\(&quot;$&quot;#,##0.000\)"/>
    <numFmt numFmtId="208" formatCode="#,##0.0\x_);\(#,##0.0\x\)"/>
    <numFmt numFmtId="209" formatCode="#,##0.00\x_);\(#,##0.00\x\)"/>
    <numFmt numFmtId="210" formatCode="[$€-2]\ #,##0_);\([$€-2]\ #,##0\)"/>
    <numFmt numFmtId="211" formatCode="[$€-2]\ #,##0.0_);\([$€-2]\ #,##0.0\)"/>
    <numFmt numFmtId="212" formatCode="_([$€-2]* #,##0.00_);_([$€-2]* \(#,##0.00\);_([$€-2]* &quot;-&quot;??_)"/>
    <numFmt numFmtId="213" formatCode="#,##0\x;\(#,##0\x\)"/>
    <numFmt numFmtId="214" formatCode="0.0\x;\(0.0\x\)"/>
    <numFmt numFmtId="215" formatCode="#,##0.00\x;\(#,##0.00\x\)"/>
    <numFmt numFmtId="216" formatCode="#,##0.000\x;\(#,##0.000\x\)"/>
    <numFmt numFmtId="217" formatCode="0.0_);\(0.0\)"/>
    <numFmt numFmtId="218" formatCode="0%;\(0%\)"/>
    <numFmt numFmtId="219" formatCode="0.0%;\(0.0%\)"/>
    <numFmt numFmtId="220" formatCode="0.00%_);\(0.00%\)"/>
    <numFmt numFmtId="221" formatCode="0.000%_);\(0.000%\)"/>
    <numFmt numFmtId="222" formatCode="_(0_)%;\(0\)%;\ \ ?_)%"/>
    <numFmt numFmtId="223" formatCode="_._._(* 0_)%;_._.* \(0\)%;_._._(* \ ?_)%"/>
    <numFmt numFmtId="224" formatCode="0%_);\(0%\)"/>
    <numFmt numFmtId="225" formatCode="_(0.0_)%;\(0.0\)%;\ \ ?_)%"/>
    <numFmt numFmtId="226" formatCode="_._._(* 0.0_)%;_._.* \(0.0\)%;_._._(* \ ?_)%"/>
    <numFmt numFmtId="227" formatCode="_(0.00_)%;\(0.00\)%;\ \ ?_)%"/>
    <numFmt numFmtId="228" formatCode="_._._(* 0.00_)%;_._.* \(0.00\)%;_._._(* \ ?_)%"/>
    <numFmt numFmtId="229" formatCode="_(0.000_)%;\(0.000\)%;\ \ ?_)%"/>
    <numFmt numFmtId="230" formatCode="_._._(* 0.000_)%;_._.* \(0.000\)%;_._._(* \ ?_)%"/>
    <numFmt numFmtId="231" formatCode="_(0.0000_)%;\(0.0000\)%;\ \ ?_)%"/>
    <numFmt numFmtId="232" formatCode="_._._(* 0.0000_)%;_._.* \(0.0000\)%;_._._(* \ ?_)%"/>
    <numFmt numFmtId="233" formatCode="0.0%"/>
    <numFmt numFmtId="234" formatCode="_(* #,##0_);_(* \(#,##0\);_(* \ ?_)"/>
    <numFmt numFmtId="235" formatCode="_(* #,##0.0_);_(* \(#,##0.0\);_(* \ ?_)"/>
    <numFmt numFmtId="236" formatCode="_(* #,##0.00_);_(* \(#,##0.00\);_(* \ ?_)"/>
    <numFmt numFmtId="237" formatCode="_(* #,##0.000_);_(* \(#,##0.000\);_(* \ ?_)"/>
    <numFmt numFmtId="238" formatCode="_(&quot;$&quot;* #,##0_);_(&quot;$&quot;* \(#,##0\);_(&quot;$&quot;* \ ?_)"/>
    <numFmt numFmtId="239" formatCode="_(&quot;$&quot;* #,##0.0_);_(&quot;$&quot;* \(#,##0.0\);_(&quot;$&quot;* \ ?_)"/>
    <numFmt numFmtId="240" formatCode="_(&quot;$&quot;* #,##0.00_);_(&quot;$&quot;* \(#,##0.00\);_(&quot;$&quot;* \ ?_)"/>
    <numFmt numFmtId="241" formatCode="_(&quot;$&quot;* #,##0.000_);_(&quot;$&quot;* \(#,##0.000\);_(&quot;$&quot;* \ ?_)"/>
    <numFmt numFmtId="242" formatCode="0000&quot;A&quot;"/>
    <numFmt numFmtId="243" formatCode="0&quot;E&quot;"/>
    <numFmt numFmtId="244" formatCode="0000&quot;E&quot;"/>
    <numFmt numFmtId="245" formatCode="&quot;$&quot;#,##0.0000"/>
  </numFmts>
  <fonts count="110">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b/>
      <sz val="12"/>
      <name val="Times New Roman"/>
      <family val="1"/>
    </font>
    <font>
      <sz val="12"/>
      <color indexed="10"/>
      <name val="Times New Roman"/>
      <family val="1"/>
    </font>
    <font>
      <strike/>
      <sz val="12"/>
      <color indexed="10"/>
      <name val="Times New Roman"/>
      <family val="1"/>
    </font>
    <font>
      <strike/>
      <sz val="12"/>
      <name val="Times New Roman"/>
      <family val="1"/>
    </font>
    <font>
      <b/>
      <sz val="12"/>
      <color indexed="48"/>
      <name val="Times New Roman"/>
      <family val="1"/>
    </font>
    <font>
      <sz val="10"/>
      <name val="Arial"/>
      <family val="2"/>
    </font>
    <font>
      <sz val="12"/>
      <color indexed="17"/>
      <name val="Arial MT"/>
    </font>
    <font>
      <strike/>
      <sz val="12"/>
      <color indexed="53"/>
      <name val="Arial MT"/>
    </font>
    <font>
      <u/>
      <sz val="12"/>
      <color indexed="17"/>
      <name val="Arial MT"/>
    </font>
    <font>
      <sz val="12"/>
      <name val="Arial MT"/>
    </font>
    <font>
      <b/>
      <sz val="12"/>
      <name val="Arial"/>
      <family val="2"/>
    </font>
    <font>
      <sz val="12"/>
      <name val="Arial"/>
      <family val="2"/>
    </font>
    <font>
      <b/>
      <sz val="12"/>
      <name val="Arial MT"/>
    </font>
    <font>
      <b/>
      <sz val="16"/>
      <color indexed="8"/>
      <name val="Arial"/>
      <family val="2"/>
    </font>
    <font>
      <b/>
      <sz val="14"/>
      <color indexed="8"/>
      <name val="Arial"/>
      <family val="2"/>
    </font>
    <font>
      <b/>
      <sz val="12"/>
      <color indexed="8"/>
      <name val="Arial"/>
      <family val="2"/>
    </font>
    <font>
      <sz val="12"/>
      <color indexed="8"/>
      <name val="Arial"/>
      <family val="2"/>
    </font>
    <font>
      <sz val="12"/>
      <color indexed="12"/>
      <name val="Arial"/>
      <family val="2"/>
    </font>
    <font>
      <sz val="12"/>
      <color indexed="8"/>
      <name val="Courier"/>
      <family val="3"/>
    </font>
    <font>
      <sz val="10"/>
      <color indexed="12"/>
      <name val="Arial"/>
      <family val="2"/>
    </font>
    <font>
      <b/>
      <u/>
      <sz val="12"/>
      <color indexed="8"/>
      <name val="Arial"/>
      <family val="2"/>
    </font>
    <font>
      <sz val="8"/>
      <color indexed="8"/>
      <name val="Arial"/>
      <family val="2"/>
    </font>
    <font>
      <b/>
      <sz val="16"/>
      <color indexed="10"/>
      <name val="Arial"/>
      <family val="2"/>
    </font>
    <font>
      <sz val="11"/>
      <color indexed="8"/>
      <name val="Calibri"/>
      <family val="2"/>
    </font>
    <font>
      <sz val="11"/>
      <color indexed="9"/>
      <name val="Calibri"/>
      <family val="2"/>
    </font>
    <font>
      <sz val="11"/>
      <color indexed="20"/>
      <name val="Calibri"/>
      <family val="2"/>
    </font>
    <font>
      <sz val="8"/>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color indexed="8"/>
      <name val="Arial"/>
      <family val="2"/>
    </font>
    <font>
      <b/>
      <sz val="11"/>
      <color indexed="52"/>
      <name val="Calibri"/>
      <family val="2"/>
    </font>
    <font>
      <b/>
      <sz val="11"/>
      <color indexed="9"/>
      <name val="Calibri"/>
      <family val="2"/>
    </font>
    <font>
      <sz val="10"/>
      <name val="MS Sans Serif"/>
      <family val="2"/>
    </font>
    <font>
      <sz val="10"/>
      <name val="MS Serif"/>
      <family val="1"/>
    </font>
    <font>
      <sz val="10"/>
      <name val="Courier"/>
      <family val="3"/>
    </font>
    <font>
      <sz val="10"/>
      <color indexed="16"/>
      <name val="MS Serif"/>
      <family val="1"/>
    </font>
    <font>
      <i/>
      <sz val="11"/>
      <color indexed="23"/>
      <name val="Calibri"/>
      <family val="2"/>
    </font>
    <font>
      <sz val="11"/>
      <color indexed="17"/>
      <name val="Calibri"/>
      <family val="2"/>
    </font>
    <font>
      <b/>
      <sz val="18"/>
      <name val="Arial"/>
      <family val="2"/>
    </font>
    <font>
      <b/>
      <sz val="15"/>
      <color indexed="56"/>
      <name val="Calibri"/>
      <family val="2"/>
    </font>
    <font>
      <b/>
      <sz val="13"/>
      <color indexed="56"/>
      <name val="Calibri"/>
      <family val="2"/>
    </font>
    <font>
      <b/>
      <sz val="11"/>
      <color indexed="56"/>
      <name val="Calibri"/>
      <family val="2"/>
    </font>
    <font>
      <b/>
      <sz val="14"/>
      <name val="Book Antiqua"/>
      <family val="1"/>
    </font>
    <font>
      <i/>
      <sz val="10"/>
      <name val="Book Antiqua"/>
      <family val="1"/>
    </font>
    <font>
      <sz val="11"/>
      <color indexed="62"/>
      <name val="Calibri"/>
      <family val="2"/>
    </font>
    <font>
      <sz val="11"/>
      <color indexed="52"/>
      <name val="Calibri"/>
      <family val="2"/>
    </font>
    <font>
      <sz val="11"/>
      <color indexed="60"/>
      <name val="Calibri"/>
      <family val="2"/>
    </font>
    <font>
      <sz val="12"/>
      <name val="TimesNewRomanPS"/>
    </font>
    <font>
      <b/>
      <sz val="11"/>
      <color indexed="63"/>
      <name val="Calibri"/>
      <family val="2"/>
    </font>
    <font>
      <sz val="10"/>
      <name val="TimesNewRomanPS"/>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8"/>
      <name val="Helv"/>
    </font>
    <font>
      <b/>
      <sz val="8"/>
      <color indexed="8"/>
      <name val="Helv"/>
    </font>
    <font>
      <b/>
      <sz val="18"/>
      <color indexed="56"/>
      <name val="Cambria"/>
      <family val="2"/>
    </font>
    <font>
      <b/>
      <sz val="11"/>
      <color indexed="8"/>
      <name val="Calibri"/>
      <family val="2"/>
    </font>
    <font>
      <sz val="11"/>
      <color indexed="10"/>
      <name val="Calibri"/>
      <family val="2"/>
    </font>
    <font>
      <sz val="10"/>
      <color theme="1"/>
      <name val="Arial"/>
      <family val="2"/>
    </font>
    <font>
      <sz val="12"/>
      <color theme="1"/>
      <name val="Times New Roman"/>
      <family val="1"/>
    </font>
    <font>
      <b/>
      <sz val="10"/>
      <color theme="1"/>
      <name val="Arial"/>
      <family val="2"/>
    </font>
    <font>
      <u/>
      <sz val="12"/>
      <name val="Times New Roman"/>
      <family val="1"/>
    </font>
    <font>
      <sz val="12"/>
      <color rgb="FFFF0000"/>
      <name val="Times New Roman"/>
      <family val="1"/>
    </font>
    <font>
      <sz val="11"/>
      <color theme="1"/>
      <name val="Arial Narrow"/>
      <family val="2"/>
    </font>
    <font>
      <b/>
      <sz val="11"/>
      <color theme="1"/>
      <name val="Arial Narrow"/>
      <family val="2"/>
    </font>
    <font>
      <b/>
      <i/>
      <sz val="11"/>
      <name val="Arial Narrow"/>
      <family val="2"/>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1"/>
      <name val="Times New Roman"/>
      <family val="1"/>
    </font>
    <font>
      <u val="singleAccounting"/>
      <sz val="11"/>
      <name val="Times New Roman"/>
      <family val="1"/>
    </font>
    <font>
      <b/>
      <sz val="10"/>
      <name val="Times New Roman"/>
      <family val="1"/>
    </font>
    <font>
      <i/>
      <sz val="8"/>
      <name val="Arial"/>
      <family val="2"/>
    </font>
    <font>
      <sz val="10"/>
      <name val="Book Antiqua"/>
      <family val="1"/>
    </font>
    <font>
      <sz val="10"/>
      <color indexed="42"/>
      <name val="Arial"/>
      <family val="2"/>
    </font>
    <font>
      <sz val="10"/>
      <color indexed="46"/>
      <name val="Arial"/>
      <family val="2"/>
    </font>
    <font>
      <b/>
      <sz val="10"/>
      <color indexed="22"/>
      <name val="Arial"/>
      <family val="2"/>
    </font>
    <font>
      <sz val="8"/>
      <color indexed="22"/>
      <name val="Arial"/>
      <family val="2"/>
    </font>
    <font>
      <b/>
      <sz val="10"/>
      <color indexed="12"/>
      <name val="Arial"/>
      <family val="2"/>
    </font>
    <font>
      <sz val="10"/>
      <color indexed="12"/>
      <name val="Book Antiqua"/>
      <family val="1"/>
    </font>
    <font>
      <sz val="10"/>
      <color indexed="40"/>
      <name val="Arial"/>
      <family val="2"/>
    </font>
    <font>
      <sz val="10"/>
      <color indexed="8"/>
      <name val="Times New Roman"/>
      <family val="1"/>
    </font>
    <font>
      <b/>
      <sz val="9"/>
      <name val="Times New Roman"/>
      <family val="1"/>
    </font>
    <font>
      <b/>
      <sz val="10"/>
      <color indexed="10"/>
      <name val="Arial"/>
      <family val="2"/>
    </font>
    <font>
      <sz val="10"/>
      <color indexed="21"/>
      <name val="Arial"/>
      <family val="2"/>
    </font>
    <font>
      <b/>
      <sz val="8"/>
      <name val="Arial"/>
      <family val="2"/>
    </font>
  </fonts>
  <fills count="41">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indexed="65"/>
        <bgColor indexed="64"/>
      </patternFill>
    </fill>
    <fill>
      <patternFill patternType="solid">
        <fgColor indexed="9"/>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mediumGray">
        <fgColor indexed="22"/>
      </patternFill>
    </fill>
    <fill>
      <patternFill patternType="solid">
        <fgColor theme="9" tint="0.59999389629810485"/>
        <bgColor indexed="64"/>
      </patternFill>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31"/>
        <bgColor indexed="64"/>
      </patternFill>
    </fill>
    <fill>
      <patternFill patternType="solid">
        <fgColor indexed="26"/>
        <bgColor indexed="9"/>
      </patternFill>
    </fill>
  </fills>
  <borders count="44">
    <border>
      <left/>
      <right/>
      <top/>
      <bottom/>
      <diagonal/>
    </border>
    <border>
      <left/>
      <right/>
      <top/>
      <bottom style="medium">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thin">
        <color indexed="64"/>
      </right>
      <top style="thin">
        <color indexed="64"/>
      </top>
      <bottom style="medium">
        <color indexed="64"/>
      </bottom>
      <diagonal/>
    </border>
    <border>
      <left/>
      <right/>
      <top/>
      <bottom style="thin">
        <color indexed="8"/>
      </bottom>
      <diagonal/>
    </border>
    <border>
      <left/>
      <right/>
      <top/>
      <bottom style="double">
        <color indexed="8"/>
      </bottom>
      <diagonal/>
    </border>
    <border>
      <left/>
      <right style="medium">
        <color indexed="64"/>
      </right>
      <top/>
      <bottom style="medium">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style="thin">
        <color auto="1"/>
      </left>
      <right style="thin">
        <color auto="1"/>
      </right>
      <top style="thin">
        <color auto="1"/>
      </top>
      <bottom style="thin">
        <color auto="1"/>
      </bottom>
      <diagonal/>
    </border>
    <border>
      <left/>
      <right/>
      <top/>
      <bottom style="hair">
        <color indexed="20"/>
      </bottom>
      <diagonal/>
    </border>
  </borders>
  <cellStyleXfs count="1091">
    <xf numFmtId="173" fontId="0" fillId="0" borderId="0" applyProtection="0"/>
    <xf numFmtId="44" fontId="11" fillId="0" borderId="0" applyFont="0" applyFill="0" applyBorder="0" applyAlignment="0" applyProtection="0"/>
    <xf numFmtId="43" fontId="15" fillId="0" borderId="0" applyFont="0" applyFill="0" applyBorder="0" applyAlignment="0" applyProtection="0"/>
    <xf numFmtId="9" fontId="15" fillId="0" borderId="0" applyFont="0" applyFill="0" applyBorder="0" applyAlignment="0" applyProtection="0"/>
    <xf numFmtId="0" fontId="4" fillId="0" borderId="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30" fillId="17"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4" borderId="0" applyNumberFormat="0" applyBorder="0" applyAlignment="0" applyProtection="0"/>
    <xf numFmtId="0" fontId="31" fillId="8" borderId="0" applyNumberFormat="0" applyBorder="0" applyAlignment="0" applyProtection="0"/>
    <xf numFmtId="173" fontId="32" fillId="0" borderId="0" applyFill="0"/>
    <xf numFmtId="173" fontId="32" fillId="0" borderId="0">
      <alignment horizontal="center"/>
    </xf>
    <xf numFmtId="0" fontId="32" fillId="0" borderId="0" applyFill="0">
      <alignment horizontal="center"/>
    </xf>
    <xf numFmtId="173" fontId="33" fillId="0" borderId="27" applyFill="0"/>
    <xf numFmtId="0" fontId="11" fillId="0" borderId="0" applyFont="0" applyAlignment="0"/>
    <xf numFmtId="0" fontId="34" fillId="0" borderId="0" applyFill="0">
      <alignment vertical="top"/>
    </xf>
    <xf numFmtId="0" fontId="33" fillId="0" borderId="0" applyFill="0">
      <alignment horizontal="left" vertical="top"/>
    </xf>
    <xf numFmtId="173" fontId="16" fillId="0" borderId="9" applyFill="0"/>
    <xf numFmtId="0" fontId="11" fillId="0" borderId="0" applyNumberFormat="0" applyFont="0" applyAlignment="0"/>
    <xf numFmtId="0" fontId="34" fillId="0" borderId="0" applyFill="0">
      <alignment wrapText="1"/>
    </xf>
    <xf numFmtId="0" fontId="33" fillId="0" borderId="0" applyFill="0">
      <alignment horizontal="left" vertical="top" wrapText="1"/>
    </xf>
    <xf numFmtId="173" fontId="35" fillId="0" borderId="0" applyFill="0"/>
    <xf numFmtId="0" fontId="36" fillId="0" borderId="0" applyNumberFormat="0" applyFont="0" applyAlignment="0">
      <alignment horizontal="center"/>
    </xf>
    <xf numFmtId="0" fontId="37" fillId="0" borderId="0" applyFill="0">
      <alignment vertical="top" wrapText="1"/>
    </xf>
    <xf numFmtId="0" fontId="16" fillId="0" borderId="0" applyFill="0">
      <alignment horizontal="left" vertical="top" wrapText="1"/>
    </xf>
    <xf numFmtId="173" fontId="11" fillId="0" borderId="0" applyFill="0"/>
    <xf numFmtId="0" fontId="36" fillId="0" borderId="0" applyNumberFormat="0" applyFont="0" applyAlignment="0">
      <alignment horizontal="center"/>
    </xf>
    <xf numFmtId="0" fontId="38" fillId="0" borderId="0" applyFill="0">
      <alignment vertical="center" wrapText="1"/>
    </xf>
    <xf numFmtId="0" fontId="17" fillId="0" borderId="0">
      <alignment horizontal="left" vertical="center" wrapText="1"/>
    </xf>
    <xf numFmtId="173" fontId="39" fillId="0" borderId="0" applyFill="0"/>
    <xf numFmtId="0" fontId="36" fillId="0" borderId="0" applyNumberFormat="0" applyFont="0" applyAlignment="0">
      <alignment horizontal="center"/>
    </xf>
    <xf numFmtId="0" fontId="40" fillId="0" borderId="0" applyFill="0">
      <alignment horizontal="center" vertical="center" wrapText="1"/>
    </xf>
    <xf numFmtId="0" fontId="11" fillId="0" borderId="0" applyFill="0">
      <alignment horizontal="center" vertical="center" wrapText="1"/>
    </xf>
    <xf numFmtId="173" fontId="41" fillId="0" borderId="0" applyFill="0"/>
    <xf numFmtId="0" fontId="36" fillId="0" borderId="0" applyNumberFormat="0" applyFont="0" applyAlignment="0">
      <alignment horizontal="center"/>
    </xf>
    <xf numFmtId="0" fontId="42" fillId="0" borderId="0" applyFill="0">
      <alignment horizontal="center" vertical="center" wrapText="1"/>
    </xf>
    <xf numFmtId="0" fontId="43" fillId="0" borderId="0" applyFill="0">
      <alignment horizontal="center" vertical="center" wrapText="1"/>
    </xf>
    <xf numFmtId="173" fontId="44" fillId="0" borderId="0" applyFill="0"/>
    <xf numFmtId="0" fontId="36" fillId="0" borderId="0" applyNumberFormat="0" applyFont="0" applyAlignment="0">
      <alignment horizontal="center"/>
    </xf>
    <xf numFmtId="0" fontId="45" fillId="0" borderId="0">
      <alignment horizontal="center" wrapText="1"/>
    </xf>
    <xf numFmtId="0" fontId="41" fillId="0" borderId="0" applyFill="0">
      <alignment horizontal="center" wrapText="1"/>
    </xf>
    <xf numFmtId="182" fontId="46" fillId="0" borderId="0" applyFill="0" applyBorder="0" applyAlignment="0"/>
    <xf numFmtId="0" fontId="47" fillId="25" borderId="28" applyNumberFormat="0" applyAlignment="0" applyProtection="0"/>
    <xf numFmtId="0" fontId="48" fillId="26" borderId="29" applyNumberFormat="0" applyAlignment="0" applyProtection="0"/>
    <xf numFmtId="41" fontId="22" fillId="0" borderId="0" applyFont="0" applyFill="0" applyBorder="0" applyAlignment="0" applyProtection="0"/>
    <xf numFmtId="41" fontId="22" fillId="0" borderId="0" applyFont="0" applyFill="0" applyBorder="0" applyAlignment="0" applyProtection="0"/>
    <xf numFmtId="43" fontId="17" fillId="0" borderId="0" applyFont="0" applyFill="0" applyBorder="0" applyAlignment="0" applyProtection="0"/>
    <xf numFmtId="43" fontId="22" fillId="0" borderId="0" applyFont="0" applyFill="0" applyBorder="0" applyAlignment="0" applyProtection="0"/>
    <xf numFmtId="43" fontId="15" fillId="0" borderId="0" applyFont="0" applyFill="0" applyBorder="0" applyAlignment="0" applyProtection="0"/>
    <xf numFmtId="43" fontId="49" fillId="0" borderId="0" applyFont="0" applyFill="0" applyBorder="0" applyAlignment="0" applyProtection="0"/>
    <xf numFmtId="43" fontId="11" fillId="0" borderId="0" applyFont="0" applyFill="0" applyBorder="0" applyAlignment="0" applyProtection="0"/>
    <xf numFmtId="43" fontId="49"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3" fontId="11" fillId="0" borderId="0" applyFont="0" applyFill="0" applyBorder="0" applyAlignment="0" applyProtection="0"/>
    <xf numFmtId="0" fontId="50" fillId="0" borderId="0" applyNumberFormat="0" applyAlignment="0">
      <alignment horizontal="left"/>
    </xf>
    <xf numFmtId="0" fontId="51" fillId="0" borderId="0"/>
    <xf numFmtId="44" fontId="11" fillId="0" borderId="0" applyFont="0" applyFill="0" applyBorder="0" applyAlignment="0" applyProtection="0"/>
    <xf numFmtId="44" fontId="4" fillId="0" borderId="0" applyFont="0" applyFill="0" applyBorder="0" applyAlignment="0" applyProtection="0"/>
    <xf numFmtId="44" fontId="15"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183" fontId="11" fillId="0" borderId="0" applyFont="0" applyFill="0" applyBorder="0" applyAlignment="0" applyProtection="0"/>
    <xf numFmtId="0" fontId="52" fillId="0" borderId="0" applyNumberFormat="0" applyAlignment="0">
      <alignment horizontal="left"/>
    </xf>
    <xf numFmtId="0" fontId="53" fillId="0" borderId="0" applyNumberFormat="0" applyFill="0" applyBorder="0" applyAlignment="0" applyProtection="0"/>
    <xf numFmtId="2" fontId="11" fillId="0" borderId="0" applyFont="0" applyFill="0" applyBorder="0" applyAlignment="0" applyProtection="0"/>
    <xf numFmtId="0" fontId="54" fillId="9" borderId="0" applyNumberFormat="0" applyBorder="0" applyAlignment="0" applyProtection="0"/>
    <xf numFmtId="38" fontId="32" fillId="27" borderId="0" applyNumberFormat="0" applyBorder="0" applyAlignment="0" applyProtection="0"/>
    <xf numFmtId="0" fontId="16" fillId="0" borderId="30" applyNumberFormat="0" applyAlignment="0" applyProtection="0">
      <alignment horizontal="left" vertical="center"/>
    </xf>
    <xf numFmtId="0" fontId="16" fillId="0" borderId="13">
      <alignment horizontal="left" vertical="center"/>
    </xf>
    <xf numFmtId="0" fontId="55" fillId="0" borderId="0" applyFont="0" applyFill="0" applyBorder="0" applyAlignment="0" applyProtection="0"/>
    <xf numFmtId="0" fontId="56" fillId="0" borderId="31" applyNumberFormat="0" applyFill="0" applyAlignment="0" applyProtection="0"/>
    <xf numFmtId="0" fontId="16" fillId="0" borderId="0" applyFont="0" applyFill="0" applyBorder="0" applyAlignment="0" applyProtection="0"/>
    <xf numFmtId="0" fontId="57" fillId="0" borderId="32" applyNumberFormat="0" applyFill="0" applyAlignment="0" applyProtection="0"/>
    <xf numFmtId="0" fontId="58" fillId="0" borderId="33" applyNumberFormat="0" applyFill="0" applyAlignment="0" applyProtection="0"/>
    <xf numFmtId="0" fontId="58" fillId="0" borderId="0" applyNumberFormat="0" applyFill="0" applyBorder="0" applyAlignment="0" applyProtection="0"/>
    <xf numFmtId="0" fontId="59" fillId="0" borderId="1"/>
    <xf numFmtId="0" fontId="60" fillId="0" borderId="0"/>
    <xf numFmtId="10" fontId="32" fillId="28" borderId="34" applyNumberFormat="0" applyBorder="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2" fillId="0" borderId="35" applyNumberFormat="0" applyFill="0" applyAlignment="0" applyProtection="0"/>
    <xf numFmtId="0" fontId="63" fillId="29" borderId="0" applyNumberFormat="0" applyBorder="0" applyAlignment="0" applyProtection="0"/>
    <xf numFmtId="184" fontId="11" fillId="0" borderId="0"/>
    <xf numFmtId="173" fontId="15" fillId="0" borderId="0" applyProtection="0"/>
    <xf numFmtId="0" fontId="64" fillId="0" borderId="0"/>
    <xf numFmtId="0" fontId="15" fillId="0" borderId="0"/>
    <xf numFmtId="0" fontId="15" fillId="0" borderId="0"/>
    <xf numFmtId="0" fontId="22" fillId="0" borderId="0"/>
    <xf numFmtId="0" fontId="4" fillId="0" borderId="0"/>
    <xf numFmtId="173" fontId="15" fillId="0" borderId="0" applyProtection="0"/>
    <xf numFmtId="0" fontId="11" fillId="0" borderId="0"/>
    <xf numFmtId="0" fontId="64" fillId="0" borderId="0"/>
    <xf numFmtId="0" fontId="17" fillId="0" borderId="0"/>
    <xf numFmtId="0" fontId="46" fillId="0" borderId="0"/>
    <xf numFmtId="39" fontId="15" fillId="0" borderId="0"/>
    <xf numFmtId="0" fontId="15" fillId="0" borderId="0"/>
    <xf numFmtId="0" fontId="64" fillId="0" borderId="0"/>
    <xf numFmtId="173" fontId="15" fillId="0" borderId="0" applyProtection="0"/>
    <xf numFmtId="173" fontId="15" fillId="0" borderId="0" applyProtection="0"/>
    <xf numFmtId="0" fontId="15" fillId="30" borderId="36" applyNumberFormat="0" applyFont="0" applyAlignment="0" applyProtection="0"/>
    <xf numFmtId="0" fontId="65" fillId="25" borderId="37" applyNumberFormat="0" applyAlignment="0" applyProtection="0"/>
    <xf numFmtId="10" fontId="11"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0" fontId="49" fillId="0" borderId="0" applyNumberFormat="0" applyFont="0" applyFill="0" applyBorder="0" applyAlignment="0" applyProtection="0">
      <alignment horizontal="left"/>
    </xf>
    <xf numFmtId="15" fontId="49" fillId="0" borderId="0" applyFont="0" applyFill="0" applyBorder="0" applyAlignment="0" applyProtection="0"/>
    <xf numFmtId="4" fontId="49" fillId="0" borderId="0" applyFont="0" applyFill="0" applyBorder="0" applyAlignment="0" applyProtection="0"/>
    <xf numFmtId="3" fontId="11" fillId="0" borderId="0">
      <alignment horizontal="left" vertical="top"/>
    </xf>
    <xf numFmtId="0" fontId="67" fillId="0" borderId="1">
      <alignment horizontal="center"/>
    </xf>
    <xf numFmtId="3" fontId="49" fillId="0" borderId="0" applyFont="0" applyFill="0" applyBorder="0" applyAlignment="0" applyProtection="0"/>
    <xf numFmtId="0" fontId="49" fillId="31" borderId="0" applyNumberFormat="0" applyFont="0" applyBorder="0" applyAlignment="0" applyProtection="0"/>
    <xf numFmtId="3" fontId="11" fillId="0" borderId="0">
      <alignment horizontal="right" vertical="top"/>
    </xf>
    <xf numFmtId="41" fontId="17" fillId="27" borderId="17" applyFill="0"/>
    <xf numFmtId="0" fontId="68" fillId="0" borderId="0">
      <alignment horizontal="left" indent="7"/>
    </xf>
    <xf numFmtId="41" fontId="17" fillId="0" borderId="17" applyFill="0">
      <alignment horizontal="left" indent="2"/>
    </xf>
    <xf numFmtId="173" fontId="69" fillId="0" borderId="6" applyFill="0">
      <alignment horizontal="right"/>
    </xf>
    <xf numFmtId="0" fontId="70" fillId="0" borderId="34" applyNumberFormat="0" applyFont="0" applyBorder="0">
      <alignment horizontal="right"/>
    </xf>
    <xf numFmtId="0" fontId="71" fillId="0" borderId="0" applyFill="0"/>
    <xf numFmtId="0" fontId="16" fillId="0" borderId="0" applyFill="0"/>
    <xf numFmtId="4" fontId="69" fillId="0" borderId="6" applyFill="0"/>
    <xf numFmtId="0" fontId="11" fillId="0" borderId="0" applyNumberFormat="0" applyFont="0" applyBorder="0" applyAlignment="0"/>
    <xf numFmtId="0" fontId="37" fillId="0" borderId="0" applyFill="0">
      <alignment horizontal="left" indent="1"/>
    </xf>
    <xf numFmtId="0" fontId="72" fillId="0" borderId="0" applyFill="0">
      <alignment horizontal="left" indent="1"/>
    </xf>
    <xf numFmtId="4" fontId="39" fillId="0" borderId="0" applyFill="0"/>
    <xf numFmtId="0" fontId="11" fillId="0" borderId="0" applyNumberFormat="0" applyFont="0" applyFill="0" applyBorder="0" applyAlignment="0"/>
    <xf numFmtId="0" fontId="37" fillId="0" borderId="0" applyFill="0">
      <alignment horizontal="left" indent="2"/>
    </xf>
    <xf numFmtId="0" fontId="16" fillId="0" borderId="0" applyFill="0">
      <alignment horizontal="left" indent="2"/>
    </xf>
    <xf numFmtId="4" fontId="39" fillId="0" borderId="0" applyFill="0"/>
    <xf numFmtId="0" fontId="11" fillId="0" borderId="0" applyNumberFormat="0" applyFont="0" applyBorder="0" applyAlignment="0"/>
    <xf numFmtId="0" fontId="73" fillId="0" borderId="0">
      <alignment horizontal="left" indent="3"/>
    </xf>
    <xf numFmtId="0" fontId="74" fillId="0" borderId="0" applyFill="0">
      <alignment horizontal="left" indent="3"/>
    </xf>
    <xf numFmtId="4" fontId="39" fillId="0" borderId="0" applyFill="0"/>
    <xf numFmtId="0" fontId="11" fillId="0" borderId="0" applyNumberFormat="0" applyFont="0" applyBorder="0" applyAlignment="0"/>
    <xf numFmtId="0" fontId="40" fillId="0" borderId="0">
      <alignment horizontal="left" indent="4"/>
    </xf>
    <xf numFmtId="0" fontId="11" fillId="0" borderId="0" applyFill="0">
      <alignment horizontal="left" indent="4"/>
    </xf>
    <xf numFmtId="4" fontId="41" fillId="0" borderId="0" applyFill="0"/>
    <xf numFmtId="0" fontId="11" fillId="0" borderId="0" applyNumberFormat="0" applyFont="0" applyBorder="0" applyAlignment="0"/>
    <xf numFmtId="0" fontId="42" fillId="0" borderId="0">
      <alignment horizontal="left" indent="5"/>
    </xf>
    <xf numFmtId="0" fontId="43" fillId="0" borderId="0" applyFill="0">
      <alignment horizontal="left" indent="5"/>
    </xf>
    <xf numFmtId="4" fontId="44" fillId="0" borderId="0" applyFill="0"/>
    <xf numFmtId="0" fontId="11" fillId="0" borderId="0" applyNumberFormat="0" applyFont="0" applyFill="0" applyBorder="0" applyAlignment="0"/>
    <xf numFmtId="0" fontId="45" fillId="0" borderId="0" applyFill="0">
      <alignment horizontal="left" indent="6"/>
    </xf>
    <xf numFmtId="0" fontId="41" fillId="0" borderId="0" applyFill="0">
      <alignment horizontal="left" indent="6"/>
    </xf>
    <xf numFmtId="185" fontId="75" fillId="0" borderId="0" applyNumberFormat="0" applyFill="0" applyBorder="0" applyAlignment="0" applyProtection="0">
      <alignment horizontal="left"/>
    </xf>
    <xf numFmtId="40" fontId="76" fillId="0" borderId="0" applyBorder="0">
      <alignment horizontal="right"/>
    </xf>
    <xf numFmtId="0" fontId="77" fillId="0" borderId="0" applyNumberFormat="0" applyFill="0" applyBorder="0" applyAlignment="0" applyProtection="0"/>
    <xf numFmtId="0" fontId="11" fillId="0" borderId="0" applyFont="0" applyFill="0" applyBorder="0" applyAlignment="0" applyProtection="0"/>
    <xf numFmtId="0" fontId="78" fillId="0" borderId="38" applyNumberFormat="0" applyFill="0" applyAlignment="0" applyProtection="0"/>
    <xf numFmtId="0" fontId="79" fillId="0" borderId="0" applyNumberForma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173" fontId="15" fillId="0" borderId="0" applyProtection="0"/>
    <xf numFmtId="9" fontId="3"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1" fillId="0" borderId="0"/>
    <xf numFmtId="188" fontId="11" fillId="33" borderId="0" applyNumberFormat="0" applyFill="0" applyBorder="0" applyAlignment="0" applyProtection="0">
      <alignment horizontal="right" vertical="center"/>
    </xf>
    <xf numFmtId="188" fontId="25" fillId="0" borderId="0" applyNumberFormat="0" applyFill="0" applyBorder="0" applyAlignment="0" applyProtection="0"/>
    <xf numFmtId="0" fontId="11" fillId="0" borderId="6" applyNumberFormat="0" applyFont="0" applyFill="0" applyAlignment="0" applyProtection="0"/>
    <xf numFmtId="189" fontId="5" fillId="0" borderId="0" applyFont="0" applyFill="0" applyBorder="0" applyAlignment="0" applyProtection="0"/>
    <xf numFmtId="37" fontId="88" fillId="0" borderId="0" applyFont="0" applyFill="0" applyBorder="0" applyAlignment="0" applyProtection="0">
      <alignment vertical="center"/>
      <protection locked="0"/>
    </xf>
    <xf numFmtId="190" fontId="89" fillId="0" borderId="0" applyFont="0" applyFill="0" applyBorder="0" applyAlignment="0" applyProtection="0"/>
    <xf numFmtId="0" fontId="90" fillId="0" borderId="0"/>
    <xf numFmtId="173" fontId="16" fillId="0" borderId="39" applyFill="0"/>
    <xf numFmtId="173" fontId="16" fillId="0" borderId="39" applyFill="0"/>
    <xf numFmtId="173" fontId="16" fillId="0" borderId="39" applyFill="0"/>
    <xf numFmtId="173" fontId="16" fillId="0" borderId="39" applyFill="0"/>
    <xf numFmtId="173" fontId="16" fillId="0" borderId="39" applyFill="0"/>
    <xf numFmtId="173" fontId="16" fillId="0" borderId="39" applyFill="0"/>
    <xf numFmtId="173" fontId="16" fillId="0" borderId="39" applyFill="0"/>
    <xf numFmtId="173" fontId="16" fillId="0" borderId="39" applyFill="0"/>
    <xf numFmtId="173" fontId="16" fillId="0" borderId="39" applyFill="0"/>
    <xf numFmtId="173" fontId="16" fillId="0" borderId="39" applyFill="0"/>
    <xf numFmtId="173" fontId="16" fillId="0" borderId="39" applyFill="0"/>
    <xf numFmtId="191" fontId="91" fillId="0" borderId="0" applyFont="0" applyFill="0" applyBorder="0" applyAlignment="0" applyProtection="0">
      <protection locked="0"/>
    </xf>
    <xf numFmtId="192" fontId="91" fillId="0" borderId="0" applyFont="0" applyFill="0" applyBorder="0" applyAlignment="0" applyProtection="0">
      <protection locked="0"/>
    </xf>
    <xf numFmtId="39" fontId="11" fillId="0" borderId="0" applyFont="0" applyFill="0" applyBorder="0" applyAlignment="0" applyProtection="0"/>
    <xf numFmtId="193" fontId="92" fillId="0" borderId="0" applyFont="0" applyFill="0" applyBorder="0" applyAlignment="0" applyProtection="0"/>
    <xf numFmtId="194" fontId="89" fillId="0" borderId="0" applyFont="0" applyFill="0" applyBorder="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47" fillId="25" borderId="28" applyNumberFormat="0" applyAlignment="0" applyProtection="0"/>
    <xf numFmtId="0" fontId="11" fillId="0" borderId="6" applyNumberFormat="0" applyFont="0" applyFill="0" applyBorder="0" applyProtection="0">
      <alignment horizontal="centerContinuous" vertical="center"/>
    </xf>
    <xf numFmtId="0" fontId="69" fillId="0" borderId="0" applyFill="0" applyBorder="0" applyProtection="0">
      <alignment horizontal="center"/>
      <protection locked="0"/>
    </xf>
    <xf numFmtId="41" fontId="22" fillId="0" borderId="0" applyFont="0" applyFill="0" applyBorder="0" applyAlignment="0" applyProtection="0"/>
    <xf numFmtId="41" fontId="1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95" fontId="93" fillId="0" borderId="0" applyFont="0" applyFill="0" applyBorder="0" applyAlignment="0" applyProtection="0"/>
    <xf numFmtId="196" fontId="94" fillId="0" borderId="0" applyFont="0" applyFill="0" applyBorder="0" applyAlignment="0" applyProtection="0"/>
    <xf numFmtId="197" fontId="94" fillId="0" borderId="0" applyFont="0" applyFill="0" applyBorder="0" applyAlignment="0" applyProtection="0"/>
    <xf numFmtId="198" fontId="35" fillId="0" borderId="0" applyFont="0" applyFill="0" applyBorder="0" applyAlignment="0" applyProtection="0">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49"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89" fillId="0" borderId="0" applyFont="0" applyFill="0" applyBorder="0" applyAlignment="0" applyProtection="0"/>
    <xf numFmtId="0" fontId="33" fillId="0" borderId="0" applyFill="0" applyBorder="0" applyAlignment="0" applyProtection="0">
      <protection locked="0"/>
    </xf>
    <xf numFmtId="0" fontId="11" fillId="0" borderId="40"/>
    <xf numFmtId="199" fontId="94" fillId="0" borderId="0" applyFont="0" applyFill="0" applyBorder="0" applyAlignment="0" applyProtection="0"/>
    <xf numFmtId="200" fontId="94" fillId="0" borderId="0" applyFont="0" applyFill="0" applyBorder="0" applyAlignment="0" applyProtection="0"/>
    <xf numFmtId="201" fontId="94" fillId="0" borderId="0" applyFont="0" applyFill="0" applyBorder="0" applyAlignment="0" applyProtection="0"/>
    <xf numFmtId="202" fontId="35" fillId="0" borderId="0" applyFont="0" applyFill="0" applyBorder="0" applyAlignment="0" applyProtection="0">
      <protection locked="0"/>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5" fontId="11" fillId="0" borderId="0" applyFont="0" applyFill="0" applyBorder="0" applyAlignment="0" applyProtection="0"/>
    <xf numFmtId="203" fontId="89" fillId="0" borderId="0" applyFont="0" applyFill="0" applyBorder="0" applyAlignment="0" applyProtection="0"/>
    <xf numFmtId="204" fontId="11" fillId="0" borderId="0" applyFont="0" applyFill="0" applyBorder="0" applyAlignment="0" applyProtection="0"/>
    <xf numFmtId="205" fontId="91" fillId="0" borderId="0" applyFont="0" applyFill="0" applyBorder="0" applyAlignment="0" applyProtection="0">
      <protection locked="0"/>
    </xf>
    <xf numFmtId="7" fontId="32" fillId="0" borderId="0" applyFont="0" applyFill="0" applyBorder="0" applyAlignment="0" applyProtection="0"/>
    <xf numFmtId="206" fontId="92" fillId="0" borderId="0" applyFont="0" applyFill="0" applyBorder="0" applyAlignment="0" applyProtection="0"/>
    <xf numFmtId="207" fontId="95" fillId="0" borderId="0" applyFont="0" applyFill="0" applyBorder="0" applyAlignment="0" applyProtection="0"/>
    <xf numFmtId="0" fontId="96" fillId="34" borderId="41" applyNumberFormat="0" applyFont="0" applyFill="0" applyAlignment="0" applyProtection="0">
      <alignment horizontal="left" indent="1"/>
    </xf>
    <xf numFmtId="5" fontId="97" fillId="0" borderId="0" applyBorder="0"/>
    <xf numFmtId="204" fontId="97" fillId="0" borderId="0" applyBorder="0"/>
    <xf numFmtId="7" fontId="97" fillId="0" borderId="0" applyBorder="0"/>
    <xf numFmtId="37" fontId="97" fillId="0" borderId="0" applyBorder="0"/>
    <xf numFmtId="191" fontId="97" fillId="0" borderId="0" applyBorder="0"/>
    <xf numFmtId="208" fontId="97" fillId="0" borderId="0" applyBorder="0"/>
    <xf numFmtId="39" fontId="97" fillId="0" borderId="0" applyBorder="0"/>
    <xf numFmtId="209" fontId="97" fillId="0" borderId="0" applyBorder="0"/>
    <xf numFmtId="7" fontId="11" fillId="0" borderId="0" applyFont="0" applyFill="0" applyBorder="0" applyAlignment="0" applyProtection="0"/>
    <xf numFmtId="210" fontId="89" fillId="0" borderId="0" applyFont="0" applyFill="0" applyBorder="0" applyAlignment="0" applyProtection="0"/>
    <xf numFmtId="211" fontId="89" fillId="0" borderId="0" applyFont="0" applyFill="0" applyAlignment="0" applyProtection="0"/>
    <xf numFmtId="210" fontId="89" fillId="0" borderId="0" applyFont="0" applyFill="0" applyBorder="0" applyAlignment="0" applyProtection="0"/>
    <xf numFmtId="212" fontId="32" fillId="0" borderId="0" applyFont="0" applyFill="0" applyBorder="0" applyAlignment="0" applyProtection="0"/>
    <xf numFmtId="191" fontId="98" fillId="0" borderId="0" applyNumberFormat="0" applyFill="0" applyBorder="0" applyAlignment="0" applyProtection="0"/>
    <xf numFmtId="0" fontId="32" fillId="0" borderId="0" applyFont="0" applyFill="0" applyBorder="0" applyAlignment="0" applyProtection="0"/>
    <xf numFmtId="0" fontId="98" fillId="0" borderId="0" applyNumberFormat="0" applyFill="0" applyBorder="0" applyAlignment="0" applyProtection="0"/>
    <xf numFmtId="38" fontId="32" fillId="27" borderId="0" applyNumberFormat="0" applyBorder="0" applyAlignment="0" applyProtection="0"/>
    <xf numFmtId="0" fontId="99" fillId="35" borderId="0" applyNumberFormat="0" applyFill="0" applyBorder="0" applyAlignment="0" applyProtection="0"/>
    <xf numFmtId="0" fontId="99" fillId="35" borderId="0" applyNumberFormat="0" applyFill="0" applyBorder="0" applyAlignment="0" applyProtection="0"/>
    <xf numFmtId="0" fontId="99" fillId="35" borderId="0" applyNumberFormat="0" applyFill="0" applyBorder="0" applyAlignment="0" applyProtection="0"/>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0" fontId="16" fillId="0" borderId="13">
      <alignment horizontal="left" vertical="center"/>
    </xf>
    <xf numFmtId="14" fontId="70" fillId="36" borderId="1">
      <alignment horizontal="center" vertical="center" wrapText="1"/>
    </xf>
    <xf numFmtId="0" fontId="69" fillId="0" borderId="0" applyFill="0" applyAlignment="0" applyProtection="0">
      <protection locked="0"/>
    </xf>
    <xf numFmtId="0" fontId="69" fillId="0" borderId="6" applyFill="0" applyAlignment="0" applyProtection="0">
      <protection locked="0"/>
    </xf>
    <xf numFmtId="0" fontId="100" fillId="0" borderId="6" applyNumberFormat="0" applyFill="0" applyAlignment="0" applyProtection="0"/>
    <xf numFmtId="0" fontId="101" fillId="37" borderId="0" applyNumberFormat="0" applyFont="0" applyBorder="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0" fontId="102" fillId="38" borderId="34" applyNumberFormat="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10" fontId="32" fillId="28" borderId="34" applyNumberFormat="0" applyBorder="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0" fontId="61" fillId="12" borderId="28" applyNumberFormat="0" applyAlignment="0" applyProtection="0"/>
    <xf numFmtId="5" fontId="103" fillId="0" borderId="0" applyBorder="0"/>
    <xf numFmtId="204" fontId="103" fillId="0" borderId="0" applyBorder="0"/>
    <xf numFmtId="7" fontId="103" fillId="0" borderId="0" applyBorder="0"/>
    <xf numFmtId="37" fontId="103" fillId="0" borderId="0" applyBorder="0"/>
    <xf numFmtId="191" fontId="103" fillId="0" borderId="0" applyBorder="0"/>
    <xf numFmtId="208" fontId="103" fillId="0" borderId="0" applyBorder="0"/>
    <xf numFmtId="39" fontId="103" fillId="0" borderId="0" applyBorder="0"/>
    <xf numFmtId="209" fontId="103" fillId="0" borderId="0" applyBorder="0"/>
    <xf numFmtId="0" fontId="101" fillId="0" borderId="3" applyNumberFormat="0" applyFont="0" applyFill="0" applyAlignment="0" applyProtection="0"/>
    <xf numFmtId="213" fontId="11" fillId="0" borderId="0" applyFont="0" applyFill="0" applyBorder="0" applyAlignment="0" applyProtection="0"/>
    <xf numFmtId="214" fontId="11" fillId="0" borderId="0" applyFont="0" applyFill="0" applyBorder="0" applyAlignment="0" applyProtection="0"/>
    <xf numFmtId="215" fontId="11" fillId="0" borderId="0" applyFont="0" applyFill="0" applyBorder="0" applyAlignment="0" applyProtection="0"/>
    <xf numFmtId="216" fontId="11" fillId="0" borderId="0" applyFont="0" applyFill="0" applyBorder="0" applyAlignment="0" applyProtection="0"/>
    <xf numFmtId="217" fontId="11" fillId="0" borderId="0" applyFont="0" applyFill="0" applyBorder="0" applyAlignment="0" applyProtection="0"/>
    <xf numFmtId="0" fontId="11" fillId="0" borderId="0"/>
    <xf numFmtId="0" fontId="64"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5" fillId="0" borderId="0" applyProtection="0"/>
    <xf numFmtId="173" fontId="15" fillId="0" borderId="0" applyProtection="0"/>
    <xf numFmtId="173" fontId="15" fillId="0" borderId="0" applyProtection="0"/>
    <xf numFmtId="0" fontId="11" fillId="0" borderId="0"/>
    <xf numFmtId="173" fontId="15" fillId="0" borderId="0" applyProtection="0"/>
    <xf numFmtId="0" fontId="1" fillId="0" borderId="0"/>
    <xf numFmtId="0" fontId="1" fillId="0" borderId="0"/>
    <xf numFmtId="0" fontId="1" fillId="0" borderId="0"/>
    <xf numFmtId="0" fontId="1" fillId="0" borderId="0"/>
    <xf numFmtId="173" fontId="15" fillId="0" borderId="0" applyProtection="0"/>
    <xf numFmtId="0" fontId="1" fillId="0" borderId="0"/>
    <xf numFmtId="0" fontId="1" fillId="0" borderId="0"/>
    <xf numFmtId="173" fontId="15" fillId="0" borderId="0" applyProtection="0"/>
    <xf numFmtId="173" fontId="15" fillId="0" borderId="0" applyProtection="0"/>
    <xf numFmtId="173" fontId="15" fillId="0" borderId="0" applyProtection="0"/>
    <xf numFmtId="173" fontId="15" fillId="0" borderId="0" applyProtection="0"/>
    <xf numFmtId="173" fontId="15" fillId="0" borderId="0" applyProtection="0"/>
    <xf numFmtId="0" fontId="1" fillId="0" borderId="0"/>
    <xf numFmtId="0" fontId="1" fillId="0" borderId="0"/>
    <xf numFmtId="173" fontId="15" fillId="0" borderId="0" applyProtection="0"/>
    <xf numFmtId="0" fontId="11" fillId="0" borderId="0"/>
    <xf numFmtId="0" fontId="89" fillId="0" borderId="0"/>
    <xf numFmtId="0" fontId="89" fillId="0" borderId="0"/>
    <xf numFmtId="0" fontId="64" fillId="0" borderId="0"/>
    <xf numFmtId="0" fontId="11" fillId="0" borderId="0"/>
    <xf numFmtId="0" fontId="11" fillId="0" borderId="0"/>
    <xf numFmtId="0" fontId="46" fillId="0" borderId="0"/>
    <xf numFmtId="0" fontId="11" fillId="0" borderId="0"/>
    <xf numFmtId="0" fontId="17" fillId="0" borderId="0"/>
    <xf numFmtId="0" fontId="11" fillId="0" borderId="0"/>
    <xf numFmtId="0" fontId="11" fillId="0" borderId="0"/>
    <xf numFmtId="0" fontId="89" fillId="0" borderId="0"/>
    <xf numFmtId="39" fontId="15" fillId="0" borderId="0"/>
    <xf numFmtId="173" fontId="15" fillId="0" borderId="0" applyProtection="0"/>
    <xf numFmtId="0" fontId="15" fillId="0" borderId="0"/>
    <xf numFmtId="0" fontId="1" fillId="0" borderId="0"/>
    <xf numFmtId="0" fontId="1" fillId="0" borderId="0"/>
    <xf numFmtId="0" fontId="1" fillId="0" borderId="0"/>
    <xf numFmtId="173" fontId="15" fillId="0" borderId="0" applyProtection="0"/>
    <xf numFmtId="0" fontId="64" fillId="0" borderId="0"/>
    <xf numFmtId="0" fontId="1" fillId="0" borderId="0"/>
    <xf numFmtId="0" fontId="1" fillId="0" borderId="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15" fillId="30" borderId="36" applyNumberFormat="0" applyFon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0" fontId="65" fillId="25" borderId="37" applyNumberFormat="0" applyAlignment="0" applyProtection="0"/>
    <xf numFmtId="218" fontId="11" fillId="0" borderId="0" applyFont="0" applyFill="0" applyBorder="0" applyAlignment="0" applyProtection="0"/>
    <xf numFmtId="219" fontId="39" fillId="5" borderId="0" applyFont="0" applyFill="0" applyBorder="0" applyAlignment="0" applyProtection="0"/>
    <xf numFmtId="220" fontId="39" fillId="5" borderId="0" applyFont="0" applyFill="0" applyBorder="0" applyAlignment="0" applyProtection="0"/>
    <xf numFmtId="221" fontId="11" fillId="0" borderId="0" applyFont="0" applyFill="0" applyBorder="0" applyAlignment="0" applyProtection="0"/>
    <xf numFmtId="222" fontId="94" fillId="0" borderId="0" applyFont="0" applyFill="0" applyBorder="0" applyAlignment="0" applyProtection="0"/>
    <xf numFmtId="223" fontId="93" fillId="0" borderId="0" applyFont="0" applyFill="0" applyBorder="0" applyAlignment="0" applyProtection="0"/>
    <xf numFmtId="224" fontId="11" fillId="0" borderId="0" applyFont="0" applyFill="0" applyBorder="0" applyAlignment="0" applyProtection="0"/>
    <xf numFmtId="225" fontId="94" fillId="0" borderId="0" applyFont="0" applyFill="0" applyBorder="0" applyAlignment="0" applyProtection="0"/>
    <xf numFmtId="226" fontId="93" fillId="0" borderId="0" applyFont="0" applyFill="0" applyBorder="0" applyAlignment="0" applyProtection="0"/>
    <xf numFmtId="227" fontId="94" fillId="0" borderId="0" applyFont="0" applyFill="0" applyBorder="0" applyAlignment="0" applyProtection="0"/>
    <xf numFmtId="228" fontId="93" fillId="0" borderId="0" applyFont="0" applyFill="0" applyBorder="0" applyAlignment="0" applyProtection="0"/>
    <xf numFmtId="229" fontId="94" fillId="0" borderId="0" applyFont="0" applyFill="0" applyBorder="0" applyAlignment="0" applyProtection="0"/>
    <xf numFmtId="230" fontId="93" fillId="0" borderId="0" applyFont="0" applyFill="0" applyBorder="0" applyAlignment="0" applyProtection="0"/>
    <xf numFmtId="231" fontId="35" fillId="0" borderId="0" applyFont="0" applyFill="0" applyBorder="0" applyAlignment="0" applyProtection="0">
      <protection locked="0"/>
    </xf>
    <xf numFmtId="232" fontId="9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6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97" fillId="0" borderId="0" applyBorder="0"/>
    <xf numFmtId="233" fontId="97" fillId="0" borderId="0" applyBorder="0"/>
    <xf numFmtId="10" fontId="97" fillId="0" borderId="0" applyBorder="0"/>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70" fillId="0" borderId="42" applyNumberFormat="0" applyFont="0" applyBorder="0">
      <alignment horizontal="right"/>
    </xf>
    <xf numFmtId="0" fontId="101" fillId="0" borderId="4" applyNumberFormat="0" applyFont="0" applyFill="0" applyAlignment="0" applyProtection="0"/>
    <xf numFmtId="0" fontId="104" fillId="0" borderId="0" applyNumberFormat="0" applyFill="0" applyBorder="0" applyAlignment="0" applyProtection="0"/>
    <xf numFmtId="0" fontId="105" fillId="0" borderId="0"/>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11" fillId="39" borderId="37" applyNumberFormat="0" applyProtection="0">
      <alignment horizontal="left" vertical="center" indent="1"/>
    </xf>
    <xf numFmtId="0" fontId="33" fillId="40" borderId="0"/>
    <xf numFmtId="0" fontId="11" fillId="27" borderId="40" applyNumberFormat="0" applyFont="0" applyAlignment="0"/>
    <xf numFmtId="0" fontId="101" fillId="34" borderId="0" applyNumberFormat="0" applyFont="0" applyBorder="0" applyAlignment="0" applyProtection="0"/>
    <xf numFmtId="219" fontId="106" fillId="0" borderId="13" applyNumberFormat="0" applyFont="0" applyFill="0" applyAlignment="0" applyProtection="0"/>
    <xf numFmtId="219" fontId="106" fillId="0" borderId="13" applyNumberFormat="0" applyFont="0" applyFill="0" applyAlignment="0" applyProtection="0"/>
    <xf numFmtId="219" fontId="106" fillId="0" borderId="13" applyNumberFormat="0" applyFont="0" applyFill="0" applyAlignment="0" applyProtection="0"/>
    <xf numFmtId="219" fontId="106" fillId="0" borderId="13" applyNumberFormat="0" applyFont="0" applyFill="0" applyAlignment="0" applyProtection="0"/>
    <xf numFmtId="219" fontId="106" fillId="0" borderId="13" applyNumberFormat="0" applyFont="0" applyFill="0" applyAlignment="0" applyProtection="0"/>
    <xf numFmtId="219" fontId="106" fillId="0" borderId="13" applyNumberFormat="0" applyFont="0" applyFill="0" applyAlignment="0" applyProtection="0"/>
    <xf numFmtId="219" fontId="106" fillId="0" borderId="13" applyNumberFormat="0" applyFont="0" applyFill="0" applyAlignment="0" applyProtection="0"/>
    <xf numFmtId="219" fontId="106" fillId="0" borderId="13" applyNumberFormat="0" applyFont="0" applyFill="0" applyAlignment="0" applyProtection="0"/>
    <xf numFmtId="219" fontId="106" fillId="0" borderId="13" applyNumberFormat="0" applyFont="0" applyFill="0" applyAlignment="0" applyProtection="0"/>
    <xf numFmtId="219" fontId="106" fillId="0" borderId="13" applyNumberFormat="0" applyFont="0" applyFill="0" applyAlignment="0" applyProtection="0"/>
    <xf numFmtId="219" fontId="106" fillId="0" borderId="13" applyNumberFormat="0" applyFont="0" applyFill="0" applyAlignment="0" applyProtection="0"/>
    <xf numFmtId="219" fontId="106" fillId="0" borderId="13" applyNumberFormat="0" applyFont="0" applyFill="0" applyAlignment="0" applyProtection="0"/>
    <xf numFmtId="219" fontId="106" fillId="0" borderId="13" applyNumberFormat="0" applyFont="0" applyFill="0" applyAlignment="0" applyProtection="0"/>
    <xf numFmtId="219" fontId="106" fillId="0" borderId="13" applyNumberFormat="0" applyFont="0" applyFill="0" applyAlignment="0" applyProtection="0"/>
    <xf numFmtId="219" fontId="106" fillId="0" borderId="13" applyNumberFormat="0" applyFont="0" applyFill="0" applyAlignment="0" applyProtection="0"/>
    <xf numFmtId="219" fontId="106" fillId="0" borderId="13" applyNumberFormat="0" applyFont="0" applyFill="0" applyAlignment="0" applyProtection="0"/>
    <xf numFmtId="0" fontId="107" fillId="0" borderId="0" applyFill="0" applyBorder="0" applyProtection="0">
      <alignment horizontal="left" vertical="top"/>
    </xf>
    <xf numFmtId="0" fontId="11" fillId="0" borderId="39" applyNumberFormat="0" applyFont="0" applyFill="0" applyAlignment="0" applyProtection="0"/>
    <xf numFmtId="0" fontId="11" fillId="0" borderId="39" applyNumberFormat="0" applyFon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108" fillId="0" borderId="0" applyNumberFormat="0" applyFill="0" applyBorder="0" applyAlignment="0" applyProtection="0"/>
    <xf numFmtId="234" fontId="93" fillId="0" borderId="0" applyFont="0" applyFill="0" applyBorder="0" applyAlignment="0" applyProtection="0"/>
    <xf numFmtId="235" fontId="93" fillId="0" borderId="0" applyFont="0" applyFill="0" applyBorder="0" applyAlignment="0" applyProtection="0"/>
    <xf numFmtId="236" fontId="93" fillId="0" borderId="0" applyFont="0" applyFill="0" applyBorder="0" applyAlignment="0" applyProtection="0"/>
    <xf numFmtId="237" fontId="93" fillId="0" borderId="0" applyFont="0" applyFill="0" applyBorder="0" applyAlignment="0" applyProtection="0"/>
    <xf numFmtId="238" fontId="93" fillId="0" borderId="0" applyFont="0" applyFill="0" applyBorder="0" applyAlignment="0" applyProtection="0"/>
    <xf numFmtId="239" fontId="93" fillId="0" borderId="0" applyFont="0" applyFill="0" applyBorder="0" applyAlignment="0" applyProtection="0"/>
    <xf numFmtId="240" fontId="93" fillId="0" borderId="0" applyFont="0" applyFill="0" applyBorder="0" applyAlignment="0" applyProtection="0"/>
    <xf numFmtId="241" fontId="93" fillId="0" borderId="0" applyFont="0" applyFill="0" applyBorder="0" applyAlignment="0" applyProtection="0"/>
    <xf numFmtId="242" fontId="109" fillId="34" borderId="43" applyFont="0" applyFill="0" applyBorder="0" applyAlignment="0" applyProtection="0"/>
    <xf numFmtId="242" fontId="89" fillId="0" borderId="0" applyFont="0" applyFill="0" applyBorder="0" applyAlignment="0" applyProtection="0"/>
    <xf numFmtId="243" fontId="92" fillId="0" borderId="0" applyFont="0" applyFill="0" applyBorder="0" applyAlignment="0" applyProtection="0"/>
    <xf numFmtId="244" fontId="95" fillId="0" borderId="13" applyFont="0" applyFill="0" applyBorder="0" applyAlignment="0" applyProtection="0">
      <alignment horizontal="right"/>
      <protection locked="0"/>
    </xf>
    <xf numFmtId="244" fontId="95" fillId="0" borderId="13" applyFont="0" applyFill="0" applyBorder="0" applyAlignment="0" applyProtection="0">
      <alignment horizontal="right"/>
      <protection locked="0"/>
    </xf>
    <xf numFmtId="244" fontId="95" fillId="0" borderId="13" applyFont="0" applyFill="0" applyBorder="0" applyAlignment="0" applyProtection="0">
      <alignment horizontal="right"/>
      <protection locked="0"/>
    </xf>
    <xf numFmtId="244" fontId="95" fillId="0" borderId="13" applyFont="0" applyFill="0" applyBorder="0" applyAlignment="0" applyProtection="0">
      <alignment horizontal="right"/>
      <protection locked="0"/>
    </xf>
    <xf numFmtId="244" fontId="95" fillId="0" borderId="13" applyFont="0" applyFill="0" applyBorder="0" applyAlignment="0" applyProtection="0">
      <alignment horizontal="right"/>
      <protection locked="0"/>
    </xf>
    <xf numFmtId="244" fontId="95" fillId="0" borderId="13" applyFont="0" applyFill="0" applyBorder="0" applyAlignment="0" applyProtection="0">
      <alignment horizontal="right"/>
      <protection locked="0"/>
    </xf>
    <xf numFmtId="244" fontId="95" fillId="0" borderId="13" applyFont="0" applyFill="0" applyBorder="0" applyAlignment="0" applyProtection="0">
      <alignment horizontal="right"/>
      <protection locked="0"/>
    </xf>
    <xf numFmtId="244" fontId="95" fillId="0" borderId="13" applyFont="0" applyFill="0" applyBorder="0" applyAlignment="0" applyProtection="0">
      <alignment horizontal="right"/>
      <protection locked="0"/>
    </xf>
    <xf numFmtId="244" fontId="95" fillId="0" borderId="13" applyFont="0" applyFill="0" applyBorder="0" applyAlignment="0" applyProtection="0">
      <alignment horizontal="right"/>
      <protection locked="0"/>
    </xf>
    <xf numFmtId="244" fontId="95" fillId="0" borderId="13" applyFont="0" applyFill="0" applyBorder="0" applyAlignment="0" applyProtection="0">
      <alignment horizontal="right"/>
      <protection locked="0"/>
    </xf>
    <xf numFmtId="244" fontId="95" fillId="0" borderId="13" applyFont="0" applyFill="0" applyBorder="0" applyAlignment="0" applyProtection="0">
      <alignment horizontal="right"/>
      <protection locked="0"/>
    </xf>
    <xf numFmtId="244" fontId="95" fillId="0" borderId="13" applyFont="0" applyFill="0" applyBorder="0" applyAlignment="0" applyProtection="0">
      <alignment horizontal="right"/>
      <protection locked="0"/>
    </xf>
    <xf numFmtId="244" fontId="95" fillId="0" borderId="13" applyFont="0" applyFill="0" applyBorder="0" applyAlignment="0" applyProtection="0">
      <alignment horizontal="right"/>
      <protection locked="0"/>
    </xf>
    <xf numFmtId="244" fontId="95" fillId="0" borderId="13" applyFont="0" applyFill="0" applyBorder="0" applyAlignment="0" applyProtection="0">
      <alignment horizontal="right"/>
      <protection locked="0"/>
    </xf>
    <xf numFmtId="244" fontId="95" fillId="0" borderId="13" applyFont="0" applyFill="0" applyBorder="0" applyAlignment="0" applyProtection="0">
      <alignment horizontal="right"/>
      <protection locked="0"/>
    </xf>
    <xf numFmtId="244" fontId="95" fillId="0" borderId="13" applyFont="0" applyFill="0" applyBorder="0" applyAlignment="0" applyProtection="0">
      <alignment horizontal="right"/>
      <protection locked="0"/>
    </xf>
  </cellStyleXfs>
  <cellXfs count="459">
    <xf numFmtId="173" fontId="0" fillId="0" borderId="0" xfId="0" applyAlignment="1"/>
    <xf numFmtId="0" fontId="5" fillId="0" borderId="0" xfId="0" applyNumberFormat="1" applyFont="1" applyAlignment="1" applyProtection="1">
      <alignment horizontal="left"/>
      <protection locked="0"/>
    </xf>
    <xf numFmtId="0" fontId="5" fillId="0" borderId="0" xfId="0" applyNumberFormat="1" applyFont="1" applyProtection="1">
      <protection locked="0"/>
    </xf>
    <xf numFmtId="0" fontId="5" fillId="0" borderId="0" xfId="0" applyNumberFormat="1" applyFont="1" applyAlignment="1" applyProtection="1">
      <alignment horizontal="center"/>
      <protection locked="0"/>
    </xf>
    <xf numFmtId="0" fontId="5" fillId="0" borderId="1" xfId="0" applyNumberFormat="1" applyFont="1" applyBorder="1" applyAlignment="1" applyProtection="1">
      <alignment horizontal="center"/>
      <protection locked="0"/>
    </xf>
    <xf numFmtId="0" fontId="5" fillId="0" borderId="1" xfId="0" applyNumberFormat="1" applyFont="1" applyBorder="1" applyAlignment="1" applyProtection="1">
      <alignment horizontal="centerContinuous"/>
      <protection locked="0"/>
    </xf>
    <xf numFmtId="0" fontId="5" fillId="0" borderId="0" xfId="0" applyNumberFormat="1" applyFont="1" applyFill="1" applyProtection="1">
      <protection locked="0"/>
    </xf>
    <xf numFmtId="172" fontId="5" fillId="2" borderId="0" xfId="0" applyNumberFormat="1" applyFont="1" applyFill="1" applyProtection="1">
      <protection locked="0"/>
    </xf>
    <xf numFmtId="172" fontId="5" fillId="0" borderId="0" xfId="0" applyNumberFormat="1" applyFont="1" applyProtection="1">
      <protection locked="0"/>
    </xf>
    <xf numFmtId="0" fontId="6" fillId="0" borderId="0" xfId="0" applyNumberFormat="1" applyFont="1" applyAlignment="1" applyProtection="1">
      <alignment horizontal="center"/>
      <protection locked="0"/>
    </xf>
    <xf numFmtId="0" fontId="6" fillId="0" borderId="0" xfId="0" applyNumberFormat="1" applyFont="1" applyFill="1" applyAlignment="1" applyProtection="1">
      <alignment horizontal="center"/>
      <protection locked="0"/>
    </xf>
    <xf numFmtId="164" fontId="5" fillId="0" borderId="0" xfId="0" applyNumberFormat="1" applyFont="1" applyAlignment="1" applyProtection="1">
      <alignment horizontal="left"/>
      <protection locked="0"/>
    </xf>
    <xf numFmtId="0" fontId="5" fillId="0" borderId="0" xfId="0" applyNumberFormat="1" applyFont="1" applyFill="1" applyAlignment="1" applyProtection="1">
      <protection locked="0"/>
    </xf>
    <xf numFmtId="0" fontId="5" fillId="0" borderId="1" xfId="0" applyNumberFormat="1" applyFont="1" applyFill="1" applyBorder="1" applyProtection="1">
      <protection locked="0"/>
    </xf>
    <xf numFmtId="166" fontId="5" fillId="0" borderId="0" xfId="0" applyNumberFormat="1" applyFont="1" applyAlignment="1" applyProtection="1">
      <alignment horizontal="center"/>
      <protection locked="0"/>
    </xf>
    <xf numFmtId="3" fontId="5" fillId="0" borderId="0" xfId="0" applyNumberFormat="1" applyFont="1" applyFill="1" applyAlignment="1" applyProtection="1">
      <protection locked="0"/>
    </xf>
    <xf numFmtId="0" fontId="5" fillId="0" borderId="0" xfId="0" applyNumberFormat="1" applyFont="1" applyBorder="1" applyAlignment="1" applyProtection="1">
      <alignment horizontal="center"/>
      <protection locked="0"/>
    </xf>
    <xf numFmtId="0" fontId="7" fillId="0" borderId="0" xfId="0" applyNumberFormat="1" applyFont="1" applyProtection="1">
      <protection locked="0"/>
    </xf>
    <xf numFmtId="38" fontId="5" fillId="2" borderId="0" xfId="0" applyNumberFormat="1" applyFont="1" applyFill="1" applyBorder="1" applyProtection="1">
      <protection locked="0"/>
    </xf>
    <xf numFmtId="38" fontId="5" fillId="2" borderId="1" xfId="0" applyNumberFormat="1" applyFont="1" applyFill="1" applyBorder="1" applyProtection="1">
      <protection locked="0"/>
    </xf>
    <xf numFmtId="38" fontId="5" fillId="0" borderId="0" xfId="0" applyNumberFormat="1" applyFont="1" applyFill="1" applyBorder="1" applyProtection="1"/>
    <xf numFmtId="168" fontId="5" fillId="0" borderId="0" xfId="0" applyNumberFormat="1" applyFont="1" applyProtection="1">
      <protection locked="0"/>
    </xf>
    <xf numFmtId="170" fontId="5" fillId="2" borderId="0" xfId="0" applyNumberFormat="1" applyFont="1" applyFill="1" applyBorder="1" applyAlignment="1" applyProtection="1">
      <protection locked="0"/>
    </xf>
    <xf numFmtId="3" fontId="5" fillId="0" borderId="0" xfId="0" applyNumberFormat="1" applyFont="1" applyAlignment="1" applyProtection="1"/>
    <xf numFmtId="3" fontId="5" fillId="0" borderId="0" xfId="0" applyNumberFormat="1" applyFont="1" applyFill="1" applyAlignment="1" applyProtection="1">
      <alignment horizontal="right"/>
      <protection locked="0"/>
    </xf>
    <xf numFmtId="173" fontId="5" fillId="0" borderId="0" xfId="0" applyNumberFormat="1" applyFont="1" applyAlignment="1" applyProtection="1">
      <protection locked="0"/>
    </xf>
    <xf numFmtId="170" fontId="5" fillId="0" borderId="0" xfId="0" applyNumberFormat="1" applyFont="1" applyFill="1" applyBorder="1" applyAlignment="1" applyProtection="1"/>
    <xf numFmtId="3" fontId="5" fillId="0" borderId="0" xfId="0" applyNumberFormat="1" applyFont="1" applyFill="1" applyAlignment="1" applyProtection="1"/>
    <xf numFmtId="170" fontId="5" fillId="0" borderId="0" xfId="0" applyNumberFormat="1" applyFont="1" applyProtection="1">
      <protection locked="0"/>
    </xf>
    <xf numFmtId="0" fontId="5" fillId="0" borderId="0" xfId="0" applyNumberFormat="1" applyFont="1" applyFill="1" applyAlignment="1" applyProtection="1">
      <alignment horizontal="center"/>
      <protection locked="0"/>
    </xf>
    <xf numFmtId="172" fontId="5" fillId="0" borderId="0" xfId="0" applyNumberFormat="1" applyFont="1" applyFill="1" applyProtection="1">
      <protection locked="0"/>
    </xf>
    <xf numFmtId="0" fontId="5" fillId="0" borderId="0" xfId="0" applyNumberFormat="1" applyFont="1" applyBorder="1" applyProtection="1">
      <protection locked="0"/>
    </xf>
    <xf numFmtId="0" fontId="5" fillId="0" borderId="0" xfId="0" applyNumberFormat="1" applyFont="1" applyBorder="1" applyAlignment="1" applyProtection="1">
      <protection locked="0"/>
    </xf>
    <xf numFmtId="0" fontId="5" fillId="0" borderId="0" xfId="0" applyNumberFormat="1" applyFont="1" applyAlignment="1" applyProtection="1">
      <alignment horizontal="left" indent="8"/>
      <protection locked="0"/>
    </xf>
    <xf numFmtId="0" fontId="5" fillId="2" borderId="0" xfId="0" applyNumberFormat="1" applyFont="1" applyFill="1" applyProtection="1">
      <protection locked="0"/>
    </xf>
    <xf numFmtId="0" fontId="5" fillId="0" borderId="0" xfId="0" applyNumberFormat="1" applyFont="1" applyAlignment="1" applyProtection="1">
      <alignment horizontal="center" vertical="top" wrapText="1"/>
      <protection locked="0"/>
    </xf>
    <xf numFmtId="10" fontId="5" fillId="2" borderId="0" xfId="0" applyNumberFormat="1" applyFont="1" applyFill="1" applyAlignment="1" applyProtection="1">
      <alignment vertical="top" wrapText="1"/>
      <protection locked="0"/>
    </xf>
    <xf numFmtId="0" fontId="5" fillId="0" borderId="0" xfId="0" applyNumberFormat="1" applyFont="1" applyFill="1" applyAlignment="1" applyProtection="1">
      <alignment horizontal="left" vertical="top" wrapText="1" indent="8"/>
      <protection locked="0"/>
    </xf>
    <xf numFmtId="170" fontId="5" fillId="2" borderId="1" xfId="0" applyNumberFormat="1" applyFont="1" applyFill="1" applyBorder="1" applyAlignment="1" applyProtection="1">
      <protection locked="0"/>
    </xf>
    <xf numFmtId="0" fontId="5" fillId="0" borderId="1" xfId="0" applyNumberFormat="1" applyFont="1" applyFill="1" applyBorder="1" applyAlignment="1" applyProtection="1">
      <protection locked="0"/>
    </xf>
    <xf numFmtId="173" fontId="0" fillId="0" borderId="3" xfId="0" applyBorder="1" applyAlignment="1"/>
    <xf numFmtId="173" fontId="0" fillId="0" borderId="0" xfId="0" applyFont="1" applyBorder="1" applyAlignment="1"/>
    <xf numFmtId="173" fontId="0" fillId="0" borderId="4" xfId="0" applyBorder="1" applyAlignment="1"/>
    <xf numFmtId="173" fontId="0" fillId="0" borderId="0" xfId="0" applyBorder="1" applyAlignment="1"/>
    <xf numFmtId="0" fontId="0" fillId="0" borderId="0" xfId="0" applyNumberFormat="1" applyAlignment="1"/>
    <xf numFmtId="0" fontId="16" fillId="0" borderId="0" xfId="0" applyNumberFormat="1" applyFont="1" applyAlignment="1"/>
    <xf numFmtId="0" fontId="16" fillId="0" borderId="0" xfId="0" applyNumberFormat="1" applyFont="1" applyAlignment="1">
      <alignment horizontal="center"/>
    </xf>
    <xf numFmtId="0" fontId="17" fillId="0" borderId="0" xfId="0" applyNumberFormat="1" applyFont="1" applyAlignment="1"/>
    <xf numFmtId="0" fontId="17" fillId="0" borderId="0" xfId="0" applyNumberFormat="1" applyFont="1"/>
    <xf numFmtId="0" fontId="17" fillId="0" borderId="0" xfId="0" applyNumberFormat="1" applyFont="1" applyAlignment="1">
      <alignment horizontal="center"/>
    </xf>
    <xf numFmtId="175" fontId="17" fillId="0" borderId="0" xfId="1" applyNumberFormat="1" applyFont="1"/>
    <xf numFmtId="0" fontId="16" fillId="0" borderId="0" xfId="0" applyNumberFormat="1" applyFont="1"/>
    <xf numFmtId="174" fontId="17" fillId="0" borderId="0" xfId="0" applyNumberFormat="1" applyFont="1" applyAlignment="1">
      <alignment horizontal="center"/>
    </xf>
    <xf numFmtId="175" fontId="17" fillId="0" borderId="0" xfId="0" applyNumberFormat="1" applyFont="1" applyAlignment="1">
      <alignment horizontal="center"/>
    </xf>
    <xf numFmtId="174" fontId="17" fillId="0" borderId="0" xfId="2" applyNumberFormat="1" applyFont="1" applyAlignment="1"/>
    <xf numFmtId="174" fontId="17" fillId="0" borderId="0" xfId="2" applyNumberFormat="1" applyFont="1"/>
    <xf numFmtId="174" fontId="17" fillId="0" borderId="0" xfId="2" applyNumberFormat="1" applyFont="1" applyBorder="1"/>
    <xf numFmtId="174" fontId="17" fillId="0" borderId="6" xfId="2" applyNumberFormat="1" applyFont="1" applyBorder="1"/>
    <xf numFmtId="175" fontId="17" fillId="0" borderId="6" xfId="1" applyNumberFormat="1" applyFont="1" applyBorder="1"/>
    <xf numFmtId="175" fontId="16" fillId="0" borderId="0" xfId="1" applyNumberFormat="1" applyFont="1" applyBorder="1"/>
    <xf numFmtId="176" fontId="17" fillId="0" borderId="0" xfId="2" applyNumberFormat="1" applyFont="1"/>
    <xf numFmtId="175" fontId="17" fillId="0" borderId="0" xfId="1" applyNumberFormat="1" applyFont="1" applyBorder="1"/>
    <xf numFmtId="175" fontId="17" fillId="0" borderId="0" xfId="0" applyNumberFormat="1" applyFont="1"/>
    <xf numFmtId="175" fontId="16" fillId="0" borderId="2" xfId="0" applyNumberFormat="1" applyFont="1" applyBorder="1"/>
    <xf numFmtId="177" fontId="0" fillId="0" borderId="0" xfId="0" applyNumberFormat="1" applyAlignment="1"/>
    <xf numFmtId="43" fontId="0" fillId="0" borderId="0" xfId="0" applyNumberFormat="1" applyAlignment="1"/>
    <xf numFmtId="177" fontId="0" fillId="0" borderId="0" xfId="0" applyNumberFormat="1" applyAlignment="1">
      <alignment horizontal="center"/>
    </xf>
    <xf numFmtId="0" fontId="0" fillId="0" borderId="0" xfId="0" applyNumberFormat="1" applyAlignment="1">
      <alignment horizontal="center"/>
    </xf>
    <xf numFmtId="173" fontId="18" fillId="0" borderId="0" xfId="0" applyFont="1" applyAlignment="1"/>
    <xf numFmtId="173" fontId="0" fillId="0" borderId="6" xfId="0" applyBorder="1" applyAlignment="1"/>
    <xf numFmtId="42" fontId="5" fillId="0" borderId="0" xfId="0" applyNumberFormat="1" applyFont="1" applyBorder="1" applyAlignment="1" applyProtection="1">
      <alignment horizontal="right"/>
      <protection locked="0"/>
    </xf>
    <xf numFmtId="42" fontId="5" fillId="3" borderId="0" xfId="0" applyNumberFormat="1" applyFont="1" applyFill="1" applyBorder="1" applyAlignment="1" applyProtection="1">
      <alignment horizontal="right"/>
      <protection locked="0"/>
    </xf>
    <xf numFmtId="42" fontId="5" fillId="3" borderId="1" xfId="0" applyNumberFormat="1" applyFont="1" applyFill="1" applyBorder="1" applyAlignment="1" applyProtection="1">
      <alignment horizontal="right"/>
      <protection locked="0"/>
    </xf>
    <xf numFmtId="0" fontId="5" fillId="3" borderId="0" xfId="0" applyNumberFormat="1" applyFont="1" applyFill="1" applyAlignment="1" applyProtection="1">
      <protection locked="0"/>
    </xf>
    <xf numFmtId="173" fontId="0" fillId="0" borderId="0" xfId="0" applyAlignment="1">
      <alignment horizontal="center"/>
    </xf>
    <xf numFmtId="173" fontId="0" fillId="0" borderId="15" xfId="0" applyBorder="1" applyAlignment="1">
      <alignment horizontal="center"/>
    </xf>
    <xf numFmtId="173" fontId="0" fillId="0" borderId="16" xfId="0" applyBorder="1" applyAlignment="1">
      <alignment horizontal="center"/>
    </xf>
    <xf numFmtId="173" fontId="18" fillId="0" borderId="8" xfId="0" applyFont="1" applyBorder="1" applyAlignment="1">
      <alignment horizontal="center"/>
    </xf>
    <xf numFmtId="173" fontId="18" fillId="0" borderId="9" xfId="0" applyFont="1" applyBorder="1" applyAlignment="1">
      <alignment horizontal="center"/>
    </xf>
    <xf numFmtId="173" fontId="18" fillId="0" borderId="10" xfId="0" applyFont="1" applyBorder="1" applyAlignment="1"/>
    <xf numFmtId="173" fontId="18" fillId="0" borderId="5" xfId="0" applyFont="1" applyBorder="1" applyAlignment="1">
      <alignment horizontal="center"/>
    </xf>
    <xf numFmtId="173" fontId="18" fillId="0" borderId="6" xfId="0" applyFont="1" applyBorder="1" applyAlignment="1">
      <alignment horizontal="center"/>
    </xf>
    <xf numFmtId="173" fontId="18" fillId="0" borderId="7" xfId="0" applyFont="1" applyBorder="1" applyAlignment="1">
      <alignment horizontal="center"/>
    </xf>
    <xf numFmtId="0" fontId="0" fillId="0" borderId="15" xfId="2" applyNumberFormat="1" applyFont="1" applyBorder="1" applyAlignment="1">
      <alignment horizontal="center"/>
    </xf>
    <xf numFmtId="0" fontId="0" fillId="0" borderId="17" xfId="2" applyNumberFormat="1" applyFont="1" applyBorder="1" applyAlignment="1">
      <alignment horizontal="center"/>
    </xf>
    <xf numFmtId="173" fontId="0" fillId="0" borderId="16" xfId="0" applyBorder="1" applyAlignment="1"/>
    <xf numFmtId="173" fontId="0" fillId="0" borderId="9" xfId="0" applyBorder="1" applyAlignment="1"/>
    <xf numFmtId="170" fontId="0" fillId="0" borderId="9" xfId="0" applyNumberFormat="1" applyBorder="1" applyAlignment="1"/>
    <xf numFmtId="170" fontId="0" fillId="0" borderId="10" xfId="0" applyNumberFormat="1" applyBorder="1" applyAlignment="1"/>
    <xf numFmtId="170" fontId="0" fillId="0" borderId="0" xfId="0" applyNumberFormat="1" applyBorder="1" applyAlignment="1"/>
    <xf numFmtId="170" fontId="0" fillId="0" borderId="4" xfId="0" applyNumberFormat="1" applyBorder="1" applyAlignment="1"/>
    <xf numFmtId="173" fontId="0" fillId="0" borderId="5" xfId="0" applyBorder="1" applyAlignment="1"/>
    <xf numFmtId="173" fontId="0" fillId="0" borderId="7" xfId="0" applyBorder="1" applyAlignment="1"/>
    <xf numFmtId="173" fontId="18" fillId="0" borderId="0" xfId="0" applyFont="1" applyBorder="1" applyAlignment="1">
      <alignment horizontal="center"/>
    </xf>
    <xf numFmtId="173" fontId="0" fillId="0" borderId="15" xfId="0" applyBorder="1" applyAlignment="1"/>
    <xf numFmtId="0" fontId="0" fillId="0" borderId="15" xfId="0" applyNumberFormat="1" applyBorder="1" applyAlignment="1">
      <alignment horizontal="center"/>
    </xf>
    <xf numFmtId="0" fontId="0" fillId="0" borderId="17" xfId="0" applyNumberFormat="1" applyBorder="1" applyAlignment="1">
      <alignment horizontal="center"/>
    </xf>
    <xf numFmtId="173" fontId="0" fillId="0" borderId="17" xfId="0" applyBorder="1" applyAlignment="1"/>
    <xf numFmtId="180" fontId="0" fillId="0" borderId="8" xfId="0" applyNumberFormat="1" applyBorder="1" applyAlignment="1">
      <alignment horizontal="left"/>
    </xf>
    <xf numFmtId="180" fontId="0" fillId="0" borderId="3" xfId="0" applyNumberFormat="1" applyBorder="1" applyAlignment="1">
      <alignment horizontal="left"/>
    </xf>
    <xf numFmtId="174" fontId="0" fillId="0" borderId="1" xfId="2" applyNumberFormat="1" applyFont="1" applyBorder="1" applyAlignment="1"/>
    <xf numFmtId="173" fontId="18" fillId="0" borderId="8" xfId="0" applyFont="1" applyBorder="1" applyAlignment="1"/>
    <xf numFmtId="173" fontId="18" fillId="0" borderId="5" xfId="0" applyFont="1" applyBorder="1" applyAlignment="1"/>
    <xf numFmtId="174" fontId="0" fillId="0" borderId="9" xfId="2" applyNumberFormat="1" applyFont="1" applyBorder="1" applyAlignment="1"/>
    <xf numFmtId="174" fontId="0" fillId="0" borderId="10" xfId="2" applyNumberFormat="1" applyFont="1" applyBorder="1" applyAlignment="1"/>
    <xf numFmtId="174" fontId="0" fillId="0" borderId="0" xfId="2" applyNumberFormat="1" applyFont="1" applyBorder="1" applyAlignment="1"/>
    <xf numFmtId="174" fontId="0" fillId="0" borderId="4" xfId="2" applyNumberFormat="1" applyFont="1" applyBorder="1" applyAlignment="1"/>
    <xf numFmtId="174" fontId="0" fillId="0" borderId="18" xfId="2" applyNumberFormat="1" applyFont="1" applyBorder="1" applyAlignment="1"/>
    <xf numFmtId="173" fontId="18" fillId="0" borderId="3" xfId="0" applyFont="1" applyBorder="1" applyAlignment="1"/>
    <xf numFmtId="174" fontId="18" fillId="0" borderId="0" xfId="2" applyNumberFormat="1" applyFont="1" applyBorder="1" applyAlignment="1"/>
    <xf numFmtId="173" fontId="0" fillId="0" borderId="17" xfId="0" applyBorder="1" applyAlignment="1">
      <alignment horizontal="center"/>
    </xf>
    <xf numFmtId="173" fontId="18" fillId="0" borderId="0" xfId="0" applyFont="1" applyBorder="1" applyAlignment="1"/>
    <xf numFmtId="173" fontId="0" fillId="0" borderId="8" xfId="0" applyBorder="1" applyAlignment="1"/>
    <xf numFmtId="173" fontId="18" fillId="0" borderId="4" xfId="0" applyFont="1" applyBorder="1" applyAlignment="1"/>
    <xf numFmtId="173" fontId="0" fillId="0" borderId="18" xfId="0" applyBorder="1" applyAlignment="1"/>
    <xf numFmtId="174" fontId="18" fillId="0" borderId="4" xfId="2" applyNumberFormat="1" applyFont="1" applyBorder="1" applyAlignment="1"/>
    <xf numFmtId="173" fontId="18" fillId="0" borderId="15" xfId="0" applyFont="1" applyBorder="1" applyAlignment="1"/>
    <xf numFmtId="173" fontId="18" fillId="0" borderId="16" xfId="0" applyFont="1" applyBorder="1" applyAlignment="1"/>
    <xf numFmtId="173" fontId="0" fillId="0" borderId="10" xfId="0" applyBorder="1" applyAlignment="1"/>
    <xf numFmtId="170" fontId="0" fillId="0" borderId="18" xfId="0" applyNumberFormat="1" applyBorder="1" applyAlignment="1"/>
    <xf numFmtId="173" fontId="18" fillId="0" borderId="17" xfId="0" applyFont="1" applyBorder="1" applyAlignment="1"/>
    <xf numFmtId="170" fontId="0" fillId="0" borderId="17" xfId="0" applyNumberFormat="1" applyBorder="1" applyAlignment="1"/>
    <xf numFmtId="170" fontId="0" fillId="0" borderId="16" xfId="0" applyNumberFormat="1" applyBorder="1" applyAlignment="1"/>
    <xf numFmtId="10" fontId="0" fillId="0" borderId="17" xfId="3" applyNumberFormat="1" applyFont="1" applyBorder="1" applyAlignment="1"/>
    <xf numFmtId="10" fontId="0" fillId="0" borderId="16" xfId="3" applyNumberFormat="1" applyFont="1" applyBorder="1" applyAlignment="1"/>
    <xf numFmtId="170" fontId="0" fillId="0" borderId="21" xfId="0" applyNumberFormat="1" applyBorder="1" applyAlignment="1"/>
    <xf numFmtId="10" fontId="0" fillId="0" borderId="21" xfId="3" applyNumberFormat="1" applyFont="1" applyBorder="1" applyAlignment="1"/>
    <xf numFmtId="173" fontId="18" fillId="0" borderId="9" xfId="0" applyFont="1" applyBorder="1" applyAlignment="1">
      <alignment horizontal="center"/>
    </xf>
    <xf numFmtId="173" fontId="18" fillId="0" borderId="10" xfId="0" applyFont="1" applyBorder="1" applyAlignment="1">
      <alignment horizontal="center"/>
    </xf>
    <xf numFmtId="170" fontId="18" fillId="0" borderId="0" xfId="0" applyNumberFormat="1" applyFont="1" applyBorder="1" applyAlignment="1"/>
    <xf numFmtId="170" fontId="18" fillId="0" borderId="4" xfId="0" applyNumberFormat="1" applyFont="1" applyBorder="1" applyAlignment="1"/>
    <xf numFmtId="0" fontId="0" fillId="0" borderId="3" xfId="0" applyNumberFormat="1" applyBorder="1" applyAlignment="1">
      <alignment horizontal="center"/>
    </xf>
    <xf numFmtId="173" fontId="0" fillId="0" borderId="8" xfId="0" applyBorder="1" applyAlignment="1">
      <alignment horizontal="center"/>
    </xf>
    <xf numFmtId="173" fontId="0" fillId="0" borderId="3" xfId="0" applyBorder="1" applyAlignment="1">
      <alignment horizontal="center"/>
    </xf>
    <xf numFmtId="173" fontId="18" fillId="0" borderId="9" xfId="0" applyFont="1" applyBorder="1" applyAlignment="1"/>
    <xf numFmtId="173" fontId="0" fillId="0" borderId="1" xfId="0" applyBorder="1" applyAlignment="1"/>
    <xf numFmtId="173" fontId="0" fillId="0" borderId="5" xfId="0" applyBorder="1" applyAlignment="1">
      <alignment horizontal="center"/>
    </xf>
    <xf numFmtId="173" fontId="18" fillId="0" borderId="9" xfId="0" applyFont="1" applyBorder="1" applyAlignment="1">
      <alignment horizontal="center"/>
    </xf>
    <xf numFmtId="0" fontId="0" fillId="0" borderId="8" xfId="0" applyNumberFormat="1" applyBorder="1" applyAlignment="1">
      <alignment horizontal="center"/>
    </xf>
    <xf numFmtId="3" fontId="0" fillId="0" borderId="15" xfId="0" applyNumberFormat="1" applyBorder="1" applyAlignment="1">
      <alignment horizontal="center"/>
    </xf>
    <xf numFmtId="3" fontId="0" fillId="0" borderId="17" xfId="0" applyNumberFormat="1" applyBorder="1" applyAlignment="1">
      <alignment horizontal="center"/>
    </xf>
    <xf numFmtId="3" fontId="0" fillId="0" borderId="9" xfId="0" applyNumberFormat="1" applyBorder="1" applyAlignment="1"/>
    <xf numFmtId="3" fontId="0" fillId="0" borderId="10" xfId="0" applyNumberFormat="1" applyBorder="1" applyAlignment="1"/>
    <xf numFmtId="3" fontId="0" fillId="0" borderId="0" xfId="0" applyNumberFormat="1" applyBorder="1" applyAlignment="1"/>
    <xf numFmtId="3" fontId="0" fillId="0" borderId="4" xfId="0" applyNumberFormat="1" applyBorder="1" applyAlignment="1"/>
    <xf numFmtId="173" fontId="18" fillId="0" borderId="0" xfId="0" applyFont="1" applyFill="1" applyBorder="1" applyAlignment="1">
      <alignment horizontal="center"/>
    </xf>
    <xf numFmtId="3" fontId="0" fillId="0" borderId="0" xfId="0" applyNumberFormat="1" applyFill="1" applyBorder="1" applyAlignment="1"/>
    <xf numFmtId="173" fontId="0" fillId="0" borderId="9" xfId="0" applyBorder="1" applyAlignment="1">
      <alignment horizontal="center"/>
    </xf>
    <xf numFmtId="173" fontId="18" fillId="0" borderId="6" xfId="0" applyFont="1" applyFill="1" applyBorder="1" applyAlignment="1">
      <alignment horizontal="center"/>
    </xf>
    <xf numFmtId="173" fontId="18" fillId="0" borderId="7" xfId="0" applyFont="1" applyFill="1" applyBorder="1" applyAlignment="1">
      <alignment horizontal="center"/>
    </xf>
    <xf numFmtId="3" fontId="0" fillId="0" borderId="9" xfId="0" applyNumberFormat="1" applyFill="1" applyBorder="1" applyAlignment="1"/>
    <xf numFmtId="3" fontId="0" fillId="0" borderId="6" xfId="0" applyNumberFormat="1" applyBorder="1" applyAlignment="1"/>
    <xf numFmtId="3" fontId="0" fillId="0" borderId="6" xfId="0" applyNumberFormat="1" applyFill="1" applyBorder="1" applyAlignment="1"/>
    <xf numFmtId="3" fontId="0" fillId="0" borderId="7" xfId="0" applyNumberFormat="1" applyBorder="1" applyAlignment="1"/>
    <xf numFmtId="3" fontId="18" fillId="0" borderId="2" xfId="0" applyNumberFormat="1" applyFont="1" applyBorder="1" applyAlignment="1"/>
    <xf numFmtId="3" fontId="18" fillId="0" borderId="22" xfId="0" applyNumberFormat="1" applyFont="1" applyBorder="1" applyAlignment="1"/>
    <xf numFmtId="0" fontId="5" fillId="0" borderId="0" xfId="0" applyNumberFormat="1" applyFont="1" applyFill="1" applyBorder="1" applyAlignment="1" applyProtection="1">
      <protection locked="0"/>
    </xf>
    <xf numFmtId="0" fontId="5" fillId="0" borderId="0" xfId="0" applyNumberFormat="1" applyFont="1" applyFill="1" applyBorder="1" applyProtection="1">
      <protection locked="0"/>
    </xf>
    <xf numFmtId="173" fontId="18" fillId="0" borderId="4" xfId="0" applyFont="1" applyBorder="1" applyAlignment="1">
      <alignment horizontal="center"/>
    </xf>
    <xf numFmtId="173" fontId="18" fillId="0" borderId="9" xfId="0" applyFont="1" applyBorder="1" applyAlignment="1">
      <alignment horizontal="center"/>
    </xf>
    <xf numFmtId="170" fontId="0" fillId="0" borderId="23" xfId="0" applyNumberFormat="1" applyBorder="1" applyAlignment="1"/>
    <xf numFmtId="171" fontId="0" fillId="0" borderId="8" xfId="0" applyNumberFormat="1" applyBorder="1" applyAlignment="1">
      <alignment horizontal="left"/>
    </xf>
    <xf numFmtId="171" fontId="0" fillId="0" borderId="3" xfId="0" applyNumberFormat="1" applyBorder="1" applyAlignment="1">
      <alignment horizontal="left"/>
    </xf>
    <xf numFmtId="171" fontId="0" fillId="0" borderId="8" xfId="0" applyNumberFormat="1" applyBorder="1" applyAlignment="1">
      <alignment horizontal="right"/>
    </xf>
    <xf numFmtId="171" fontId="0" fillId="0" borderId="3" xfId="0" applyNumberFormat="1" applyBorder="1" applyAlignment="1">
      <alignment horizontal="right"/>
    </xf>
    <xf numFmtId="37" fontId="0" fillId="0" borderId="0" xfId="0" applyNumberFormat="1" applyAlignment="1"/>
    <xf numFmtId="3" fontId="0" fillId="0" borderId="0" xfId="0" applyNumberFormat="1" applyAlignment="1"/>
    <xf numFmtId="3" fontId="0" fillId="0" borderId="2" xfId="0" applyNumberFormat="1" applyBorder="1" applyAlignment="1"/>
    <xf numFmtId="170" fontId="0" fillId="0" borderId="0" xfId="0" applyNumberFormat="1" applyAlignment="1"/>
    <xf numFmtId="0" fontId="0" fillId="0" borderId="16" xfId="0" applyNumberFormat="1" applyBorder="1" applyAlignment="1">
      <alignment horizontal="center"/>
    </xf>
    <xf numFmtId="171" fontId="0" fillId="0" borderId="3" xfId="0" applyNumberFormat="1" applyBorder="1" applyAlignment="1"/>
    <xf numFmtId="171" fontId="0" fillId="0" borderId="5" xfId="0" applyNumberFormat="1" applyBorder="1" applyAlignment="1"/>
    <xf numFmtId="170" fontId="0" fillId="0" borderId="7" xfId="0" applyNumberFormat="1" applyBorder="1" applyAlignment="1"/>
    <xf numFmtId="171" fontId="0" fillId="0" borderId="17" xfId="0" applyNumberFormat="1" applyBorder="1" applyAlignment="1">
      <alignment horizontal="right"/>
    </xf>
    <xf numFmtId="1" fontId="18" fillId="0" borderId="7" xfId="0" applyNumberFormat="1" applyFont="1" applyBorder="1" applyAlignment="1">
      <alignment horizontal="center"/>
    </xf>
    <xf numFmtId="0" fontId="19" fillId="4" borderId="0" xfId="0" applyNumberFormat="1" applyFont="1" applyFill="1" applyBorder="1" applyAlignment="1">
      <alignment horizontal="left"/>
    </xf>
    <xf numFmtId="0" fontId="0" fillId="4" borderId="0" xfId="0" applyNumberFormat="1" applyFill="1" applyBorder="1" applyAlignment="1">
      <alignment horizontal="centerContinuous"/>
    </xf>
    <xf numFmtId="0" fontId="0" fillId="0" borderId="0" xfId="0" applyNumberFormat="1"/>
    <xf numFmtId="0" fontId="20" fillId="4" borderId="0" xfId="0" applyNumberFormat="1" applyFont="1" applyFill="1" applyBorder="1" applyAlignment="1"/>
    <xf numFmtId="0" fontId="0" fillId="4" borderId="0" xfId="0" applyNumberFormat="1" applyFill="1"/>
    <xf numFmtId="0" fontId="0" fillId="5" borderId="0" xfId="0" applyNumberFormat="1" applyFill="1"/>
    <xf numFmtId="0" fontId="0" fillId="5" borderId="0" xfId="0" applyNumberFormat="1" applyFill="1" applyBorder="1" applyAlignment="1">
      <alignment horizontal="centerContinuous"/>
    </xf>
    <xf numFmtId="0" fontId="21" fillId="4" borderId="0" xfId="0" applyNumberFormat="1" applyFont="1" applyFill="1" applyBorder="1" applyAlignment="1">
      <alignment horizontal="center"/>
    </xf>
    <xf numFmtId="0" fontId="21" fillId="5" borderId="0" xfId="0" applyNumberFormat="1" applyFont="1" applyFill="1" applyBorder="1" applyAlignment="1">
      <alignment horizontal="center"/>
    </xf>
    <xf numFmtId="0" fontId="21" fillId="4" borderId="0" xfId="0" applyNumberFormat="1" applyFont="1" applyFill="1" applyBorder="1" applyAlignment="1">
      <alignment horizontal="centerContinuous"/>
    </xf>
    <xf numFmtId="0" fontId="21" fillId="5" borderId="1" xfId="0" applyNumberFormat="1" applyFont="1" applyFill="1" applyBorder="1" applyAlignment="1">
      <alignment horizontal="centerContinuous"/>
    </xf>
    <xf numFmtId="0" fontId="0" fillId="5" borderId="1" xfId="0" applyNumberFormat="1" applyFill="1" applyBorder="1" applyAlignment="1">
      <alignment horizontal="centerContinuous"/>
    </xf>
    <xf numFmtId="0" fontId="22" fillId="6" borderId="0" xfId="0" applyNumberFormat="1" applyFont="1" applyFill="1" applyBorder="1" applyAlignment="1">
      <alignment horizontal="centerContinuous"/>
    </xf>
    <xf numFmtId="0" fontId="0" fillId="6" borderId="0" xfId="0" applyNumberFormat="1" applyFill="1" applyBorder="1" applyAlignment="1">
      <alignment horizontal="centerContinuous"/>
    </xf>
    <xf numFmtId="0" fontId="0" fillId="4" borderId="0" xfId="0" applyNumberFormat="1" applyFill="1" applyBorder="1" applyAlignment="1">
      <alignment horizontal="center"/>
    </xf>
    <xf numFmtId="0" fontId="21" fillId="5" borderId="0" xfId="0" applyNumberFormat="1" applyFont="1" applyFill="1" applyAlignment="1">
      <alignment horizontal="center"/>
    </xf>
    <xf numFmtId="178" fontId="21" fillId="5" borderId="0" xfId="0" applyNumberFormat="1" applyFont="1" applyFill="1" applyAlignment="1">
      <alignment horizontal="center"/>
    </xf>
    <xf numFmtId="0" fontId="21" fillId="4" borderId="0" xfId="0" quotePrefix="1" applyNumberFormat="1" applyFont="1" applyFill="1" applyBorder="1" applyAlignment="1">
      <alignment horizontal="center"/>
    </xf>
    <xf numFmtId="0" fontId="0" fillId="4" borderId="0" xfId="0" applyNumberFormat="1" applyFill="1" applyAlignment="1">
      <alignment horizontal="center"/>
    </xf>
    <xf numFmtId="9" fontId="21" fillId="4" borderId="0" xfId="0" applyNumberFormat="1" applyFont="1" applyFill="1" applyBorder="1" applyAlignment="1">
      <alignment horizontal="centerContinuous"/>
    </xf>
    <xf numFmtId="179" fontId="23" fillId="5" borderId="0" xfId="3" applyNumberFormat="1" applyFont="1" applyFill="1" applyAlignment="1">
      <alignment horizontal="center"/>
    </xf>
    <xf numFmtId="179" fontId="22" fillId="5" borderId="0" xfId="3" applyNumberFormat="1" applyFont="1" applyFill="1" applyAlignment="1">
      <alignment horizontal="center"/>
    </xf>
    <xf numFmtId="164" fontId="22" fillId="0" borderId="0" xfId="3" applyNumberFormat="1" applyFont="1"/>
    <xf numFmtId="179" fontId="24" fillId="5" borderId="0" xfId="3" applyNumberFormat="1" applyFont="1" applyFill="1"/>
    <xf numFmtId="179" fontId="25" fillId="5" borderId="0" xfId="3" applyNumberFormat="1" applyFont="1" applyFill="1" applyAlignment="1">
      <alignment horizontal="center"/>
    </xf>
    <xf numFmtId="179" fontId="22" fillId="5" borderId="0" xfId="3" applyNumberFormat="1" applyFont="1" applyFill="1"/>
    <xf numFmtId="0" fontId="26" fillId="0" borderId="0" xfId="0" applyNumberFormat="1" applyFont="1"/>
    <xf numFmtId="10" fontId="0" fillId="0" borderId="0" xfId="3" applyNumberFormat="1" applyFont="1"/>
    <xf numFmtId="174" fontId="0" fillId="0" borderId="0" xfId="2" applyNumberFormat="1" applyFont="1"/>
    <xf numFmtId="37" fontId="0" fillId="0" borderId="0" xfId="0" applyNumberFormat="1"/>
    <xf numFmtId="37" fontId="22" fillId="0" borderId="0" xfId="0" applyNumberFormat="1" applyFont="1"/>
    <xf numFmtId="37" fontId="0" fillId="0" borderId="0" xfId="0" quotePrefix="1" applyNumberFormat="1"/>
    <xf numFmtId="37" fontId="0" fillId="0" borderId="0" xfId="0" applyNumberFormat="1" applyBorder="1"/>
    <xf numFmtId="37" fontId="0" fillId="0" borderId="6" xfId="0" applyNumberFormat="1" applyBorder="1"/>
    <xf numFmtId="37" fontId="0" fillId="0" borderId="13" xfId="0" applyNumberFormat="1" applyBorder="1"/>
    <xf numFmtId="10" fontId="21" fillId="0" borderId="24" xfId="0" applyNumberFormat="1" applyFont="1" applyBorder="1"/>
    <xf numFmtId="10" fontId="21" fillId="0" borderId="0" xfId="0" applyNumberFormat="1" applyFont="1" applyBorder="1"/>
    <xf numFmtId="37" fontId="0" fillId="0" borderId="25" xfId="0" applyNumberFormat="1" applyBorder="1"/>
    <xf numFmtId="179" fontId="21" fillId="0" borderId="0" xfId="0" applyNumberFormat="1" applyFont="1"/>
    <xf numFmtId="164" fontId="21" fillId="0" borderId="0" xfId="3" applyNumberFormat="1" applyFont="1"/>
    <xf numFmtId="179" fontId="0" fillId="0" borderId="0" xfId="0" applyNumberFormat="1"/>
    <xf numFmtId="37" fontId="0" fillId="0" borderId="24" xfId="0" applyNumberFormat="1" applyBorder="1"/>
    <xf numFmtId="0" fontId="22" fillId="0" borderId="0" xfId="0" applyNumberFormat="1" applyFont="1"/>
    <xf numFmtId="179" fontId="22" fillId="0" borderId="24" xfId="0" applyNumberFormat="1" applyFont="1" applyBorder="1"/>
    <xf numFmtId="179" fontId="22" fillId="0" borderId="0" xfId="0" applyNumberFormat="1" applyFont="1" applyBorder="1"/>
    <xf numFmtId="179" fontId="24" fillId="5" borderId="0" xfId="3" applyNumberFormat="1" applyFont="1" applyFill="1" applyAlignment="1">
      <alignment horizontal="right"/>
    </xf>
    <xf numFmtId="10" fontId="0" fillId="0" borderId="0" xfId="0" applyNumberFormat="1" applyBorder="1"/>
    <xf numFmtId="179" fontId="21" fillId="0" borderId="0" xfId="3" applyNumberFormat="1" applyFont="1"/>
    <xf numFmtId="0" fontId="21" fillId="0" borderId="0" xfId="0" applyNumberFormat="1" applyFont="1" applyFill="1"/>
    <xf numFmtId="0" fontId="0" fillId="0" borderId="0" xfId="0" applyNumberFormat="1" applyBorder="1"/>
    <xf numFmtId="0" fontId="0" fillId="0" borderId="0" xfId="0" applyNumberFormat="1" applyBorder="1" applyAlignment="1">
      <alignment horizontal="right"/>
    </xf>
    <xf numFmtId="0" fontId="0" fillId="0" borderId="24" xfId="0" applyNumberFormat="1" applyBorder="1" applyAlignment="1">
      <alignment horizontal="right"/>
    </xf>
    <xf numFmtId="0" fontId="21" fillId="0" borderId="0" xfId="0" applyNumberFormat="1" applyFont="1"/>
    <xf numFmtId="0" fontId="27" fillId="5" borderId="0" xfId="0" applyNumberFormat="1" applyFont="1" applyFill="1"/>
    <xf numFmtId="37" fontId="0" fillId="0" borderId="24" xfId="0" applyNumberFormat="1" applyBorder="1" applyAlignment="1">
      <alignment horizontal="right"/>
    </xf>
    <xf numFmtId="179" fontId="28" fillId="0" borderId="25" xfId="0" applyNumberFormat="1" applyFont="1" applyBorder="1"/>
    <xf numFmtId="179" fontId="0" fillId="0" borderId="12" xfId="0" applyNumberFormat="1" applyBorder="1"/>
    <xf numFmtId="179" fontId="21" fillId="0" borderId="14" xfId="3" applyNumberFormat="1" applyFont="1" applyBorder="1" applyAlignment="1">
      <alignment horizontal="right"/>
    </xf>
    <xf numFmtId="0" fontId="0" fillId="0" borderId="26" xfId="0" applyNumberFormat="1" applyBorder="1" applyAlignment="1">
      <alignment horizontal="centerContinuous"/>
    </xf>
    <xf numFmtId="179" fontId="0" fillId="6" borderId="11" xfId="0" applyNumberFormat="1" applyFill="1" applyBorder="1"/>
    <xf numFmtId="179" fontId="21" fillId="6" borderId="0" xfId="0" applyNumberFormat="1" applyFont="1" applyFill="1"/>
    <xf numFmtId="173" fontId="18" fillId="0" borderId="9" xfId="0" applyFont="1" applyBorder="1" applyAlignment="1">
      <alignment horizontal="center"/>
    </xf>
    <xf numFmtId="186" fontId="11" fillId="0" borderId="6" xfId="1" applyNumberFormat="1" applyFont="1" applyBorder="1"/>
    <xf numFmtId="175" fontId="11" fillId="0" borderId="6" xfId="1" applyNumberFormat="1" applyFont="1" applyBorder="1"/>
    <xf numFmtId="175" fontId="11" fillId="0" borderId="0" xfId="1" applyNumberFormat="1" applyFont="1"/>
    <xf numFmtId="168" fontId="81" fillId="0" borderId="0" xfId="234" applyNumberFormat="1" applyFont="1"/>
    <xf numFmtId="168" fontId="5" fillId="0" borderId="0" xfId="165" applyNumberFormat="1" applyFont="1"/>
    <xf numFmtId="173" fontId="11" fillId="0" borderId="0" xfId="0" applyFont="1" applyAlignment="1"/>
    <xf numFmtId="177" fontId="11" fillId="0" borderId="0" xfId="0" applyNumberFormat="1" applyFont="1" applyAlignment="1">
      <alignment horizontal="center"/>
    </xf>
    <xf numFmtId="173" fontId="11" fillId="0" borderId="0" xfId="0" applyFont="1" applyAlignment="1">
      <alignment horizontal="center"/>
    </xf>
    <xf numFmtId="173" fontId="0" fillId="0" borderId="0" xfId="0" applyAlignment="1">
      <alignment horizontal="right"/>
    </xf>
    <xf numFmtId="0" fontId="5" fillId="0" borderId="0" xfId="0" applyNumberFormat="1" applyFont="1" applyFill="1" applyAlignment="1" applyProtection="1">
      <alignment vertical="top" wrapText="1"/>
      <protection locked="0"/>
    </xf>
    <xf numFmtId="1" fontId="0" fillId="0" borderId="0" xfId="0" applyNumberFormat="1" applyAlignment="1"/>
    <xf numFmtId="3" fontId="0" fillId="0" borderId="0" xfId="0" applyNumberFormat="1" applyAlignment="1">
      <alignment horizontal="center"/>
    </xf>
    <xf numFmtId="10" fontId="5" fillId="0" borderId="0" xfId="0" applyNumberFormat="1" applyFont="1" applyFill="1" applyAlignment="1" applyProtection="1">
      <alignment vertical="top" wrapText="1"/>
      <protection locked="0"/>
    </xf>
    <xf numFmtId="3" fontId="5" fillId="0" borderId="0" xfId="0" applyNumberFormat="1" applyFont="1" applyFill="1" applyAlignment="1" applyProtection="1">
      <alignment vertical="top" wrapText="1"/>
      <protection locked="0"/>
    </xf>
    <xf numFmtId="0" fontId="5" fillId="0" borderId="0" xfId="0" applyNumberFormat="1" applyFont="1" applyFill="1" applyAlignment="1" applyProtection="1">
      <alignment vertical="top"/>
      <protection locked="0"/>
    </xf>
    <xf numFmtId="173" fontId="18" fillId="0" borderId="9" xfId="0" applyFont="1" applyBorder="1" applyAlignment="1">
      <alignment horizontal="center"/>
    </xf>
    <xf numFmtId="173" fontId="0" fillId="0" borderId="0" xfId="0" applyFill="1" applyBorder="1" applyAlignment="1"/>
    <xf numFmtId="0" fontId="5" fillId="0" borderId="0" xfId="0" applyNumberFormat="1" applyFont="1" applyFill="1" applyAlignment="1" applyProtection="1">
      <alignment horizontal="left"/>
      <protection locked="0"/>
    </xf>
    <xf numFmtId="175" fontId="16" fillId="0" borderId="0" xfId="0" applyNumberFormat="1" applyFont="1" applyBorder="1"/>
    <xf numFmtId="175" fontId="16" fillId="0" borderId="0" xfId="1" applyNumberFormat="1" applyFont="1"/>
    <xf numFmtId="175" fontId="16" fillId="0" borderId="6" xfId="1" applyNumberFormat="1" applyFont="1" applyBorder="1"/>
    <xf numFmtId="0" fontId="2" fillId="0" borderId="0" xfId="236"/>
    <xf numFmtId="0" fontId="85" fillId="0" borderId="0" xfId="240" applyFont="1"/>
    <xf numFmtId="0" fontId="5" fillId="0" borderId="0" xfId="159" applyNumberFormat="1" applyFont="1" applyFill="1" applyAlignment="1" applyProtection="1">
      <alignment horizontal="right"/>
      <protection locked="0"/>
    </xf>
    <xf numFmtId="0" fontId="1" fillId="0" borderId="0" xfId="240"/>
    <xf numFmtId="0" fontId="85" fillId="0" borderId="0" xfId="240" applyFont="1" applyAlignment="1">
      <alignment horizontal="center"/>
    </xf>
    <xf numFmtId="0" fontId="86" fillId="0" borderId="0" xfId="240" applyFont="1"/>
    <xf numFmtId="9" fontId="85" fillId="0" borderId="0" xfId="240" applyNumberFormat="1" applyFont="1" applyAlignment="1">
      <alignment horizontal="center"/>
    </xf>
    <xf numFmtId="9" fontId="86" fillId="0" borderId="0" xfId="241" applyNumberFormat="1" applyFont="1" applyFill="1" applyBorder="1" applyAlignment="1">
      <alignment horizontal="center"/>
    </xf>
    <xf numFmtId="10" fontId="85" fillId="0" borderId="0" xfId="241" applyNumberFormat="1" applyFont="1" applyFill="1" applyBorder="1" applyAlignment="1">
      <alignment horizontal="center"/>
    </xf>
    <xf numFmtId="0" fontId="85" fillId="0" borderId="0" xfId="240" applyFont="1" applyBorder="1"/>
    <xf numFmtId="0" fontId="87" fillId="0" borderId="0" xfId="240" applyFont="1" applyFill="1" applyBorder="1"/>
    <xf numFmtId="176" fontId="85" fillId="32" borderId="0" xfId="240" applyNumberFormat="1" applyFont="1" applyFill="1"/>
    <xf numFmtId="10" fontId="85" fillId="0" borderId="0" xfId="241" applyNumberFormat="1" applyFont="1"/>
    <xf numFmtId="174" fontId="85" fillId="32" borderId="0" xfId="242" applyNumberFormat="1" applyFont="1" applyFill="1" applyBorder="1"/>
    <xf numFmtId="174" fontId="85" fillId="0" borderId="0" xfId="242" applyNumberFormat="1" applyFont="1" applyFill="1" applyBorder="1"/>
    <xf numFmtId="174" fontId="85" fillId="0" borderId="0" xfId="242" applyNumberFormat="1" applyFont="1"/>
    <xf numFmtId="187" fontId="85" fillId="0" borderId="0" xfId="242" applyNumberFormat="1" applyFont="1"/>
    <xf numFmtId="187" fontId="0" fillId="0" borderId="0" xfId="242" applyNumberFormat="1" applyFont="1"/>
    <xf numFmtId="174" fontId="85" fillId="32" borderId="0" xfId="242" applyNumberFormat="1" applyFont="1" applyFill="1"/>
    <xf numFmtId="9" fontId="85" fillId="0" borderId="0" xfId="241" applyFont="1"/>
    <xf numFmtId="9" fontId="0" fillId="0" borderId="0" xfId="241" applyFont="1"/>
    <xf numFmtId="0" fontId="85" fillId="0" borderId="0" xfId="240" applyFont="1" applyFill="1" applyBorder="1"/>
    <xf numFmtId="43" fontId="85" fillId="0" borderId="0" xfId="242" applyFont="1" applyFill="1" applyBorder="1"/>
    <xf numFmtId="43" fontId="85" fillId="0" borderId="0" xfId="242" applyFont="1" applyFill="1"/>
    <xf numFmtId="176" fontId="85" fillId="0" borderId="0" xfId="240" applyNumberFormat="1" applyFont="1" applyFill="1"/>
    <xf numFmtId="0" fontId="85" fillId="0" borderId="0" xfId="240" applyFont="1" applyFill="1"/>
    <xf numFmtId="41" fontId="85" fillId="0" borderId="0" xfId="240" applyNumberFormat="1" applyFont="1"/>
    <xf numFmtId="174" fontId="85" fillId="0" borderId="0" xfId="240" applyNumberFormat="1" applyFont="1"/>
    <xf numFmtId="10" fontId="85" fillId="0" borderId="0" xfId="241" applyNumberFormat="1" applyFont="1" applyFill="1" applyBorder="1"/>
    <xf numFmtId="43" fontId="85" fillId="0" borderId="0" xfId="242" applyFont="1"/>
    <xf numFmtId="0" fontId="87" fillId="0" borderId="0" xfId="240" applyFont="1" applyBorder="1"/>
    <xf numFmtId="173" fontId="11" fillId="0" borderId="0" xfId="231" applyNumberFormat="1" applyFont="1" applyAlignment="1"/>
    <xf numFmtId="0" fontId="80" fillId="0" borderId="0" xfId="231" applyFont="1"/>
    <xf numFmtId="173" fontId="11" fillId="0" borderId="0" xfId="231" applyNumberFormat="1" applyFont="1" applyBorder="1" applyAlignment="1">
      <alignment horizontal="center" wrapText="1"/>
    </xf>
    <xf numFmtId="0" fontId="80" fillId="0" borderId="0" xfId="231" applyFont="1" applyAlignment="1">
      <alignment horizontal="right"/>
    </xf>
    <xf numFmtId="0" fontId="80" fillId="0" borderId="0" xfId="231" applyFont="1" applyAlignment="1">
      <alignment horizontal="center"/>
    </xf>
    <xf numFmtId="175" fontId="11" fillId="0" borderId="0" xfId="232" applyNumberFormat="1" applyFont="1"/>
    <xf numFmtId="174" fontId="11" fillId="0" borderId="0" xfId="233" applyNumberFormat="1" applyFont="1"/>
    <xf numFmtId="174" fontId="11" fillId="0" borderId="6" xfId="233" applyNumberFormat="1" applyFont="1" applyBorder="1"/>
    <xf numFmtId="0" fontId="82" fillId="0" borderId="0" xfId="231" applyFont="1"/>
    <xf numFmtId="174" fontId="11" fillId="0" borderId="0" xfId="233" applyNumberFormat="1" applyFont="1" applyBorder="1"/>
    <xf numFmtId="175" fontId="82" fillId="0" borderId="2" xfId="232" applyNumberFormat="1" applyFont="1" applyBorder="1"/>
    <xf numFmtId="0" fontId="3" fillId="0" borderId="0" xfId="231"/>
    <xf numFmtId="173" fontId="18" fillId="0" borderId="9" xfId="0" applyFont="1" applyBorder="1" applyAlignment="1">
      <alignment horizontal="center"/>
    </xf>
    <xf numFmtId="176" fontId="85" fillId="32" borderId="0" xfId="0" applyNumberFormat="1" applyFont="1" applyFill="1"/>
    <xf numFmtId="10" fontId="86" fillId="0" borderId="0" xfId="3" applyNumberFormat="1" applyFont="1" applyFill="1" applyBorder="1" applyAlignment="1">
      <alignment horizontal="center"/>
    </xf>
    <xf numFmtId="0" fontId="5" fillId="0" borderId="0" xfId="0" applyNumberFormat="1" applyFont="1" applyFill="1" applyAlignment="1" applyProtection="1">
      <alignment horizontal="right"/>
      <protection locked="0"/>
    </xf>
    <xf numFmtId="0" fontId="5" fillId="0" borderId="0" xfId="0" applyNumberFormat="1" applyFont="1" applyFill="1" applyAlignment="1" applyProtection="1">
      <alignment vertical="top" wrapText="1"/>
      <protection locked="0"/>
    </xf>
    <xf numFmtId="0" fontId="5" fillId="0" borderId="0" xfId="0" applyNumberFormat="1" applyFont="1" applyAlignment="1" applyProtection="1">
      <protection locked="0"/>
    </xf>
    <xf numFmtId="173" fontId="18" fillId="0" borderId="10" xfId="0" applyFont="1" applyBorder="1" applyAlignment="1">
      <alignment horizontal="center"/>
    </xf>
    <xf numFmtId="173" fontId="5" fillId="0" borderId="0" xfId="0" applyFont="1" applyAlignment="1" applyProtection="1">
      <protection locked="0"/>
    </xf>
    <xf numFmtId="173" fontId="84" fillId="0" borderId="0" xfId="0" applyFont="1" applyBorder="1" applyAlignment="1" applyProtection="1">
      <alignment vertical="center" wrapText="1"/>
      <protection locked="0"/>
    </xf>
    <xf numFmtId="173" fontId="5" fillId="2" borderId="0" xfId="0" applyFont="1" applyFill="1" applyAlignment="1" applyProtection="1">
      <protection locked="0"/>
    </xf>
    <xf numFmtId="3" fontId="5" fillId="0" borderId="0" xfId="0" applyNumberFormat="1" applyFont="1" applyAlignment="1" applyProtection="1">
      <protection locked="0"/>
    </xf>
    <xf numFmtId="0" fontId="5" fillId="3" borderId="0" xfId="0" applyNumberFormat="1" applyFont="1" applyFill="1" applyProtection="1">
      <protection locked="0"/>
    </xf>
    <xf numFmtId="49" fontId="5" fillId="0" borderId="0" xfId="0" applyNumberFormat="1" applyFont="1" applyProtection="1">
      <protection locked="0"/>
    </xf>
    <xf numFmtId="3" fontId="5" fillId="0" borderId="0" xfId="0" applyNumberFormat="1" applyFont="1" applyProtection="1">
      <protection locked="0"/>
    </xf>
    <xf numFmtId="42" fontId="5" fillId="0" borderId="0" xfId="0" applyNumberFormat="1" applyFont="1" applyFill="1" applyProtection="1"/>
    <xf numFmtId="166" fontId="5" fillId="0" borderId="0" xfId="0" applyNumberFormat="1" applyFont="1" applyAlignment="1" applyProtection="1"/>
    <xf numFmtId="3" fontId="5" fillId="0" borderId="0" xfId="0" applyNumberFormat="1" applyFont="1" applyFill="1" applyBorder="1" applyProtection="1">
      <protection locked="0"/>
    </xf>
    <xf numFmtId="3" fontId="5" fillId="2" borderId="0" xfId="0" applyNumberFormat="1" applyFont="1" applyFill="1" applyAlignment="1" applyProtection="1">
      <protection locked="0"/>
    </xf>
    <xf numFmtId="3" fontId="5" fillId="0" borderId="1" xfId="0" applyNumberFormat="1" applyFont="1" applyBorder="1" applyAlignment="1" applyProtection="1"/>
    <xf numFmtId="3" fontId="5" fillId="0" borderId="0" xfId="0" applyNumberFormat="1" applyFont="1" applyAlignment="1" applyProtection="1">
      <alignment horizontal="fill"/>
      <protection locked="0"/>
    </xf>
    <xf numFmtId="166" fontId="5" fillId="0" borderId="0" xfId="0" applyNumberFormat="1" applyFont="1" applyAlignment="1" applyProtection="1">
      <protection locked="0"/>
    </xf>
    <xf numFmtId="3" fontId="5" fillId="3" borderId="0" xfId="0" applyNumberFormat="1" applyFont="1" applyFill="1" applyAlignment="1" applyProtection="1">
      <protection locked="0"/>
    </xf>
    <xf numFmtId="3" fontId="5" fillId="3" borderId="1" xfId="0" applyNumberFormat="1" applyFont="1" applyFill="1" applyBorder="1" applyAlignment="1" applyProtection="1">
      <protection locked="0"/>
    </xf>
    <xf numFmtId="42" fontId="5" fillId="0" borderId="0" xfId="0" applyNumberFormat="1" applyFont="1" applyBorder="1" applyAlignment="1" applyProtection="1">
      <alignment horizontal="right"/>
    </xf>
    <xf numFmtId="3" fontId="5" fillId="2" borderId="0" xfId="0" applyNumberFormat="1" applyFont="1" applyFill="1" applyProtection="1">
      <protection locked="0"/>
    </xf>
    <xf numFmtId="3" fontId="5" fillId="2" borderId="0" xfId="0" applyNumberFormat="1" applyFont="1" applyFill="1" applyBorder="1" applyProtection="1">
      <protection locked="0"/>
    </xf>
    <xf numFmtId="3" fontId="5" fillId="2" borderId="1" xfId="0" applyNumberFormat="1" applyFont="1" applyFill="1" applyBorder="1" applyProtection="1">
      <protection locked="0"/>
    </xf>
    <xf numFmtId="3" fontId="5" fillId="0" borderId="0" xfId="0" applyNumberFormat="1" applyFont="1" applyProtection="1"/>
    <xf numFmtId="168" fontId="5" fillId="0" borderId="0" xfId="0" applyNumberFormat="1" applyFont="1" applyProtection="1"/>
    <xf numFmtId="168" fontId="5" fillId="0" borderId="0" xfId="0" applyNumberFormat="1" applyFont="1" applyAlignment="1" applyProtection="1">
      <alignment horizontal="center"/>
      <protection locked="0"/>
    </xf>
    <xf numFmtId="173" fontId="5" fillId="0" borderId="0" xfId="0" applyFont="1" applyAlignment="1" applyProtection="1">
      <alignment horizontal="center"/>
      <protection locked="0"/>
    </xf>
    <xf numFmtId="172" fontId="5" fillId="0" borderId="0" xfId="0" applyNumberFormat="1" applyFont="1" applyAlignment="1" applyProtection="1"/>
    <xf numFmtId="172" fontId="5" fillId="0" borderId="0" xfId="0" applyNumberFormat="1" applyFont="1" applyFill="1" applyAlignment="1" applyProtection="1"/>
    <xf numFmtId="172" fontId="5" fillId="0" borderId="0" xfId="0" applyNumberFormat="1" applyFont="1" applyProtection="1"/>
    <xf numFmtId="173" fontId="5" fillId="0" borderId="0" xfId="0" applyFont="1" applyFill="1" applyAlignment="1" applyProtection="1">
      <protection locked="0"/>
    </xf>
    <xf numFmtId="3" fontId="5" fillId="0" borderId="0" xfId="0" applyNumberFormat="1" applyFont="1" applyBorder="1" applyAlignment="1" applyProtection="1">
      <protection locked="0"/>
    </xf>
    <xf numFmtId="49" fontId="5" fillId="0" borderId="0" xfId="0" applyNumberFormat="1" applyFont="1" applyAlignment="1" applyProtection="1">
      <alignment horizontal="left"/>
      <protection locked="0"/>
    </xf>
    <xf numFmtId="49" fontId="5" fillId="0" borderId="0" xfId="0" applyNumberFormat="1" applyFont="1" applyAlignment="1" applyProtection="1">
      <alignment horizontal="center"/>
      <protection locked="0"/>
    </xf>
    <xf numFmtId="3" fontId="6" fillId="0" borderId="0" xfId="0" applyNumberFormat="1" applyFont="1" applyAlignment="1" applyProtection="1">
      <alignment horizontal="center"/>
      <protection locked="0"/>
    </xf>
    <xf numFmtId="173" fontId="6" fillId="0" borderId="0" xfId="0" applyFont="1" applyAlignment="1" applyProtection="1">
      <alignment horizontal="center"/>
      <protection locked="0"/>
    </xf>
    <xf numFmtId="3" fontId="6" fillId="0" borderId="0" xfId="0" applyNumberFormat="1" applyFont="1" applyAlignment="1" applyProtection="1">
      <protection locked="0"/>
    </xf>
    <xf numFmtId="0" fontId="6" fillId="0" borderId="0" xfId="0" applyNumberFormat="1" applyFont="1" applyAlignment="1" applyProtection="1">
      <protection locked="0"/>
    </xf>
    <xf numFmtId="165" fontId="5" fillId="0" borderId="0" xfId="0" applyNumberFormat="1" applyFont="1" applyAlignment="1" applyProtection="1">
      <protection locked="0"/>
    </xf>
    <xf numFmtId="165" fontId="5" fillId="0" borderId="0" xfId="0" applyNumberFormat="1" applyFont="1" applyAlignment="1" applyProtection="1"/>
    <xf numFmtId="3" fontId="5" fillId="2" borderId="1" xfId="0" applyNumberFormat="1" applyFont="1" applyFill="1" applyBorder="1" applyAlignment="1" applyProtection="1">
      <protection locked="0"/>
    </xf>
    <xf numFmtId="164" fontId="5" fillId="0" borderId="0" xfId="0" applyNumberFormat="1" applyFont="1" applyAlignment="1" applyProtection="1">
      <alignment horizontal="center"/>
    </xf>
    <xf numFmtId="164" fontId="5" fillId="0" borderId="0" xfId="0" applyNumberFormat="1" applyFont="1" applyFill="1" applyAlignment="1" applyProtection="1">
      <alignment horizontal="center"/>
      <protection locked="0"/>
    </xf>
    <xf numFmtId="164" fontId="5" fillId="0" borderId="0" xfId="0" applyNumberFormat="1" applyFont="1" applyAlignment="1" applyProtection="1">
      <alignment horizontal="center"/>
      <protection locked="0"/>
    </xf>
    <xf numFmtId="0" fontId="5" fillId="0" borderId="0" xfId="0" applyNumberFormat="1" applyFont="1" applyAlignment="1" applyProtection="1"/>
    <xf numFmtId="3" fontId="5" fillId="2" borderId="0" xfId="0" applyNumberFormat="1" applyFont="1" applyFill="1" applyBorder="1" applyAlignment="1" applyProtection="1">
      <protection locked="0"/>
    </xf>
    <xf numFmtId="3" fontId="5" fillId="0" borderId="0" xfId="0" applyNumberFormat="1" applyFont="1" applyBorder="1" applyAlignment="1" applyProtection="1"/>
    <xf numFmtId="173" fontId="5" fillId="0" borderId="1" xfId="0" applyFont="1" applyBorder="1" applyAlignment="1" applyProtection="1">
      <protection locked="0"/>
    </xf>
    <xf numFmtId="3" fontId="5" fillId="0" borderId="2" xfId="0" applyNumberFormat="1" applyFont="1" applyBorder="1" applyAlignment="1" applyProtection="1"/>
    <xf numFmtId="173" fontId="5" fillId="0" borderId="0" xfId="0" applyFont="1" applyAlignment="1" applyProtection="1"/>
    <xf numFmtId="3" fontId="8" fillId="0" borderId="0" xfId="0" applyNumberFormat="1" applyFont="1" applyAlignment="1" applyProtection="1">
      <protection locked="0"/>
    </xf>
    <xf numFmtId="171" fontId="5" fillId="0" borderId="0" xfId="0" applyNumberFormat="1" applyFont="1" applyFill="1" applyAlignment="1" applyProtection="1">
      <alignment horizontal="left"/>
    </xf>
    <xf numFmtId="165" fontId="5" fillId="0" borderId="0" xfId="0" applyNumberFormat="1" applyFont="1" applyFill="1" applyAlignment="1" applyProtection="1"/>
    <xf numFmtId="166" fontId="5" fillId="0" borderId="0" xfId="0" applyNumberFormat="1" applyFont="1" applyFill="1" applyAlignment="1" applyProtection="1">
      <alignment horizontal="right"/>
      <protection locked="0"/>
    </xf>
    <xf numFmtId="10" fontId="5" fillId="0" borderId="0" xfId="0" applyNumberFormat="1" applyFont="1" applyFill="1" applyAlignment="1" applyProtection="1">
      <alignment horizontal="right"/>
    </xf>
    <xf numFmtId="169" fontId="5" fillId="0" borderId="0" xfId="0" applyNumberFormat="1" applyFont="1" applyFill="1" applyAlignment="1" applyProtection="1">
      <alignment horizontal="right"/>
    </xf>
    <xf numFmtId="10" fontId="5" fillId="0" borderId="0" xfId="0" applyNumberFormat="1" applyFont="1" applyAlignment="1" applyProtection="1">
      <alignment horizontal="left"/>
      <protection locked="0"/>
    </xf>
    <xf numFmtId="3" fontId="5" fillId="0" borderId="0" xfId="0" applyNumberFormat="1" applyFont="1" applyFill="1" applyAlignment="1" applyProtection="1">
      <alignment horizontal="left"/>
      <protection locked="0"/>
    </xf>
    <xf numFmtId="3" fontId="5" fillId="0" borderId="0" xfId="0" applyNumberFormat="1" applyFont="1" applyFill="1" applyAlignment="1" applyProtection="1">
      <alignment horizontal="right"/>
    </xf>
    <xf numFmtId="167" fontId="5" fillId="0" borderId="0" xfId="0" applyNumberFormat="1" applyFont="1" applyAlignment="1" applyProtection="1">
      <protection locked="0"/>
    </xf>
    <xf numFmtId="3" fontId="5" fillId="0" borderId="2" xfId="0" applyNumberFormat="1" applyFont="1" applyFill="1" applyBorder="1" applyAlignment="1" applyProtection="1"/>
    <xf numFmtId="173" fontId="5" fillId="0" borderId="0" xfId="0" applyFont="1" applyFill="1" applyBorder="1" applyAlignment="1" applyProtection="1">
      <protection locked="0"/>
    </xf>
    <xf numFmtId="3" fontId="5" fillId="0" borderId="0" xfId="0" applyNumberFormat="1" applyFont="1" applyFill="1" applyBorder="1" applyAlignment="1" applyProtection="1">
      <protection locked="0"/>
    </xf>
    <xf numFmtId="3" fontId="5" fillId="0" borderId="0" xfId="0" applyNumberFormat="1" applyFont="1" applyFill="1" applyAlignment="1" applyProtection="1">
      <alignment horizontal="center"/>
      <protection locked="0"/>
    </xf>
    <xf numFmtId="49" fontId="5" fillId="0" borderId="0" xfId="0" applyNumberFormat="1" applyFont="1" applyFill="1" applyProtection="1">
      <protection locked="0"/>
    </xf>
    <xf numFmtId="49" fontId="5" fillId="0" borderId="0" xfId="0" applyNumberFormat="1" applyFont="1" applyFill="1" applyBorder="1" applyAlignment="1" applyProtection="1">
      <protection locked="0"/>
    </xf>
    <xf numFmtId="49" fontId="5" fillId="0" borderId="0" xfId="0" applyNumberFormat="1" applyFont="1" applyFill="1" applyAlignment="1" applyProtection="1">
      <protection locked="0"/>
    </xf>
    <xf numFmtId="49" fontId="5" fillId="0" borderId="0" xfId="0" applyNumberFormat="1" applyFont="1" applyFill="1" applyAlignment="1" applyProtection="1">
      <alignment horizontal="center"/>
      <protection locked="0"/>
    </xf>
    <xf numFmtId="165" fontId="5" fillId="0" borderId="0" xfId="0" applyNumberFormat="1" applyFont="1" applyFill="1" applyAlignment="1" applyProtection="1">
      <alignment horizontal="right"/>
    </xf>
    <xf numFmtId="173" fontId="10" fillId="0" borderId="0" xfId="0" applyFont="1" applyFill="1" applyBorder="1" applyAlignment="1" applyProtection="1">
      <protection locked="0"/>
    </xf>
    <xf numFmtId="0" fontId="0" fillId="0" borderId="0" xfId="0" applyNumberFormat="1" applyFont="1" applyFill="1" applyBorder="1" applyAlignment="1" applyProtection="1">
      <protection locked="0"/>
    </xf>
    <xf numFmtId="173" fontId="0" fillId="0" borderId="0" xfId="0" applyFont="1" applyFill="1" applyBorder="1" applyAlignment="1" applyProtection="1">
      <protection locked="0"/>
    </xf>
    <xf numFmtId="3" fontId="0" fillId="0" borderId="0" xfId="0" applyNumberFormat="1" applyFont="1" applyFill="1" applyBorder="1" applyAlignment="1" applyProtection="1">
      <protection locked="0"/>
    </xf>
    <xf numFmtId="173" fontId="0" fillId="0" borderId="0" xfId="0" applyFill="1" applyBorder="1" applyAlignment="1" applyProtection="1">
      <protection locked="0"/>
    </xf>
    <xf numFmtId="175" fontId="0" fillId="0" borderId="0" xfId="1" applyNumberFormat="1" applyFont="1" applyFill="1" applyBorder="1" applyAlignment="1" applyProtection="1">
      <protection locked="0"/>
    </xf>
    <xf numFmtId="3" fontId="12" fillId="0" borderId="0" xfId="0" applyNumberFormat="1" applyFont="1" applyFill="1" applyBorder="1" applyAlignment="1" applyProtection="1">
      <protection locked="0"/>
    </xf>
    <xf numFmtId="170" fontId="0" fillId="0" borderId="0" xfId="0" applyNumberFormat="1" applyFill="1" applyBorder="1" applyAlignment="1" applyProtection="1">
      <protection locked="0"/>
    </xf>
    <xf numFmtId="173" fontId="12" fillId="0" borderId="0" xfId="0" applyFont="1" applyFill="1" applyBorder="1" applyAlignment="1" applyProtection="1">
      <protection locked="0"/>
    </xf>
    <xf numFmtId="173" fontId="13" fillId="0" borderId="0" xfId="0" applyFont="1" applyFill="1" applyBorder="1" applyAlignment="1" applyProtection="1">
      <protection locked="0"/>
    </xf>
    <xf numFmtId="173" fontId="14" fillId="0" borderId="0" xfId="0" applyFont="1" applyFill="1" applyBorder="1" applyProtection="1">
      <protection locked="0"/>
    </xf>
    <xf numFmtId="173" fontId="12" fillId="0" borderId="0" xfId="0" applyFont="1" applyFill="1" applyBorder="1" applyProtection="1">
      <protection locked="0"/>
    </xf>
    <xf numFmtId="165" fontId="5" fillId="0" borderId="0" xfId="0" applyNumberFormat="1" applyFont="1" applyFill="1" applyProtection="1"/>
    <xf numFmtId="166" fontId="5" fillId="0" borderId="0" xfId="0" applyNumberFormat="1" applyFont="1" applyFill="1" applyProtection="1"/>
    <xf numFmtId="3" fontId="5" fillId="0" borderId="0" xfId="0" applyNumberFormat="1" applyFont="1" applyAlignment="1" applyProtection="1">
      <alignment horizontal="center"/>
      <protection locked="0"/>
    </xf>
    <xf numFmtId="173" fontId="12" fillId="0" borderId="0" xfId="0" applyFont="1" applyFill="1" applyBorder="1" applyAlignment="1" applyProtection="1">
      <alignment horizontal="left" wrapText="1"/>
      <protection locked="0"/>
    </xf>
    <xf numFmtId="3" fontId="5" fillId="0" borderId="1" xfId="0" applyNumberFormat="1" applyFont="1" applyBorder="1" applyAlignment="1" applyProtection="1">
      <protection locked="0"/>
    </xf>
    <xf numFmtId="3" fontId="5" fillId="0" borderId="1" xfId="0" applyNumberFormat="1" applyFont="1" applyBorder="1" applyAlignment="1" applyProtection="1">
      <alignment horizontal="center"/>
      <protection locked="0"/>
    </xf>
    <xf numFmtId="170" fontId="0" fillId="0" borderId="0" xfId="0" applyNumberFormat="1" applyFont="1" applyFill="1" applyBorder="1" applyAlignment="1" applyProtection="1">
      <protection locked="0"/>
    </xf>
    <xf numFmtId="4" fontId="5" fillId="0" borderId="0" xfId="0" applyNumberFormat="1" applyFont="1" applyAlignment="1" applyProtection="1">
      <protection locked="0"/>
    </xf>
    <xf numFmtId="4" fontId="5" fillId="0" borderId="0" xfId="0" applyNumberFormat="1" applyFont="1" applyAlignment="1" applyProtection="1"/>
    <xf numFmtId="3" fontId="5" fillId="0" borderId="0" xfId="0" applyNumberFormat="1" applyFont="1" applyBorder="1" applyAlignment="1" applyProtection="1">
      <alignment horizontal="center"/>
      <protection locked="0"/>
    </xf>
    <xf numFmtId="166" fontId="5" fillId="0" borderId="0" xfId="0" applyNumberFormat="1" applyFont="1" applyFill="1" applyAlignment="1" applyProtection="1"/>
    <xf numFmtId="0" fontId="5" fillId="0" borderId="1" xfId="0" applyNumberFormat="1" applyFont="1" applyBorder="1" applyAlignment="1" applyProtection="1">
      <protection locked="0"/>
    </xf>
    <xf numFmtId="170" fontId="5" fillId="2" borderId="0" xfId="0" applyNumberFormat="1" applyFont="1" applyFill="1" applyAlignment="1" applyProtection="1">
      <protection locked="0"/>
    </xf>
    <xf numFmtId="42" fontId="5" fillId="2" borderId="0" xfId="0" applyNumberFormat="1" applyFont="1" applyFill="1" applyAlignment="1" applyProtection="1">
      <protection locked="0"/>
    </xf>
    <xf numFmtId="9" fontId="5" fillId="0" borderId="0" xfId="0" applyNumberFormat="1" applyFont="1" applyAlignment="1" applyProtection="1"/>
    <xf numFmtId="169" fontId="5" fillId="0" borderId="0" xfId="0" applyNumberFormat="1" applyFont="1" applyAlignment="1" applyProtection="1">
      <protection locked="0"/>
    </xf>
    <xf numFmtId="169" fontId="5" fillId="0" borderId="0" xfId="0" applyNumberFormat="1" applyFont="1" applyAlignment="1" applyProtection="1"/>
    <xf numFmtId="3" fontId="5" fillId="0" borderId="0" xfId="0" quotePrefix="1" applyNumberFormat="1" applyFont="1" applyAlignment="1" applyProtection="1">
      <protection locked="0"/>
    </xf>
    <xf numFmtId="169" fontId="5" fillId="2" borderId="0" xfId="0" applyNumberFormat="1" applyFont="1" applyFill="1" applyAlignment="1" applyProtection="1">
      <protection locked="0"/>
    </xf>
    <xf numFmtId="169" fontId="5" fillId="0" borderId="1" xfId="0" applyNumberFormat="1" applyFont="1" applyBorder="1" applyAlignment="1" applyProtection="1"/>
    <xf numFmtId="173" fontId="7" fillId="0" borderId="0" xfId="0" applyFont="1" applyAlignment="1" applyProtection="1">
      <protection locked="0"/>
    </xf>
    <xf numFmtId="38" fontId="5" fillId="0" borderId="0" xfId="0" applyNumberFormat="1" applyFont="1" applyAlignment="1" applyProtection="1">
      <protection locked="0"/>
    </xf>
    <xf numFmtId="0" fontId="5" fillId="0" borderId="1" xfId="0" applyNumberFormat="1" applyFont="1" applyBorder="1" applyProtection="1">
      <protection locked="0"/>
    </xf>
    <xf numFmtId="173" fontId="5" fillId="0" borderId="0" xfId="0" applyFont="1" applyBorder="1" applyAlignment="1" applyProtection="1">
      <protection locked="0"/>
    </xf>
    <xf numFmtId="170" fontId="5" fillId="0" borderId="0" xfId="0" applyNumberFormat="1" applyFont="1" applyFill="1" applyBorder="1" applyProtection="1">
      <protection locked="0"/>
    </xf>
    <xf numFmtId="1" fontId="5" fillId="0" borderId="0" xfId="0" applyNumberFormat="1" applyFont="1" applyFill="1" applyProtection="1">
      <protection locked="0"/>
    </xf>
    <xf numFmtId="170" fontId="5" fillId="2" borderId="0" xfId="0" applyNumberFormat="1" applyFont="1" applyFill="1" applyBorder="1" applyProtection="1">
      <protection locked="0"/>
    </xf>
    <xf numFmtId="1" fontId="5" fillId="0" borderId="0" xfId="0" applyNumberFormat="1" applyFont="1" applyFill="1" applyAlignment="1" applyProtection="1">
      <protection locked="0"/>
    </xf>
    <xf numFmtId="170" fontId="5" fillId="0" borderId="0" xfId="0" applyNumberFormat="1" applyFont="1" applyFill="1" applyBorder="1" applyAlignment="1" applyProtection="1">
      <protection locked="0"/>
    </xf>
    <xf numFmtId="173" fontId="5" fillId="0" borderId="0" xfId="0" applyFont="1" applyAlignment="1" applyProtection="1">
      <alignment horizontal="center" vertical="top" wrapText="1"/>
      <protection locked="0"/>
    </xf>
    <xf numFmtId="173" fontId="5" fillId="0" borderId="0" xfId="0" applyFont="1" applyFill="1" applyAlignment="1" applyProtection="1">
      <alignment horizontal="center" vertical="top" wrapText="1"/>
      <protection locked="0"/>
    </xf>
    <xf numFmtId="173" fontId="5" fillId="0" borderId="0" xfId="0" applyFont="1" applyFill="1" applyAlignment="1" applyProtection="1">
      <alignment horizontal="center"/>
      <protection locked="0"/>
    </xf>
    <xf numFmtId="173" fontId="83" fillId="0" borderId="0" xfId="0" applyFont="1" applyFill="1" applyAlignment="1" applyProtection="1">
      <alignment horizontal="center"/>
      <protection locked="0"/>
    </xf>
    <xf numFmtId="181" fontId="5" fillId="0" borderId="0" xfId="0" applyNumberFormat="1" applyFont="1" applyProtection="1">
      <protection locked="0"/>
    </xf>
    <xf numFmtId="3" fontId="5" fillId="3" borderId="0" xfId="0" applyNumberFormat="1" applyFont="1" applyFill="1" applyProtection="1">
      <protection locked="0"/>
    </xf>
    <xf numFmtId="3" fontId="5" fillId="3" borderId="6" xfId="0" applyNumberFormat="1" applyFont="1" applyFill="1" applyBorder="1" applyProtection="1">
      <protection locked="0"/>
    </xf>
    <xf numFmtId="170" fontId="5" fillId="0" borderId="0" xfId="0" applyNumberFormat="1" applyFont="1" applyProtection="1"/>
    <xf numFmtId="245" fontId="5" fillId="3" borderId="0" xfId="0" applyNumberFormat="1" applyFont="1" applyFill="1" applyProtection="1">
      <protection locked="0"/>
    </xf>
    <xf numFmtId="179" fontId="11" fillId="0" borderId="0" xfId="159" applyNumberFormat="1" applyFont="1" applyAlignment="1"/>
    <xf numFmtId="179" fontId="11" fillId="0" borderId="0" xfId="235" applyNumberFormat="1" applyFont="1"/>
    <xf numFmtId="179" fontId="11" fillId="0" borderId="0" xfId="0" applyNumberFormat="1" applyFont="1" applyAlignment="1"/>
    <xf numFmtId="173" fontId="18" fillId="0" borderId="9" xfId="0" applyFont="1" applyBorder="1" applyAlignment="1">
      <alignment horizontal="center"/>
    </xf>
    <xf numFmtId="0" fontId="0" fillId="0" borderId="8" xfId="2" applyNumberFormat="1" applyFont="1" applyBorder="1" applyAlignment="1">
      <alignment horizontal="center"/>
    </xf>
    <xf numFmtId="0" fontId="0" fillId="0" borderId="3" xfId="2" applyNumberFormat="1" applyFont="1" applyBorder="1" applyAlignment="1">
      <alignment horizontal="center"/>
    </xf>
    <xf numFmtId="173" fontId="18" fillId="0" borderId="3" xfId="0" applyFont="1" applyBorder="1" applyAlignment="1">
      <alignment horizontal="center"/>
    </xf>
    <xf numFmtId="173" fontId="18" fillId="0" borderId="4" xfId="0" applyFont="1" applyFill="1" applyBorder="1" applyAlignment="1">
      <alignment horizontal="center"/>
    </xf>
    <xf numFmtId="0" fontId="5" fillId="0" borderId="0" xfId="0" applyNumberFormat="1" applyFont="1" applyFill="1" applyAlignment="1" applyProtection="1">
      <protection locked="0"/>
    </xf>
    <xf numFmtId="3" fontId="5" fillId="0" borderId="0" xfId="0" applyNumberFormat="1" applyFont="1" applyFill="1" applyAlignment="1" applyProtection="1">
      <alignment horizontal="right"/>
      <protection locked="0"/>
    </xf>
    <xf numFmtId="0" fontId="5" fillId="0" borderId="0" xfId="0" applyNumberFormat="1" applyFont="1" applyFill="1" applyAlignment="1" applyProtection="1">
      <alignment horizontal="right"/>
      <protection locked="0"/>
    </xf>
    <xf numFmtId="0" fontId="5" fillId="0" borderId="0" xfId="0" applyNumberFormat="1" applyFont="1" applyAlignment="1" applyProtection="1">
      <protection locked="0"/>
    </xf>
    <xf numFmtId="0" fontId="5" fillId="0" borderId="0" xfId="0" applyNumberFormat="1" applyFont="1" applyFill="1" applyAlignment="1" applyProtection="1">
      <alignment vertical="top" wrapText="1"/>
      <protection locked="0"/>
    </xf>
    <xf numFmtId="0" fontId="0" fillId="0" borderId="0" xfId="0" applyNumberFormat="1" applyFill="1" applyBorder="1" applyAlignment="1" applyProtection="1">
      <alignment horizontal="center"/>
      <protection locked="0"/>
    </xf>
    <xf numFmtId="0" fontId="0" fillId="0" borderId="0" xfId="0" applyNumberFormat="1" applyFont="1" applyFill="1" applyBorder="1" applyAlignment="1" applyProtection="1">
      <alignment horizontal="center"/>
      <protection locked="0"/>
    </xf>
    <xf numFmtId="0" fontId="9" fillId="0" borderId="0" xfId="0" applyNumberFormat="1" applyFont="1" applyFill="1" applyAlignment="1" applyProtection="1">
      <alignment horizontal="right"/>
      <protection locked="0"/>
    </xf>
    <xf numFmtId="0" fontId="5" fillId="0" borderId="0" xfId="0" applyNumberFormat="1" applyFont="1" applyAlignment="1" applyProtection="1">
      <alignment wrapText="1"/>
      <protection locked="0"/>
    </xf>
    <xf numFmtId="0" fontId="5" fillId="0" borderId="0" xfId="0" applyNumberFormat="1" applyFont="1" applyFill="1" applyAlignment="1" applyProtection="1">
      <alignment horizontal="left" wrapText="1"/>
      <protection locked="0"/>
    </xf>
    <xf numFmtId="0" fontId="86" fillId="0" borderId="0" xfId="240" applyFont="1" applyAlignment="1">
      <alignment horizontal="center"/>
    </xf>
    <xf numFmtId="173" fontId="18" fillId="0" borderId="9" xfId="0" applyFont="1" applyBorder="1" applyAlignment="1">
      <alignment horizontal="center"/>
    </xf>
    <xf numFmtId="173" fontId="18" fillId="0" borderId="10" xfId="0" applyFont="1" applyBorder="1" applyAlignment="1">
      <alignment horizontal="center"/>
    </xf>
    <xf numFmtId="173" fontId="18" fillId="0" borderId="19" xfId="0" applyFont="1" applyBorder="1" applyAlignment="1">
      <alignment horizontal="center"/>
    </xf>
    <xf numFmtId="173" fontId="18" fillId="0" borderId="20" xfId="0" applyFont="1" applyBorder="1" applyAlignment="1">
      <alignment horizontal="center"/>
    </xf>
    <xf numFmtId="0" fontId="6" fillId="0" borderId="0" xfId="0" applyNumberFormat="1" applyFont="1" applyAlignment="1" applyProtection="1">
      <alignment horizontal="right"/>
      <protection locked="0"/>
    </xf>
    <xf numFmtId="0" fontId="6" fillId="0" borderId="0" xfId="0" applyNumberFormat="1" applyFont="1" applyFill="1" applyAlignment="1" applyProtection="1">
      <alignment horizontal="right"/>
      <protection locked="0"/>
    </xf>
    <xf numFmtId="0" fontId="6" fillId="0" borderId="0" xfId="0" applyNumberFormat="1" applyFont="1" applyAlignment="1" applyProtection="1">
      <alignment horizontal="right"/>
      <protection locked="0"/>
    </xf>
    <xf numFmtId="0" fontId="6" fillId="0" borderId="0" xfId="0" applyNumberFormat="1" applyFont="1" applyProtection="1">
      <protection locked="0"/>
    </xf>
    <xf numFmtId="3" fontId="6" fillId="0" borderId="0" xfId="0" applyNumberFormat="1" applyFont="1" applyFill="1" applyAlignment="1" applyProtection="1">
      <alignment horizontal="right"/>
      <protection locked="0"/>
    </xf>
    <xf numFmtId="0" fontId="6" fillId="0" borderId="0" xfId="0" applyNumberFormat="1" applyFont="1" applyFill="1" applyAlignment="1" applyProtection="1">
      <protection locked="0"/>
    </xf>
    <xf numFmtId="0" fontId="6" fillId="0" borderId="0" xfId="0" applyNumberFormat="1" applyFont="1" applyFill="1" applyProtection="1">
      <protection locked="0"/>
    </xf>
    <xf numFmtId="0" fontId="6" fillId="0" borderId="0" xfId="0" applyNumberFormat="1" applyFont="1" applyFill="1" applyAlignment="1" applyProtection="1">
      <alignment horizontal="right"/>
      <protection locked="0"/>
    </xf>
    <xf numFmtId="0" fontId="6" fillId="0" borderId="0" xfId="0" applyNumberFormat="1" applyFont="1" applyFill="1" applyAlignment="1" applyProtection="1">
      <alignment horizontal="right"/>
    </xf>
    <xf numFmtId="0" fontId="6" fillId="0" borderId="0" xfId="0" applyNumberFormat="1" applyFont="1" applyFill="1" applyAlignment="1" applyProtection="1">
      <alignment horizontal="right"/>
    </xf>
    <xf numFmtId="0" fontId="6" fillId="2" borderId="0" xfId="0" applyNumberFormat="1" applyFont="1" applyFill="1" applyAlignment="1" applyProtection="1">
      <alignment horizontal="right"/>
      <protection locked="0"/>
    </xf>
    <xf numFmtId="49" fontId="6" fillId="3" borderId="0" xfId="0" applyNumberFormat="1" applyFont="1" applyFill="1" applyProtection="1">
      <protection locked="0"/>
    </xf>
  </cellXfs>
  <cellStyles count="1091">
    <cellStyle name="=C:\WINNT35\SYSTEM32\COMMAND.COM" xfId="243"/>
    <cellStyle name="20% - Accent1 2" xfId="5"/>
    <cellStyle name="20% - Accent1 3" xfId="6"/>
    <cellStyle name="20% - Accent1 4" xfId="7"/>
    <cellStyle name="20% - Accent1 5" xfId="8"/>
    <cellStyle name="20% - Accent1 6" xfId="9"/>
    <cellStyle name="20% - Accent2 2" xfId="10"/>
    <cellStyle name="20% - Accent2 3" xfId="11"/>
    <cellStyle name="20% - Accent2 4" xfId="12"/>
    <cellStyle name="20% - Accent2 5" xfId="13"/>
    <cellStyle name="20% - Accent2 6" xfId="14"/>
    <cellStyle name="20% - Accent3 2" xfId="15"/>
    <cellStyle name="20% - Accent3 3" xfId="16"/>
    <cellStyle name="20% - Accent3 4" xfId="17"/>
    <cellStyle name="20% - Accent3 5" xfId="18"/>
    <cellStyle name="20% - Accent3 6" xfId="19"/>
    <cellStyle name="20% - Accent4 2" xfId="20"/>
    <cellStyle name="20% - Accent4 3" xfId="21"/>
    <cellStyle name="20% - Accent4 4" xfId="22"/>
    <cellStyle name="20% - Accent4 5" xfId="23"/>
    <cellStyle name="20% - Accent4 6" xfId="24"/>
    <cellStyle name="20% - Accent5 2" xfId="25"/>
    <cellStyle name="20% - Accent5 3" xfId="26"/>
    <cellStyle name="20% - Accent5 4" xfId="27"/>
    <cellStyle name="20% - Accent5 5" xfId="28"/>
    <cellStyle name="20% - Accent5 6" xfId="29"/>
    <cellStyle name="20% - Accent6 2" xfId="30"/>
    <cellStyle name="20% - Accent6 3" xfId="31"/>
    <cellStyle name="20% - Accent6 4" xfId="32"/>
    <cellStyle name="20% - Accent6 5" xfId="33"/>
    <cellStyle name="20% - Accent6 6" xfId="34"/>
    <cellStyle name="40% - Accent1 2" xfId="35"/>
    <cellStyle name="40% - Accent1 3" xfId="36"/>
    <cellStyle name="40% - Accent1 4" xfId="37"/>
    <cellStyle name="40% - Accent1 5" xfId="38"/>
    <cellStyle name="40% - Accent1 6" xfId="39"/>
    <cellStyle name="40% - Accent2 2" xfId="40"/>
    <cellStyle name="40% - Accent2 3" xfId="41"/>
    <cellStyle name="40% - Accent2 4" xfId="42"/>
    <cellStyle name="40% - Accent2 5" xfId="43"/>
    <cellStyle name="40% - Accent2 6" xfId="44"/>
    <cellStyle name="40% - Accent3 2" xfId="45"/>
    <cellStyle name="40% - Accent3 3" xfId="46"/>
    <cellStyle name="40% - Accent3 4" xfId="47"/>
    <cellStyle name="40% - Accent3 5" xfId="48"/>
    <cellStyle name="40% - Accent3 6" xfId="49"/>
    <cellStyle name="40% - Accent4 2" xfId="50"/>
    <cellStyle name="40% - Accent4 3" xfId="51"/>
    <cellStyle name="40% - Accent4 4" xfId="52"/>
    <cellStyle name="40% - Accent4 5" xfId="53"/>
    <cellStyle name="40% - Accent4 6" xfId="54"/>
    <cellStyle name="40% - Accent5 2" xfId="55"/>
    <cellStyle name="40% - Accent5 3" xfId="56"/>
    <cellStyle name="40% - Accent5 4" xfId="57"/>
    <cellStyle name="40% - Accent5 5" xfId="58"/>
    <cellStyle name="40% - Accent5 6" xfId="59"/>
    <cellStyle name="40% - Accent6 2" xfId="60"/>
    <cellStyle name="40% - Accent6 3" xfId="61"/>
    <cellStyle name="40% - Accent6 4" xfId="62"/>
    <cellStyle name="40% - Accent6 5" xfId="63"/>
    <cellStyle name="40% - Accent6 6" xfId="64"/>
    <cellStyle name="60% - Accent1 2" xfId="65"/>
    <cellStyle name="60% - Accent2 2" xfId="66"/>
    <cellStyle name="60% - Accent3 2" xfId="67"/>
    <cellStyle name="60% - Accent4 2" xfId="68"/>
    <cellStyle name="60% - Accent5 2" xfId="69"/>
    <cellStyle name="60% - Accent6 2" xfId="70"/>
    <cellStyle name="Accent1 2" xfId="71"/>
    <cellStyle name="Accent2 2" xfId="72"/>
    <cellStyle name="Accent3 2" xfId="73"/>
    <cellStyle name="Accent4 2" xfId="74"/>
    <cellStyle name="Accent5 2" xfId="75"/>
    <cellStyle name="Accent6 2" xfId="76"/>
    <cellStyle name="Bad 2" xfId="77"/>
    <cellStyle name="black" xfId="244"/>
    <cellStyle name="blu" xfId="245"/>
    <cellStyle name="bot" xfId="246"/>
    <cellStyle name="Bullet" xfId="247"/>
    <cellStyle name="c" xfId="248"/>
    <cellStyle name="c," xfId="249"/>
    <cellStyle name="c_HardInc " xfId="250"/>
    <cellStyle name="C00A" xfId="78"/>
    <cellStyle name="C00B" xfId="79"/>
    <cellStyle name="C00L" xfId="80"/>
    <cellStyle name="C01A" xfId="81"/>
    <cellStyle name="C01B" xfId="82"/>
    <cellStyle name="C01H" xfId="83"/>
    <cellStyle name="C01L" xfId="84"/>
    <cellStyle name="C02A" xfId="85"/>
    <cellStyle name="C02A 2" xfId="251"/>
    <cellStyle name="C02A 2 2" xfId="252"/>
    <cellStyle name="C02A 2 2 2" xfId="253"/>
    <cellStyle name="C02A 2 3" xfId="254"/>
    <cellStyle name="C02A 2 4" xfId="255"/>
    <cellStyle name="C02A 2 5" xfId="256"/>
    <cellStyle name="C02A 2 6" xfId="257"/>
    <cellStyle name="C02A 3" xfId="258"/>
    <cellStyle name="C02A 3 2" xfId="259"/>
    <cellStyle name="C02A 4" xfId="260"/>
    <cellStyle name="C02A 4 2" xfId="261"/>
    <cellStyle name="C02B" xfId="86"/>
    <cellStyle name="C02H" xfId="87"/>
    <cellStyle name="C02L" xfId="88"/>
    <cellStyle name="C03A" xfId="89"/>
    <cellStyle name="C03B" xfId="90"/>
    <cellStyle name="C03H" xfId="91"/>
    <cellStyle name="C03L" xfId="92"/>
    <cellStyle name="C04A" xfId="93"/>
    <cellStyle name="C04B" xfId="94"/>
    <cellStyle name="C04H" xfId="95"/>
    <cellStyle name="C04L" xfId="96"/>
    <cellStyle name="C05A" xfId="97"/>
    <cellStyle name="C05B" xfId="98"/>
    <cellStyle name="C05H" xfId="99"/>
    <cellStyle name="C05L" xfId="100"/>
    <cellStyle name="C06A" xfId="101"/>
    <cellStyle name="C06B" xfId="102"/>
    <cellStyle name="C06H" xfId="103"/>
    <cellStyle name="C06L" xfId="104"/>
    <cellStyle name="C07A" xfId="105"/>
    <cellStyle name="C07B" xfId="106"/>
    <cellStyle name="C07H" xfId="107"/>
    <cellStyle name="C07L" xfId="108"/>
    <cellStyle name="c1" xfId="262"/>
    <cellStyle name="c1," xfId="263"/>
    <cellStyle name="c2" xfId="264"/>
    <cellStyle name="c2," xfId="265"/>
    <cellStyle name="c3" xfId="266"/>
    <cellStyle name="Calc Currency (0)" xfId="109"/>
    <cellStyle name="Calculation 2" xfId="110"/>
    <cellStyle name="Calculation 2 2" xfId="267"/>
    <cellStyle name="Calculation 2 2 2" xfId="268"/>
    <cellStyle name="Calculation 2 2 2 2" xfId="269"/>
    <cellStyle name="Calculation 2 2 2 2 2" xfId="270"/>
    <cellStyle name="Calculation 2 2 2 3" xfId="271"/>
    <cellStyle name="Calculation 2 2 2 3 2" xfId="272"/>
    <cellStyle name="Calculation 2 2 2 4" xfId="273"/>
    <cellStyle name="Calculation 2 2 3" xfId="274"/>
    <cellStyle name="Calculation 2 2 3 2" xfId="275"/>
    <cellStyle name="Calculation 2 2 4" xfId="276"/>
    <cellStyle name="Calculation 2 2 4 2" xfId="277"/>
    <cellStyle name="Calculation 2 2 5" xfId="278"/>
    <cellStyle name="Calculation 2 2 6" xfId="279"/>
    <cellStyle name="Calculation 2 3" xfId="280"/>
    <cellStyle name="Calculation 2 3 2" xfId="281"/>
    <cellStyle name="Calculation 2 3 2 2" xfId="282"/>
    <cellStyle name="Calculation 2 3 2 2 2" xfId="283"/>
    <cellStyle name="Calculation 2 3 2 3" xfId="284"/>
    <cellStyle name="Calculation 2 3 2 3 2" xfId="285"/>
    <cellStyle name="Calculation 2 3 2 4" xfId="286"/>
    <cellStyle name="Calculation 2 3 3" xfId="287"/>
    <cellStyle name="Calculation 2 3 3 2" xfId="288"/>
    <cellStyle name="Calculation 2 3 4" xfId="289"/>
    <cellStyle name="Calculation 2 3 4 2" xfId="290"/>
    <cellStyle name="Calculation 2 3 5" xfId="291"/>
    <cellStyle name="Calculation 2 4" xfId="292"/>
    <cellStyle name="Calculation 2 4 2" xfId="293"/>
    <cellStyle name="Calculation 2 4 2 2" xfId="294"/>
    <cellStyle name="Calculation 2 4 3" xfId="295"/>
    <cellStyle name="Calculation 2 4 3 2" xfId="296"/>
    <cellStyle name="Calculation 2 4 4" xfId="297"/>
    <cellStyle name="Calculation 2 4 4 2" xfId="298"/>
    <cellStyle name="Calculation 2 4 5" xfId="299"/>
    <cellStyle name="Calculation 2 5" xfId="300"/>
    <cellStyle name="Calculation 2 5 2" xfId="301"/>
    <cellStyle name="Calculation 2 5 2 2" xfId="302"/>
    <cellStyle name="Calculation 2 5 3" xfId="303"/>
    <cellStyle name="Calculation 2 5 3 2" xfId="304"/>
    <cellStyle name="Calculation 2 5 4" xfId="305"/>
    <cellStyle name="Calculation 2 6" xfId="306"/>
    <cellStyle name="Calculation 2 6 2" xfId="307"/>
    <cellStyle name="Calculation 2 7" xfId="308"/>
    <cellStyle name="Calculation 2 7 2" xfId="309"/>
    <cellStyle name="Calculation 2 8" xfId="310"/>
    <cellStyle name="cas" xfId="311"/>
    <cellStyle name="Centered Heading" xfId="312"/>
    <cellStyle name="Check Cell 2" xfId="111"/>
    <cellStyle name="Comma" xfId="2" builtinId="3"/>
    <cellStyle name="Comma [0] 2" xfId="112"/>
    <cellStyle name="Comma [0] 2 2" xfId="113"/>
    <cellStyle name="Comma [0] 2 3" xfId="313"/>
    <cellStyle name="Comma [0] 2 4" xfId="314"/>
    <cellStyle name="Comma [0] 3" xfId="315"/>
    <cellStyle name="Comma [0] 3 2" xfId="316"/>
    <cellStyle name="Comma [0] 3 2 2" xfId="317"/>
    <cellStyle name="Comma [0] 3 3" xfId="318"/>
    <cellStyle name="Comma [0] 4" xfId="319"/>
    <cellStyle name="Comma [0] 4 2" xfId="320"/>
    <cellStyle name="Comma [0] 5" xfId="321"/>
    <cellStyle name="Comma 0.0" xfId="322"/>
    <cellStyle name="Comma 0.00" xfId="323"/>
    <cellStyle name="Comma 0.000" xfId="324"/>
    <cellStyle name="Comma 0.0000" xfId="325"/>
    <cellStyle name="Comma 10" xfId="114"/>
    <cellStyle name="Comma 11" xfId="115"/>
    <cellStyle name="Comma 12" xfId="242"/>
    <cellStyle name="Comma 12 2" xfId="326"/>
    <cellStyle name="Comma 12 2 2" xfId="327"/>
    <cellStyle name="Comma 12 3" xfId="328"/>
    <cellStyle name="Comma 13" xfId="329"/>
    <cellStyle name="Comma 14" xfId="330"/>
    <cellStyle name="Comma 15" xfId="331"/>
    <cellStyle name="Comma 16" xfId="332"/>
    <cellStyle name="Comma 17" xfId="333"/>
    <cellStyle name="Comma 18" xfId="334"/>
    <cellStyle name="Comma 18 2" xfId="335"/>
    <cellStyle name="Comma 19" xfId="336"/>
    <cellStyle name="Comma 2" xfId="116"/>
    <cellStyle name="Comma 2 2" xfId="117"/>
    <cellStyle name="Comma 2 2 2" xfId="118"/>
    <cellStyle name="Comma 2 2 3" xfId="337"/>
    <cellStyle name="Comma 2 3" xfId="119"/>
    <cellStyle name="Comma 2 4" xfId="338"/>
    <cellStyle name="Comma 20" xfId="339"/>
    <cellStyle name="Comma 21" xfId="340"/>
    <cellStyle name="Comma 22" xfId="341"/>
    <cellStyle name="Comma 23" xfId="342"/>
    <cellStyle name="Comma 24" xfId="343"/>
    <cellStyle name="Comma 25" xfId="344"/>
    <cellStyle name="Comma 26" xfId="345"/>
    <cellStyle name="Comma 27" xfId="346"/>
    <cellStyle name="Comma 3" xfId="120"/>
    <cellStyle name="Comma 3 2" xfId="121"/>
    <cellStyle name="Comma 3 3" xfId="233"/>
    <cellStyle name="Comma 3 3 2" xfId="238"/>
    <cellStyle name="Comma 3 3 2 2" xfId="347"/>
    <cellStyle name="Comma 3 3 3" xfId="348"/>
    <cellStyle name="Comma 3 4" xfId="349"/>
    <cellStyle name="Comma 3 5" xfId="350"/>
    <cellStyle name="Comma 3 5 2" xfId="351"/>
    <cellStyle name="Comma 4" xfId="122"/>
    <cellStyle name="Comma 4 2" xfId="352"/>
    <cellStyle name="Comma 4 3" xfId="353"/>
    <cellStyle name="Comma 5" xfId="123"/>
    <cellStyle name="Comma 6" xfId="124"/>
    <cellStyle name="Comma 7" xfId="125"/>
    <cellStyle name="Comma 8" xfId="126"/>
    <cellStyle name="Comma 9" xfId="127"/>
    <cellStyle name="Comma0" xfId="128"/>
    <cellStyle name="Company Name" xfId="354"/>
    <cellStyle name="Config Data" xfId="355"/>
    <cellStyle name="Copied" xfId="129"/>
    <cellStyle name="COSS" xfId="130"/>
    <cellStyle name="Currency" xfId="1" builtinId="4"/>
    <cellStyle name="Currency 0.0" xfId="356"/>
    <cellStyle name="Currency 0.00" xfId="357"/>
    <cellStyle name="Currency 0.000" xfId="358"/>
    <cellStyle name="Currency 0.0000" xfId="359"/>
    <cellStyle name="Currency 10" xfId="360"/>
    <cellStyle name="Currency 11" xfId="361"/>
    <cellStyle name="Currency 12" xfId="362"/>
    <cellStyle name="Currency 13" xfId="363"/>
    <cellStyle name="Currency 14" xfId="364"/>
    <cellStyle name="Currency 15" xfId="365"/>
    <cellStyle name="Currency 16" xfId="366"/>
    <cellStyle name="Currency 17" xfId="367"/>
    <cellStyle name="Currency 18" xfId="368"/>
    <cellStyle name="Currency 19" xfId="369"/>
    <cellStyle name="Currency 2" xfId="131"/>
    <cellStyle name="Currency 2 2" xfId="370"/>
    <cellStyle name="Currency 20" xfId="371"/>
    <cellStyle name="Currency 21" xfId="372"/>
    <cellStyle name="Currency 22" xfId="373"/>
    <cellStyle name="Currency 3" xfId="132"/>
    <cellStyle name="Currency 3 2" xfId="232"/>
    <cellStyle name="Currency 3 2 2" xfId="237"/>
    <cellStyle name="Currency 3 2 2 2" xfId="374"/>
    <cellStyle name="Currency 3 2 3" xfId="375"/>
    <cellStyle name="Currency 3 3" xfId="376"/>
    <cellStyle name="Currency 3 3 2" xfId="377"/>
    <cellStyle name="Currency 3 4" xfId="378"/>
    <cellStyle name="Currency 4" xfId="133"/>
    <cellStyle name="Currency 4 2" xfId="379"/>
    <cellStyle name="Currency 4 3" xfId="380"/>
    <cellStyle name="Currency 5" xfId="381"/>
    <cellStyle name="Currency 5 2" xfId="382"/>
    <cellStyle name="Currency 5 2 2" xfId="383"/>
    <cellStyle name="Currency 5 3" xfId="384"/>
    <cellStyle name="Currency 6" xfId="385"/>
    <cellStyle name="Currency 7" xfId="386"/>
    <cellStyle name="Currency 8" xfId="387"/>
    <cellStyle name="Currency 9" xfId="388"/>
    <cellStyle name="Currency0" xfId="134"/>
    <cellStyle name="d" xfId="389"/>
    <cellStyle name="d," xfId="390"/>
    <cellStyle name="d1" xfId="391"/>
    <cellStyle name="d1," xfId="392"/>
    <cellStyle name="d2" xfId="393"/>
    <cellStyle name="d2," xfId="394"/>
    <cellStyle name="d3" xfId="395"/>
    <cellStyle name="Dash" xfId="396"/>
    <cellStyle name="Date" xfId="135"/>
    <cellStyle name="Date 2" xfId="136"/>
    <cellStyle name="Define$0" xfId="397"/>
    <cellStyle name="Define$1" xfId="398"/>
    <cellStyle name="Define$2" xfId="399"/>
    <cellStyle name="Define0" xfId="400"/>
    <cellStyle name="Define1" xfId="401"/>
    <cellStyle name="Define1x" xfId="402"/>
    <cellStyle name="Define2" xfId="403"/>
    <cellStyle name="Define2x" xfId="404"/>
    <cellStyle name="Dollar" xfId="405"/>
    <cellStyle name="e" xfId="406"/>
    <cellStyle name="e1" xfId="407"/>
    <cellStyle name="e2" xfId="408"/>
    <cellStyle name="Entered" xfId="137"/>
    <cellStyle name="Euro" xfId="409"/>
    <cellStyle name="Explanatory Text 2" xfId="138"/>
    <cellStyle name="Fixed" xfId="139"/>
    <cellStyle name="g" xfId="410"/>
    <cellStyle name="general" xfId="411"/>
    <cellStyle name="Good 2" xfId="140"/>
    <cellStyle name="Green" xfId="412"/>
    <cellStyle name="Grey" xfId="141"/>
    <cellStyle name="Grey 2" xfId="413"/>
    <cellStyle name="grey 3" xfId="414"/>
    <cellStyle name="grey 4" xfId="415"/>
    <cellStyle name="grey 5" xfId="416"/>
    <cellStyle name="Header1" xfId="142"/>
    <cellStyle name="Header2" xfId="143"/>
    <cellStyle name="Header2 2" xfId="417"/>
    <cellStyle name="Header2 2 2" xfId="418"/>
    <cellStyle name="Header2 2 2 2" xfId="419"/>
    <cellStyle name="Header2 2 2 2 2" xfId="420"/>
    <cellStyle name="Header2 2 2 2 3" xfId="421"/>
    <cellStyle name="Header2 2 2 3" xfId="422"/>
    <cellStyle name="Header2 2 2 3 2" xfId="423"/>
    <cellStyle name="Header2 2 3" xfId="424"/>
    <cellStyle name="Header2 2 3 2" xfId="425"/>
    <cellStyle name="Header2 2 4" xfId="426"/>
    <cellStyle name="Header2 2 4 2" xfId="427"/>
    <cellStyle name="Header2 2 5" xfId="428"/>
    <cellStyle name="Header2 2 6" xfId="429"/>
    <cellStyle name="Header2 3" xfId="430"/>
    <cellStyle name="Header2 3 2" xfId="431"/>
    <cellStyle name="Header2 3 2 2" xfId="432"/>
    <cellStyle name="Header2 3 2 2 2" xfId="433"/>
    <cellStyle name="Header2 3 2 2 3" xfId="434"/>
    <cellStyle name="Header2 3 2 3" xfId="435"/>
    <cellStyle name="Header2 3 2 3 2" xfId="436"/>
    <cellStyle name="Header2 3 3" xfId="437"/>
    <cellStyle name="Header2 3 3 2" xfId="438"/>
    <cellStyle name="Header2 3 4" xfId="439"/>
    <cellStyle name="Header2 3 5" xfId="440"/>
    <cellStyle name="Header2 4" xfId="441"/>
    <cellStyle name="Header2 4 2" xfId="442"/>
    <cellStyle name="Header2 4 2 2" xfId="443"/>
    <cellStyle name="Header2 4 2 2 2" xfId="444"/>
    <cellStyle name="Header2 4 2 2 3" xfId="445"/>
    <cellStyle name="Header2 4 2 3" xfId="446"/>
    <cellStyle name="Header2 4 2 3 2" xfId="447"/>
    <cellStyle name="Header2 4 3" xfId="448"/>
    <cellStyle name="Header2 4 3 2" xfId="449"/>
    <cellStyle name="Header2 4 4" xfId="450"/>
    <cellStyle name="Header2 4 5" xfId="451"/>
    <cellStyle name="Header2 5" xfId="452"/>
    <cellStyle name="Header2 5 2" xfId="453"/>
    <cellStyle name="Header2 5 2 2" xfId="454"/>
    <cellStyle name="Header2 5 3" xfId="455"/>
    <cellStyle name="Header2 5 3 2" xfId="456"/>
    <cellStyle name="Header2 5 3 3" xfId="457"/>
    <cellStyle name="Header2 5 4" xfId="458"/>
    <cellStyle name="Header2 5 4 2" xfId="459"/>
    <cellStyle name="Header2 6" xfId="460"/>
    <cellStyle name="Header2 6 2" xfId="461"/>
    <cellStyle name="Header2 6 2 2" xfId="462"/>
    <cellStyle name="Header2 6 2 3" xfId="463"/>
    <cellStyle name="Header2 7" xfId="464"/>
    <cellStyle name="Header2 7 2" xfId="465"/>
    <cellStyle name="Header2 8" xfId="466"/>
    <cellStyle name="Header2 9" xfId="467"/>
    <cellStyle name="Heading" xfId="468"/>
    <cellStyle name="Heading 1 2" xfId="144"/>
    <cellStyle name="Heading 1 3" xfId="145"/>
    <cellStyle name="Heading 2 2" xfId="146"/>
    <cellStyle name="Heading 2 3" xfId="147"/>
    <cellStyle name="Heading 3 2" xfId="148"/>
    <cellStyle name="Heading 4 2" xfId="149"/>
    <cellStyle name="Heading No Underline" xfId="469"/>
    <cellStyle name="Heading With Underline" xfId="470"/>
    <cellStyle name="Heading1" xfId="150"/>
    <cellStyle name="Heading2" xfId="151"/>
    <cellStyle name="Headline" xfId="471"/>
    <cellStyle name="Highlight" xfId="472"/>
    <cellStyle name="in" xfId="473"/>
    <cellStyle name="in 2" xfId="474"/>
    <cellStyle name="in 2 2" xfId="475"/>
    <cellStyle name="in 2 2 2" xfId="476"/>
    <cellStyle name="in 2 2 3" xfId="477"/>
    <cellStyle name="in 2 3" xfId="478"/>
    <cellStyle name="in 2 3 2" xfId="479"/>
    <cellStyle name="in 2 3 3" xfId="480"/>
    <cellStyle name="in 3" xfId="481"/>
    <cellStyle name="in 3 2" xfId="482"/>
    <cellStyle name="in 3 2 2" xfId="483"/>
    <cellStyle name="in 3 2 3" xfId="484"/>
    <cellStyle name="in 3 3" xfId="485"/>
    <cellStyle name="in 3 4" xfId="486"/>
    <cellStyle name="in 4" xfId="487"/>
    <cellStyle name="in 4 2" xfId="488"/>
    <cellStyle name="in 4 3" xfId="489"/>
    <cellStyle name="Input [yellow]" xfId="152"/>
    <cellStyle name="Input [yellow] 2" xfId="490"/>
    <cellStyle name="Input [yellow] 2 2" xfId="491"/>
    <cellStyle name="Input [yellow] 2 2 2" xfId="492"/>
    <cellStyle name="Input [yellow] 2 2 3" xfId="493"/>
    <cellStyle name="Input [yellow] 2 3" xfId="494"/>
    <cellStyle name="Input [yellow] 2 3 2" xfId="495"/>
    <cellStyle name="Input [yellow] 2 3 3" xfId="496"/>
    <cellStyle name="Input [yellow] 2 4" xfId="497"/>
    <cellStyle name="Input [yellow] 2 5" xfId="498"/>
    <cellStyle name="Input [yellow] 3" xfId="499"/>
    <cellStyle name="Input [yellow] 3 2" xfId="500"/>
    <cellStyle name="Input [yellow] 3 2 2" xfId="501"/>
    <cellStyle name="Input [yellow] 3 2 2 2" xfId="502"/>
    <cellStyle name="Input [yellow] 3 2 2 3" xfId="503"/>
    <cellStyle name="Input [yellow] 3 2 3" xfId="504"/>
    <cellStyle name="Input [yellow] 3 2 3 2" xfId="505"/>
    <cellStyle name="Input [yellow] 3 2 3 3" xfId="506"/>
    <cellStyle name="Input [yellow] 3 3" xfId="507"/>
    <cellStyle name="Input [yellow] 3 3 2" xfId="508"/>
    <cellStyle name="Input [yellow] 3 3 2 2" xfId="509"/>
    <cellStyle name="Input [yellow] 3 3 2 3" xfId="510"/>
    <cellStyle name="Input [yellow] 3 3 3" xfId="511"/>
    <cellStyle name="Input [yellow] 3 3 4" xfId="512"/>
    <cellStyle name="Input [yellow] 3 4" xfId="513"/>
    <cellStyle name="Input [yellow] 3 4 2" xfId="514"/>
    <cellStyle name="Input [yellow] 3 4 3" xfId="515"/>
    <cellStyle name="Input [yellow] 4" xfId="516"/>
    <cellStyle name="Input [yellow] 4 2" xfId="517"/>
    <cellStyle name="Input [yellow] 4 2 2" xfId="518"/>
    <cellStyle name="Input [yellow] 4 2 2 2" xfId="519"/>
    <cellStyle name="Input [yellow] 4 2 2 3" xfId="520"/>
    <cellStyle name="Input [yellow] 4 2 3" xfId="521"/>
    <cellStyle name="Input [yellow] 4 2 4" xfId="522"/>
    <cellStyle name="Input [yellow] 4 3" xfId="523"/>
    <cellStyle name="Input [yellow] 4 3 2" xfId="524"/>
    <cellStyle name="Input [yellow] 4 3 3" xfId="525"/>
    <cellStyle name="Input [yellow] 4 4" xfId="526"/>
    <cellStyle name="Input [yellow] 4 5" xfId="527"/>
    <cellStyle name="Input [yellow] 5" xfId="528"/>
    <cellStyle name="Input [yellow] 5 2" xfId="529"/>
    <cellStyle name="Input [yellow] 5 2 2" xfId="530"/>
    <cellStyle name="Input [yellow] 5 2 2 2" xfId="531"/>
    <cellStyle name="Input [yellow] 5 2 2 3" xfId="532"/>
    <cellStyle name="Input [yellow] 5 2 3" xfId="533"/>
    <cellStyle name="Input [yellow] 5 2 4" xfId="534"/>
    <cellStyle name="Input [yellow] 5 3" xfId="535"/>
    <cellStyle name="Input [yellow] 5 3 2" xfId="536"/>
    <cellStyle name="Input [yellow] 5 3 3" xfId="537"/>
    <cellStyle name="Input [yellow] 6" xfId="538"/>
    <cellStyle name="Input [yellow] 7" xfId="539"/>
    <cellStyle name="Input 2" xfId="153"/>
    <cellStyle name="Input 2 2" xfId="540"/>
    <cellStyle name="Input 2 2 2" xfId="541"/>
    <cellStyle name="Input 2 2 2 2" xfId="542"/>
    <cellStyle name="Input 2 2 2 2 2" xfId="543"/>
    <cellStyle name="Input 2 2 2 2 3" xfId="544"/>
    <cellStyle name="Input 2 2 2 3" xfId="545"/>
    <cellStyle name="Input 2 2 2 3 2" xfId="546"/>
    <cellStyle name="Input 2 2 2 3 3" xfId="547"/>
    <cellStyle name="Input 2 2 3" xfId="548"/>
    <cellStyle name="Input 2 2 3 2" xfId="549"/>
    <cellStyle name="Input 2 2 3 3" xfId="550"/>
    <cellStyle name="Input 2 2 4" xfId="551"/>
    <cellStyle name="Input 2 2 4 2" xfId="552"/>
    <cellStyle name="Input 2 2 4 3" xfId="553"/>
    <cellStyle name="Input 2 2 5" xfId="554"/>
    <cellStyle name="Input 2 2 6" xfId="555"/>
    <cellStyle name="Input 2 3" xfId="556"/>
    <cellStyle name="Input 2 3 2" xfId="557"/>
    <cellStyle name="Input 2 3 2 2" xfId="558"/>
    <cellStyle name="Input 2 3 2 2 2" xfId="559"/>
    <cellStyle name="Input 2 3 2 2 3" xfId="560"/>
    <cellStyle name="Input 2 3 2 3" xfId="561"/>
    <cellStyle name="Input 2 3 2 3 2" xfId="562"/>
    <cellStyle name="Input 2 3 2 3 3" xfId="563"/>
    <cellStyle name="Input 2 3 3" xfId="564"/>
    <cellStyle name="Input 2 3 3 2" xfId="565"/>
    <cellStyle name="Input 2 3 3 3" xfId="566"/>
    <cellStyle name="Input 2 3 4" xfId="567"/>
    <cellStyle name="Input 2 3 4 2" xfId="568"/>
    <cellStyle name="Input 2 3 4 3" xfId="569"/>
    <cellStyle name="Input 2 4" xfId="570"/>
    <cellStyle name="Input 2 4 2" xfId="571"/>
    <cellStyle name="Input 2 4 2 2" xfId="572"/>
    <cellStyle name="Input 2 4 2 3" xfId="573"/>
    <cellStyle name="Input 2 4 3" xfId="574"/>
    <cellStyle name="Input 2 4 3 2" xfId="575"/>
    <cellStyle name="Input 2 4 3 3" xfId="576"/>
    <cellStyle name="Input 2 4 4" xfId="577"/>
    <cellStyle name="Input 2 4 4 2" xfId="578"/>
    <cellStyle name="Input 2 4 4 3" xfId="579"/>
    <cellStyle name="Input 2 5" xfId="580"/>
    <cellStyle name="Input 2 5 2" xfId="581"/>
    <cellStyle name="Input 2 5 2 2" xfId="582"/>
    <cellStyle name="Input 2 5 2 3" xfId="583"/>
    <cellStyle name="Input 2 5 3" xfId="584"/>
    <cellStyle name="Input 2 5 3 2" xfId="585"/>
    <cellStyle name="Input 2 5 3 3" xfId="586"/>
    <cellStyle name="Input 2 6" xfId="587"/>
    <cellStyle name="Input 2 6 2" xfId="588"/>
    <cellStyle name="Input 2 6 3" xfId="589"/>
    <cellStyle name="Input 2 7" xfId="590"/>
    <cellStyle name="Input 2 7 2" xfId="591"/>
    <cellStyle name="Input 2 7 3" xfId="592"/>
    <cellStyle name="Input 3" xfId="154"/>
    <cellStyle name="Input 3 2" xfId="593"/>
    <cellStyle name="Input 3 2 2" xfId="594"/>
    <cellStyle name="Input 3 2 2 2" xfId="595"/>
    <cellStyle name="Input 3 2 2 2 2" xfId="596"/>
    <cellStyle name="Input 3 2 2 2 3" xfId="597"/>
    <cellStyle name="Input 3 2 2 3" xfId="598"/>
    <cellStyle name="Input 3 2 2 3 2" xfId="599"/>
    <cellStyle name="Input 3 2 2 3 3" xfId="600"/>
    <cellStyle name="Input 3 2 3" xfId="601"/>
    <cellStyle name="Input 3 2 3 2" xfId="602"/>
    <cellStyle name="Input 3 2 3 3" xfId="603"/>
    <cellStyle name="Input 3 2 4" xfId="604"/>
    <cellStyle name="Input 3 2 4 2" xfId="605"/>
    <cellStyle name="Input 3 2 4 3" xfId="606"/>
    <cellStyle name="Input 3 2 5" xfId="607"/>
    <cellStyle name="Input 3 2 6" xfId="608"/>
    <cellStyle name="Input 3 3" xfId="609"/>
    <cellStyle name="Input 3 3 2" xfId="610"/>
    <cellStyle name="Input 3 3 2 2" xfId="611"/>
    <cellStyle name="Input 3 3 2 2 2" xfId="612"/>
    <cellStyle name="Input 3 3 2 2 3" xfId="613"/>
    <cellStyle name="Input 3 3 2 3" xfId="614"/>
    <cellStyle name="Input 3 3 2 3 2" xfId="615"/>
    <cellStyle name="Input 3 3 2 3 3" xfId="616"/>
    <cellStyle name="Input 3 3 3" xfId="617"/>
    <cellStyle name="Input 3 3 3 2" xfId="618"/>
    <cellStyle name="Input 3 3 3 3" xfId="619"/>
    <cellStyle name="Input 3 3 4" xfId="620"/>
    <cellStyle name="Input 3 3 4 2" xfId="621"/>
    <cellStyle name="Input 3 3 4 3" xfId="622"/>
    <cellStyle name="Input 3 4" xfId="623"/>
    <cellStyle name="Input 3 4 2" xfId="624"/>
    <cellStyle name="Input 3 4 2 2" xfId="625"/>
    <cellStyle name="Input 3 4 2 3" xfId="626"/>
    <cellStyle name="Input 3 4 3" xfId="627"/>
    <cellStyle name="Input 3 4 3 2" xfId="628"/>
    <cellStyle name="Input 3 4 3 3" xfId="629"/>
    <cellStyle name="Input 3 4 4" xfId="630"/>
    <cellStyle name="Input 3 4 4 2" xfId="631"/>
    <cellStyle name="Input 3 4 4 3" xfId="632"/>
    <cellStyle name="Input 3 5" xfId="633"/>
    <cellStyle name="Input 3 5 2" xfId="634"/>
    <cellStyle name="Input 3 5 2 2" xfId="635"/>
    <cellStyle name="Input 3 5 2 3" xfId="636"/>
    <cellStyle name="Input 3 5 3" xfId="637"/>
    <cellStyle name="Input 3 5 3 2" xfId="638"/>
    <cellStyle name="Input 3 5 3 3" xfId="639"/>
    <cellStyle name="Input 3 6" xfId="640"/>
    <cellStyle name="Input 3 6 2" xfId="641"/>
    <cellStyle name="Input 3 6 3" xfId="642"/>
    <cellStyle name="Input 3 7" xfId="643"/>
    <cellStyle name="Input 3 7 2" xfId="644"/>
    <cellStyle name="Input 3 7 3" xfId="645"/>
    <cellStyle name="Input 4" xfId="155"/>
    <cellStyle name="Input 4 2" xfId="646"/>
    <cellStyle name="Input 4 2 2" xfId="647"/>
    <cellStyle name="Input 4 2 2 2" xfId="648"/>
    <cellStyle name="Input 4 2 2 2 2" xfId="649"/>
    <cellStyle name="Input 4 2 2 2 3" xfId="650"/>
    <cellStyle name="Input 4 2 2 3" xfId="651"/>
    <cellStyle name="Input 4 2 2 3 2" xfId="652"/>
    <cellStyle name="Input 4 2 2 3 3" xfId="653"/>
    <cellStyle name="Input 4 2 3" xfId="654"/>
    <cellStyle name="Input 4 2 3 2" xfId="655"/>
    <cellStyle name="Input 4 2 3 3" xfId="656"/>
    <cellStyle name="Input 4 2 4" xfId="657"/>
    <cellStyle name="Input 4 2 4 2" xfId="658"/>
    <cellStyle name="Input 4 2 4 3" xfId="659"/>
    <cellStyle name="Input 4 2 5" xfId="660"/>
    <cellStyle name="Input 4 2 6" xfId="661"/>
    <cellStyle name="Input 4 3" xfId="662"/>
    <cellStyle name="Input 4 3 2" xfId="663"/>
    <cellStyle name="Input 4 3 2 2" xfId="664"/>
    <cellStyle name="Input 4 3 2 2 2" xfId="665"/>
    <cellStyle name="Input 4 3 2 2 3" xfId="666"/>
    <cellStyle name="Input 4 3 2 3" xfId="667"/>
    <cellStyle name="Input 4 3 2 3 2" xfId="668"/>
    <cellStyle name="Input 4 3 2 3 3" xfId="669"/>
    <cellStyle name="Input 4 3 3" xfId="670"/>
    <cellStyle name="Input 4 3 3 2" xfId="671"/>
    <cellStyle name="Input 4 3 3 3" xfId="672"/>
    <cellStyle name="Input 4 3 4" xfId="673"/>
    <cellStyle name="Input 4 3 4 2" xfId="674"/>
    <cellStyle name="Input 4 3 4 3" xfId="675"/>
    <cellStyle name="Input 4 4" xfId="676"/>
    <cellStyle name="Input 4 4 2" xfId="677"/>
    <cellStyle name="Input 4 4 2 2" xfId="678"/>
    <cellStyle name="Input 4 4 2 3" xfId="679"/>
    <cellStyle name="Input 4 4 3" xfId="680"/>
    <cellStyle name="Input 4 4 3 2" xfId="681"/>
    <cellStyle name="Input 4 4 3 3" xfId="682"/>
    <cellStyle name="Input 4 4 4" xfId="683"/>
    <cellStyle name="Input 4 4 4 2" xfId="684"/>
    <cellStyle name="Input 4 4 4 3" xfId="685"/>
    <cellStyle name="Input 4 5" xfId="686"/>
    <cellStyle name="Input 4 5 2" xfId="687"/>
    <cellStyle name="Input 4 5 2 2" xfId="688"/>
    <cellStyle name="Input 4 5 2 3" xfId="689"/>
    <cellStyle name="Input 4 5 3" xfId="690"/>
    <cellStyle name="Input 4 5 3 2" xfId="691"/>
    <cellStyle name="Input 4 5 3 3" xfId="692"/>
    <cellStyle name="Input 4 6" xfId="693"/>
    <cellStyle name="Input 4 6 2" xfId="694"/>
    <cellStyle name="Input 4 6 3" xfId="695"/>
    <cellStyle name="Input 4 7" xfId="696"/>
    <cellStyle name="Input 4 7 2" xfId="697"/>
    <cellStyle name="Input 4 7 3" xfId="698"/>
    <cellStyle name="Input$0" xfId="699"/>
    <cellStyle name="Input$1" xfId="700"/>
    <cellStyle name="Input$2" xfId="701"/>
    <cellStyle name="Input0" xfId="702"/>
    <cellStyle name="Input1" xfId="703"/>
    <cellStyle name="Input1x" xfId="704"/>
    <cellStyle name="Input2" xfId="705"/>
    <cellStyle name="Input2x" xfId="706"/>
    <cellStyle name="lborder" xfId="707"/>
    <cellStyle name="Linked Cell 2" xfId="156"/>
    <cellStyle name="m" xfId="708"/>
    <cellStyle name="m1" xfId="709"/>
    <cellStyle name="m2" xfId="710"/>
    <cellStyle name="m3" xfId="711"/>
    <cellStyle name="Negative" xfId="712"/>
    <cellStyle name="Neutral 2" xfId="157"/>
    <cellStyle name="Normal" xfId="0" builtinId="0"/>
    <cellStyle name="Normal - Style1" xfId="158"/>
    <cellStyle name="Normal 10" xfId="159"/>
    <cellStyle name="Normal 10 2" xfId="713"/>
    <cellStyle name="Normal 11" xfId="160"/>
    <cellStyle name="Normal 11 2" xfId="714"/>
    <cellStyle name="Normal 11 3" xfId="715"/>
    <cellStyle name="Normal 12" xfId="161"/>
    <cellStyle name="Normal 13" xfId="162"/>
    <cellStyle name="Normal 14" xfId="163"/>
    <cellStyle name="Normal 14 8" xfId="716"/>
    <cellStyle name="Normal 14 8 2" xfId="717"/>
    <cellStyle name="Normal 14 8 2 2" xfId="718"/>
    <cellStyle name="Normal 14 8 3" xfId="719"/>
    <cellStyle name="Normal 15" xfId="4"/>
    <cellStyle name="Normal 15 2" xfId="720"/>
    <cellStyle name="Normal 15 2 2" xfId="721"/>
    <cellStyle name="Normal 15 3" xfId="722"/>
    <cellStyle name="Normal 16" xfId="240"/>
    <cellStyle name="Normal 16 2" xfId="723"/>
    <cellStyle name="Normal 16 2 2" xfId="724"/>
    <cellStyle name="Normal 16 3" xfId="725"/>
    <cellStyle name="Normal 17" xfId="726"/>
    <cellStyle name="Normal 18" xfId="727"/>
    <cellStyle name="Normal 19" xfId="728"/>
    <cellStyle name="Normal 2" xfId="164"/>
    <cellStyle name="Normal 2 2" xfId="165"/>
    <cellStyle name="Normal 2 2 2" xfId="729"/>
    <cellStyle name="Normal 2 2 3" xfId="730"/>
    <cellStyle name="Normal 2 3" xfId="166"/>
    <cellStyle name="Normal 2 4" xfId="231"/>
    <cellStyle name="Normal 2 4 2" xfId="236"/>
    <cellStyle name="Normal 2 4 2 2" xfId="731"/>
    <cellStyle name="Normal 2 4 3" xfId="732"/>
    <cellStyle name="Normal 2 5" xfId="733"/>
    <cellStyle name="Normal 2 5 2" xfId="734"/>
    <cellStyle name="Normal 20" xfId="735"/>
    <cellStyle name="Normal 21" xfId="736"/>
    <cellStyle name="Normal 21 2" xfId="737"/>
    <cellStyle name="Normal 22" xfId="738"/>
    <cellStyle name="Normal 23" xfId="739"/>
    <cellStyle name="Normal 24" xfId="740"/>
    <cellStyle name="Normal 25" xfId="741"/>
    <cellStyle name="Normal 26" xfId="742"/>
    <cellStyle name="Normal 27" xfId="743"/>
    <cellStyle name="Normal 28" xfId="744"/>
    <cellStyle name="Normal 29" xfId="745"/>
    <cellStyle name="Normal 3" xfId="167"/>
    <cellStyle name="Normal 3 2" xfId="746"/>
    <cellStyle name="Normal 3 3" xfId="747"/>
    <cellStyle name="Normal 3 4" xfId="748"/>
    <cellStyle name="Normal 3 5" xfId="749"/>
    <cellStyle name="Normal 3 6" xfId="750"/>
    <cellStyle name="Normal 3_ITC-Great Plains Heintz 6-24-08a" xfId="751"/>
    <cellStyle name="Normal 4" xfId="168"/>
    <cellStyle name="Normal 4 2" xfId="169"/>
    <cellStyle name="Normal 4 2 2" xfId="752"/>
    <cellStyle name="Normal 4 2 3" xfId="753"/>
    <cellStyle name="Normal 4 3" xfId="754"/>
    <cellStyle name="Normal 4 4" xfId="755"/>
    <cellStyle name="Normal 4_ITC-Great Plains Heintz 6-24-08a" xfId="756"/>
    <cellStyle name="Normal 5" xfId="170"/>
    <cellStyle name="Normal 5 2" xfId="757"/>
    <cellStyle name="Normal 5 3" xfId="758"/>
    <cellStyle name="Normal 5 4" xfId="759"/>
    <cellStyle name="Normal 6" xfId="171"/>
    <cellStyle name="Normal 6 2" xfId="760"/>
    <cellStyle name="Normal 6 3" xfId="761"/>
    <cellStyle name="Normal 6 3 2" xfId="762"/>
    <cellStyle name="Normal 6 4" xfId="763"/>
    <cellStyle name="Normal 7" xfId="172"/>
    <cellStyle name="Normal 7 2" xfId="764"/>
    <cellStyle name="Normal 7 3" xfId="765"/>
    <cellStyle name="Normal 8" xfId="173"/>
    <cellStyle name="Normal 9" xfId="174"/>
    <cellStyle name="Normal 9 2" xfId="766"/>
    <cellStyle name="Normal 9 2 2" xfId="767"/>
    <cellStyle name="Normal_Attachment O &amp; GG Final 11_11_09" xfId="234"/>
    <cellStyle name="Note 2" xfId="175"/>
    <cellStyle name="Note 2 2" xfId="768"/>
    <cellStyle name="Note 2 2 2" xfId="769"/>
    <cellStyle name="Note 2 2 2 2" xfId="770"/>
    <cellStyle name="Note 2 2 2 2 2" xfId="771"/>
    <cellStyle name="Note 2 2 2 2 3" xfId="772"/>
    <cellStyle name="Note 2 2 2 3" xfId="773"/>
    <cellStyle name="Note 2 2 2 3 2" xfId="774"/>
    <cellStyle name="Note 2 2 2 3 3" xfId="775"/>
    <cellStyle name="Note 2 2 3" xfId="776"/>
    <cellStyle name="Note 2 2 3 2" xfId="777"/>
    <cellStyle name="Note 2 2 3 3" xfId="778"/>
    <cellStyle name="Note 2 2 4" xfId="779"/>
    <cellStyle name="Note 2 2 4 2" xfId="780"/>
    <cellStyle name="Note 2 2 4 3" xfId="781"/>
    <cellStyle name="Note 2 2 5" xfId="782"/>
    <cellStyle name="Note 2 2 6" xfId="783"/>
    <cellStyle name="Note 2 3" xfId="784"/>
    <cellStyle name="Note 2 3 2" xfId="785"/>
    <cellStyle name="Note 2 3 2 2" xfId="786"/>
    <cellStyle name="Note 2 3 2 2 2" xfId="787"/>
    <cellStyle name="Note 2 3 2 2 3" xfId="788"/>
    <cellStyle name="Note 2 3 2 3" xfId="789"/>
    <cellStyle name="Note 2 3 2 3 2" xfId="790"/>
    <cellStyle name="Note 2 3 2 3 3" xfId="791"/>
    <cellStyle name="Note 2 3 3" xfId="792"/>
    <cellStyle name="Note 2 3 3 2" xfId="793"/>
    <cellStyle name="Note 2 3 3 3" xfId="794"/>
    <cellStyle name="Note 2 3 4" xfId="795"/>
    <cellStyle name="Note 2 3 4 2" xfId="796"/>
    <cellStyle name="Note 2 3 4 3" xfId="797"/>
    <cellStyle name="Note 2 4" xfId="798"/>
    <cellStyle name="Note 2 4 2" xfId="799"/>
    <cellStyle name="Note 2 4 2 2" xfId="800"/>
    <cellStyle name="Note 2 4 2 2 2" xfId="801"/>
    <cellStyle name="Note 2 4 2 2 3" xfId="802"/>
    <cellStyle name="Note 2 4 2 3" xfId="803"/>
    <cellStyle name="Note 2 4 2 3 2" xfId="804"/>
    <cellStyle name="Note 2 4 2 3 3" xfId="805"/>
    <cellStyle name="Note 2 4 3" xfId="806"/>
    <cellStyle name="Note 2 4 3 2" xfId="807"/>
    <cellStyle name="Note 2 4 3 3" xfId="808"/>
    <cellStyle name="Note 2 4 4" xfId="809"/>
    <cellStyle name="Note 2 4 4 2" xfId="810"/>
    <cellStyle name="Note 2 4 4 3" xfId="811"/>
    <cellStyle name="Note 2 5" xfId="812"/>
    <cellStyle name="Note 2 5 2" xfId="813"/>
    <cellStyle name="Note 2 5 2 2" xfId="814"/>
    <cellStyle name="Note 2 5 2 3" xfId="815"/>
    <cellStyle name="Note 2 5 3" xfId="816"/>
    <cellStyle name="Note 2 5 3 2" xfId="817"/>
    <cellStyle name="Note 2 5 3 3" xfId="818"/>
    <cellStyle name="Note 2 5 4" xfId="819"/>
    <cellStyle name="Note 2 5 4 2" xfId="820"/>
    <cellStyle name="Note 2 5 4 3" xfId="821"/>
    <cellStyle name="Note 2 6" xfId="822"/>
    <cellStyle name="Note 2 6 2" xfId="823"/>
    <cellStyle name="Note 2 6 2 2" xfId="824"/>
    <cellStyle name="Note 2 6 2 3" xfId="825"/>
    <cellStyle name="Note 2 6 3" xfId="826"/>
    <cellStyle name="Note 2 6 3 2" xfId="827"/>
    <cellStyle name="Note 2 6 3 3" xfId="828"/>
    <cellStyle name="Note 2 7" xfId="829"/>
    <cellStyle name="Note 2 7 2" xfId="830"/>
    <cellStyle name="Note 2 7 3" xfId="831"/>
    <cellStyle name="Note 2 8" xfId="832"/>
    <cellStyle name="Note 2 8 2" xfId="833"/>
    <cellStyle name="Note 2 8 3" xfId="834"/>
    <cellStyle name="Note 2 9" xfId="835"/>
    <cellStyle name="Note 2 9 2" xfId="836"/>
    <cellStyle name="Note 2 9 3" xfId="837"/>
    <cellStyle name="Output 2" xfId="176"/>
    <cellStyle name="Output 2 2" xfId="838"/>
    <cellStyle name="Output 2 2 2" xfId="839"/>
    <cellStyle name="Output 2 2 2 2" xfId="840"/>
    <cellStyle name="Output 2 2 2 3" xfId="841"/>
    <cellStyle name="Output 2 2 3" xfId="842"/>
    <cellStyle name="Output 2 2 3 2" xfId="843"/>
    <cellStyle name="Output 2 2 3 3" xfId="844"/>
    <cellStyle name="Output 2 2 4" xfId="845"/>
    <cellStyle name="Output 2 2 4 2" xfId="846"/>
    <cellStyle name="Output 2 2 4 3" xfId="847"/>
    <cellStyle name="Output 2 3" xfId="848"/>
    <cellStyle name="Output 2 3 2" xfId="849"/>
    <cellStyle name="Output 2 3 3" xfId="850"/>
    <cellStyle name="Output 2 4" xfId="851"/>
    <cellStyle name="Output 2 4 2" xfId="852"/>
    <cellStyle name="Output 2 4 3" xfId="853"/>
    <cellStyle name="Output 2 5" xfId="854"/>
    <cellStyle name="Output 2 5 2" xfId="855"/>
    <cellStyle name="Output 2 5 3" xfId="856"/>
    <cellStyle name="p" xfId="857"/>
    <cellStyle name="p1" xfId="858"/>
    <cellStyle name="p2" xfId="859"/>
    <cellStyle name="p3" xfId="860"/>
    <cellStyle name="Percent" xfId="3" builtinId="5"/>
    <cellStyle name="Percent %" xfId="861"/>
    <cellStyle name="Percent % Long Underline" xfId="862"/>
    <cellStyle name="Percent (0)" xfId="863"/>
    <cellStyle name="Percent [2]" xfId="177"/>
    <cellStyle name="Percent 0.0%" xfId="864"/>
    <cellStyle name="Percent 0.0% Long Underline" xfId="865"/>
    <cellStyle name="Percent 0.00%" xfId="866"/>
    <cellStyle name="Percent 0.00% Long Underline" xfId="867"/>
    <cellStyle name="Percent 0.000%" xfId="868"/>
    <cellStyle name="Percent 0.000% Long Underline" xfId="869"/>
    <cellStyle name="Percent 0.0000%" xfId="870"/>
    <cellStyle name="Percent 0.0000% Long Underline" xfId="871"/>
    <cellStyle name="Percent 10" xfId="872"/>
    <cellStyle name="Percent 11" xfId="873"/>
    <cellStyle name="Percent 12" xfId="874"/>
    <cellStyle name="Percent 13" xfId="875"/>
    <cellStyle name="Percent 14" xfId="876"/>
    <cellStyle name="Percent 15" xfId="877"/>
    <cellStyle name="Percent 16" xfId="878"/>
    <cellStyle name="Percent 17" xfId="879"/>
    <cellStyle name="Percent 18" xfId="880"/>
    <cellStyle name="Percent 19" xfId="881"/>
    <cellStyle name="Percent 19 2" xfId="882"/>
    <cellStyle name="Percent 2" xfId="178"/>
    <cellStyle name="Percent 2 2" xfId="179"/>
    <cellStyle name="Percent 2 2 2" xfId="883"/>
    <cellStyle name="Percent 2 2 3" xfId="884"/>
    <cellStyle name="Percent 2 3" xfId="235"/>
    <cellStyle name="Percent 2 3 2" xfId="239"/>
    <cellStyle name="Percent 2 3 2 2" xfId="885"/>
    <cellStyle name="Percent 2 3 3" xfId="886"/>
    <cellStyle name="Percent 2 4" xfId="887"/>
    <cellStyle name="Percent 2 4 2" xfId="888"/>
    <cellStyle name="Percent 2 5" xfId="889"/>
    <cellStyle name="Percent 20" xfId="890"/>
    <cellStyle name="Percent 21" xfId="891"/>
    <cellStyle name="Percent 22" xfId="892"/>
    <cellStyle name="Percent 23" xfId="893"/>
    <cellStyle name="Percent 24" xfId="894"/>
    <cellStyle name="Percent 25" xfId="895"/>
    <cellStyle name="Percent 3" xfId="180"/>
    <cellStyle name="Percent 3 2" xfId="896"/>
    <cellStyle name="Percent 3 3" xfId="897"/>
    <cellStyle name="Percent 3 4" xfId="898"/>
    <cellStyle name="Percent 4" xfId="181"/>
    <cellStyle name="Percent 5" xfId="182"/>
    <cellStyle name="Percent 6" xfId="183"/>
    <cellStyle name="Percent 6 2" xfId="899"/>
    <cellStyle name="Percent 6 3" xfId="900"/>
    <cellStyle name="Percent 7" xfId="184"/>
    <cellStyle name="Percent 8" xfId="185"/>
    <cellStyle name="Percent 8 2" xfId="901"/>
    <cellStyle name="Percent 8 3" xfId="902"/>
    <cellStyle name="Percent 9" xfId="241"/>
    <cellStyle name="Percent 9 2" xfId="903"/>
    <cellStyle name="Percent 9 2 2" xfId="904"/>
    <cellStyle name="Percent 9 3" xfId="905"/>
    <cellStyle name="Percent0" xfId="906"/>
    <cellStyle name="Percent1" xfId="907"/>
    <cellStyle name="Percent2" xfId="908"/>
    <cellStyle name="PSChar" xfId="186"/>
    <cellStyle name="PSDate" xfId="187"/>
    <cellStyle name="PSDec" xfId="188"/>
    <cellStyle name="PSdesc" xfId="189"/>
    <cellStyle name="PSHeading" xfId="190"/>
    <cellStyle name="PSInt" xfId="191"/>
    <cellStyle name="PSSpacer" xfId="192"/>
    <cellStyle name="PStest" xfId="193"/>
    <cellStyle name="R00A" xfId="194"/>
    <cellStyle name="R00B" xfId="195"/>
    <cellStyle name="R00L" xfId="196"/>
    <cellStyle name="R01A" xfId="197"/>
    <cellStyle name="R01B" xfId="198"/>
    <cellStyle name="R01B 2" xfId="909"/>
    <cellStyle name="R01B 2 2" xfId="910"/>
    <cellStyle name="R01B 2 2 2" xfId="911"/>
    <cellStyle name="R01B 2 2 2 2" xfId="912"/>
    <cellStyle name="R01B 2 2 2 3" xfId="913"/>
    <cellStyle name="R01B 2 2 3" xfId="914"/>
    <cellStyle name="R01B 2 2 3 2" xfId="915"/>
    <cellStyle name="R01B 2 2 3 3" xfId="916"/>
    <cellStyle name="R01B 2 3" xfId="917"/>
    <cellStyle name="R01B 2 3 2" xfId="918"/>
    <cellStyle name="R01B 2 3 2 2" xfId="919"/>
    <cellStyle name="R01B 2 3 2 3" xfId="920"/>
    <cellStyle name="R01B 2 3 3" xfId="921"/>
    <cellStyle name="R01B 2 3 4" xfId="922"/>
    <cellStyle name="R01B 2 4" xfId="923"/>
    <cellStyle name="R01B 2 4 2" xfId="924"/>
    <cellStyle name="R01B 2 4 3" xfId="925"/>
    <cellStyle name="R01B 2 5" xfId="926"/>
    <cellStyle name="R01B 2 6" xfId="927"/>
    <cellStyle name="R01B 3" xfId="928"/>
    <cellStyle name="R01B 3 2" xfId="929"/>
    <cellStyle name="R01B 3 2 2" xfId="930"/>
    <cellStyle name="R01B 3 2 3" xfId="931"/>
    <cellStyle name="R01B 3 3" xfId="932"/>
    <cellStyle name="R01B 3 3 2" xfId="933"/>
    <cellStyle name="R01B 3 3 3" xfId="934"/>
    <cellStyle name="R01B 3 4" xfId="935"/>
    <cellStyle name="R01B 3 5" xfId="936"/>
    <cellStyle name="R01B 4" xfId="937"/>
    <cellStyle name="R01B 4 2" xfId="938"/>
    <cellStyle name="R01B 4 2 2" xfId="939"/>
    <cellStyle name="R01B 4 2 2 2" xfId="940"/>
    <cellStyle name="R01B 4 2 2 3" xfId="941"/>
    <cellStyle name="R01B 4 2 3" xfId="942"/>
    <cellStyle name="R01B 4 2 4" xfId="943"/>
    <cellStyle name="R01B 4 3" xfId="944"/>
    <cellStyle name="R01B 4 3 2" xfId="945"/>
    <cellStyle name="R01B 4 3 3" xfId="946"/>
    <cellStyle name="R01B 4 4" xfId="947"/>
    <cellStyle name="R01B 4 5" xfId="948"/>
    <cellStyle name="R01B 5" xfId="949"/>
    <cellStyle name="R01B 5 2" xfId="950"/>
    <cellStyle name="R01B 5 2 2" xfId="951"/>
    <cellStyle name="R01B 5 2 2 2" xfId="952"/>
    <cellStyle name="R01B 5 2 2 3" xfId="953"/>
    <cellStyle name="R01B 5 2 3" xfId="954"/>
    <cellStyle name="R01B 5 2 4" xfId="955"/>
    <cellStyle name="R01B 5 3" xfId="956"/>
    <cellStyle name="R01B 5 3 2" xfId="957"/>
    <cellStyle name="R01B 5 3 3" xfId="958"/>
    <cellStyle name="R01H" xfId="199"/>
    <cellStyle name="R01L" xfId="200"/>
    <cellStyle name="R02A" xfId="201"/>
    <cellStyle name="R02B" xfId="202"/>
    <cellStyle name="R02H" xfId="203"/>
    <cellStyle name="R02L" xfId="204"/>
    <cellStyle name="R03A" xfId="205"/>
    <cellStyle name="R03B" xfId="206"/>
    <cellStyle name="R03H" xfId="207"/>
    <cellStyle name="R03L" xfId="208"/>
    <cellStyle name="R04A" xfId="209"/>
    <cellStyle name="R04B" xfId="210"/>
    <cellStyle name="R04H" xfId="211"/>
    <cellStyle name="R04L" xfId="212"/>
    <cellStyle name="R05A" xfId="213"/>
    <cellStyle name="R05B" xfId="214"/>
    <cellStyle name="R05H" xfId="215"/>
    <cellStyle name="R05L" xfId="216"/>
    <cellStyle name="R06A" xfId="217"/>
    <cellStyle name="R06B" xfId="218"/>
    <cellStyle name="R06H" xfId="219"/>
    <cellStyle name="R06L" xfId="220"/>
    <cellStyle name="R07A" xfId="221"/>
    <cellStyle name="R07B" xfId="222"/>
    <cellStyle name="R07H" xfId="223"/>
    <cellStyle name="R07L" xfId="224"/>
    <cellStyle name="rborder" xfId="959"/>
    <cellStyle name="red" xfId="960"/>
    <cellStyle name="RevList" xfId="225"/>
    <cellStyle name="s_HardInc " xfId="961"/>
    <cellStyle name="SAPBEXchaText 2 10" xfId="962"/>
    <cellStyle name="SAPBEXchaText 2 10 2" xfId="963"/>
    <cellStyle name="SAPBEXchaText 2 10 2 2" xfId="964"/>
    <cellStyle name="SAPBEXchaText 2 10 2 2 2" xfId="965"/>
    <cellStyle name="SAPBEXchaText 2 10 2 2 3" xfId="966"/>
    <cellStyle name="SAPBEXchaText 2 10 2 3" xfId="967"/>
    <cellStyle name="SAPBEXchaText 2 10 2 3 2" xfId="968"/>
    <cellStyle name="SAPBEXchaText 2 10 2 3 3" xfId="969"/>
    <cellStyle name="SAPBEXchaText 2 10 2 4" xfId="970"/>
    <cellStyle name="SAPBEXchaText 2 10 2 4 2" xfId="971"/>
    <cellStyle name="SAPBEXchaText 2 10 2 4 3" xfId="972"/>
    <cellStyle name="SAPBEXchaText 2 10 3" xfId="973"/>
    <cellStyle name="SAPBEXchaText 2 10 3 2" xfId="974"/>
    <cellStyle name="SAPBEXchaText 2 10 3 2 2" xfId="975"/>
    <cellStyle name="SAPBEXchaText 2 10 3 2 3" xfId="976"/>
    <cellStyle name="SAPBEXchaText 2 10 3 3" xfId="977"/>
    <cellStyle name="SAPBEXchaText 2 10 3 3 2" xfId="978"/>
    <cellStyle name="SAPBEXchaText 2 10 3 3 3" xfId="979"/>
    <cellStyle name="SAPBEXchaText 2 10 3 4" xfId="980"/>
    <cellStyle name="SAPBEXchaText 2 10 3 4 2" xfId="981"/>
    <cellStyle name="SAPBEXchaText 2 10 3 4 3" xfId="982"/>
    <cellStyle name="SAPBEXchaText 2 10 4" xfId="983"/>
    <cellStyle name="SAPBEXchaText 2 10 4 2" xfId="984"/>
    <cellStyle name="SAPBEXchaText 2 10 4 3" xfId="985"/>
    <cellStyle name="SAPBEXchaText 2 10 5" xfId="986"/>
    <cellStyle name="SAPBEXchaText 2 10 5 2" xfId="987"/>
    <cellStyle name="SAPBEXchaText 2 10 5 3" xfId="988"/>
    <cellStyle name="SAPBEXchaText 2 10 6" xfId="989"/>
    <cellStyle name="SAPBEXchaText 2 10 6 2" xfId="990"/>
    <cellStyle name="SAPBEXchaText 2 10 6 3" xfId="991"/>
    <cellStyle name="SAPBEXstdItemX 2 10" xfId="992"/>
    <cellStyle name="SAPBEXstdItemX 2 10 2" xfId="993"/>
    <cellStyle name="SAPBEXstdItemX 2 10 2 2" xfId="994"/>
    <cellStyle name="SAPBEXstdItemX 2 10 2 2 2" xfId="995"/>
    <cellStyle name="SAPBEXstdItemX 2 10 2 2 3" xfId="996"/>
    <cellStyle name="SAPBEXstdItemX 2 10 2 3" xfId="997"/>
    <cellStyle name="SAPBEXstdItemX 2 10 2 3 2" xfId="998"/>
    <cellStyle name="SAPBEXstdItemX 2 10 2 3 3" xfId="999"/>
    <cellStyle name="SAPBEXstdItemX 2 10 2 4" xfId="1000"/>
    <cellStyle name="SAPBEXstdItemX 2 10 2 4 2" xfId="1001"/>
    <cellStyle name="SAPBEXstdItemX 2 10 2 4 3" xfId="1002"/>
    <cellStyle name="SAPBEXstdItemX 2 10 3" xfId="1003"/>
    <cellStyle name="SAPBEXstdItemX 2 10 3 2" xfId="1004"/>
    <cellStyle name="SAPBEXstdItemX 2 10 3 2 2" xfId="1005"/>
    <cellStyle name="SAPBEXstdItemX 2 10 3 2 3" xfId="1006"/>
    <cellStyle name="SAPBEXstdItemX 2 10 3 3" xfId="1007"/>
    <cellStyle name="SAPBEXstdItemX 2 10 3 3 2" xfId="1008"/>
    <cellStyle name="SAPBEXstdItemX 2 10 3 3 3" xfId="1009"/>
    <cellStyle name="SAPBEXstdItemX 2 10 3 4" xfId="1010"/>
    <cellStyle name="SAPBEXstdItemX 2 10 3 4 2" xfId="1011"/>
    <cellStyle name="SAPBEXstdItemX 2 10 3 4 3" xfId="1012"/>
    <cellStyle name="SAPBEXstdItemX 2 10 4" xfId="1013"/>
    <cellStyle name="SAPBEXstdItemX 2 10 4 2" xfId="1014"/>
    <cellStyle name="SAPBEXstdItemX 2 10 4 3" xfId="1015"/>
    <cellStyle name="SAPBEXstdItemX 2 10 5" xfId="1016"/>
    <cellStyle name="SAPBEXstdItemX 2 10 5 2" xfId="1017"/>
    <cellStyle name="SAPBEXstdItemX 2 10 5 3" xfId="1018"/>
    <cellStyle name="SAPBEXstdItemX 2 10 6" xfId="1019"/>
    <cellStyle name="SAPBEXstdItemX 2 10 6 2" xfId="1020"/>
    <cellStyle name="SAPBEXstdItemX 2 10 6 3" xfId="1021"/>
    <cellStyle name="SECTION" xfId="1022"/>
    <cellStyle name="Subtotal" xfId="226"/>
    <cellStyle name="System Defined" xfId="1023"/>
    <cellStyle name="TableHeading" xfId="1024"/>
    <cellStyle name="tb" xfId="1025"/>
    <cellStyle name="tb 2" xfId="1026"/>
    <cellStyle name="tb 2 2" xfId="1027"/>
    <cellStyle name="tb 2 2 2" xfId="1028"/>
    <cellStyle name="tb 2 2 3" xfId="1029"/>
    <cellStyle name="tb 2 3" xfId="1030"/>
    <cellStyle name="tb 2 3 2" xfId="1031"/>
    <cellStyle name="tb 2 3 3" xfId="1032"/>
    <cellStyle name="tb 2 4" xfId="1033"/>
    <cellStyle name="tb 3" xfId="1034"/>
    <cellStyle name="tb 3 2" xfId="1035"/>
    <cellStyle name="tb 3 3" xfId="1036"/>
    <cellStyle name="tb 4" xfId="1037"/>
    <cellStyle name="tb 4 2" xfId="1038"/>
    <cellStyle name="tb 4 3" xfId="1039"/>
    <cellStyle name="tb 5" xfId="1040"/>
    <cellStyle name="Tickmark" xfId="1041"/>
    <cellStyle name="Title 2" xfId="227"/>
    <cellStyle name="top" xfId="1042"/>
    <cellStyle name="top 2" xfId="1043"/>
    <cellStyle name="Total 2" xfId="228"/>
    <cellStyle name="Total 3" xfId="229"/>
    <cellStyle name="Total 3 2" xfId="1044"/>
    <cellStyle name="Total 3 2 2" xfId="1045"/>
    <cellStyle name="Total 3 2 2 2" xfId="1046"/>
    <cellStyle name="Total 3 2 2 3" xfId="1047"/>
    <cellStyle name="Total 3 2 3" xfId="1048"/>
    <cellStyle name="Total 3 2 3 2" xfId="1049"/>
    <cellStyle name="Total 3 2 3 3" xfId="1050"/>
    <cellStyle name="Total 3 2 4" xfId="1051"/>
    <cellStyle name="Total 3 2 4 2" xfId="1052"/>
    <cellStyle name="Total 3 2 4 3" xfId="1053"/>
    <cellStyle name="Total 3 3" xfId="1054"/>
    <cellStyle name="Total 3 3 2" xfId="1055"/>
    <cellStyle name="Total 3 3 3" xfId="1056"/>
    <cellStyle name="Total 3 4" xfId="1057"/>
    <cellStyle name="Total 3 4 2" xfId="1058"/>
    <cellStyle name="Total 3 4 3" xfId="1059"/>
    <cellStyle name="Total 3 5" xfId="1060"/>
    <cellStyle name="Total 3 5 2" xfId="1061"/>
    <cellStyle name="Total 3 5 3" xfId="1062"/>
    <cellStyle name="w" xfId="1063"/>
    <cellStyle name="Warning Text 2" xfId="230"/>
    <cellStyle name="XComma" xfId="1064"/>
    <cellStyle name="XComma 0.0" xfId="1065"/>
    <cellStyle name="XComma 0.00" xfId="1066"/>
    <cellStyle name="XComma 0.000" xfId="1067"/>
    <cellStyle name="XCurrency" xfId="1068"/>
    <cellStyle name="XCurrency 0.0" xfId="1069"/>
    <cellStyle name="XCurrency 0.00" xfId="1070"/>
    <cellStyle name="XCurrency 0.000" xfId="1071"/>
    <cellStyle name="yra" xfId="1072"/>
    <cellStyle name="yrActual" xfId="1073"/>
    <cellStyle name="yre" xfId="1074"/>
    <cellStyle name="yrExpect" xfId="1075"/>
    <cellStyle name="yrExpect 2" xfId="1076"/>
    <cellStyle name="yrExpect 2 2" xfId="1077"/>
    <cellStyle name="yrExpect 2 2 2" xfId="1078"/>
    <cellStyle name="yrExpect 2 2 3" xfId="1079"/>
    <cellStyle name="yrExpect 2 3" xfId="1080"/>
    <cellStyle name="yrExpect 2 3 2" xfId="1081"/>
    <cellStyle name="yrExpect 2 3 3" xfId="1082"/>
    <cellStyle name="yrExpect 2 4" xfId="1083"/>
    <cellStyle name="yrExpect 3" xfId="1084"/>
    <cellStyle name="yrExpect 3 2" xfId="1085"/>
    <cellStyle name="yrExpect 3 3" xfId="1086"/>
    <cellStyle name="yrExpect 4" xfId="1087"/>
    <cellStyle name="yrExpect 4 2" xfId="1088"/>
    <cellStyle name="yrExpect 4 3" xfId="1089"/>
    <cellStyle name="yrExpect 5" xfId="109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mnguyen\My%20Documents\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pkettles\Local%20Settings\Temporary%20Internet%20Files\OLKE\GF%20200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ATE%20STUDY_1\Worthington%20-%202013%20Electric\Wgton%20File\Brewster\Brewster%202013%2006_includes%202012%20wapa%20mres%20split%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aptop\AppData\Local\Microsoft\Windows\Temporary%20Internet%20Files\Content.Outlook\PDWZMCHK\PacifiCorp\Post%20settlement%20Formula%20runs\Copy%20of%202013%20Annual%20Update%2020130506%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ancing%20Plan\2009\Capital%20Financing%20Model%20Slower%20Pace03-03-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S"/>
      <sheetName val="TRANSMISSION"/>
      <sheetName val="Brewster Purchases"/>
      <sheetName val="Statement"/>
      <sheetName val="Reads"/>
    </sheetNames>
    <sheetDataSet>
      <sheetData sheetId="0" refreshError="1">
        <row r="8">
          <cell r="C8">
            <v>41456</v>
          </cell>
        </row>
        <row r="11">
          <cell r="C11">
            <v>744</v>
          </cell>
        </row>
        <row r="29">
          <cell r="C29">
            <v>1044</v>
          </cell>
        </row>
      </sheetData>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sheetName val="Appendix A"/>
      <sheetName val="Appendix B"/>
      <sheetName val="Summary of Rates"/>
      <sheetName val="ATT 1 - ADIT"/>
      <sheetName val="ATT 1a - ADIT"/>
      <sheetName val="ATT 2 - Other Taxes"/>
      <sheetName val="2010 3 - Revenue Credits"/>
      <sheetName val="ATT 4 - 100 Basis Point ROE"/>
      <sheetName val="2010 5 - Cost Support"/>
      <sheetName val="ATT 6 - Est &amp; Reconcile WS"/>
      <sheetName val="Gateway PIS monthly"/>
      <sheetName val="Att 7 - Trans Enhance Charge"/>
      <sheetName val="ATT 8 - Depreciation Rates"/>
      <sheetName val="ATT 9a - Load Divisor"/>
      <sheetName val="ATT 9a1 - Load current year"/>
      <sheetName val="ATT 9a2 - Load one year prior"/>
      <sheetName val="ATT 9a3 - Load two years prior"/>
      <sheetName val="ATT 9b - Load Divisor True-up"/>
      <sheetName val="ATT 10 - Acc Amort of PIS"/>
      <sheetName val="ATT 11 - Prepayments"/>
      <sheetName val="ATT 12 - Plant Held Future Use"/>
      <sheetName val="ATT 13 - Revenue Credit Detail"/>
      <sheetName val="ATT 14-Cost of Capital Detail"/>
      <sheetName val="ATT 15 - GSU and Assoc'd Equip"/>
      <sheetName val="ATT 16 - Unfunded Reserves"/>
      <sheetName val="ATT 17 - PBOP"/>
      <sheetName val="Inputs"/>
      <sheetName val="PIS projection"/>
      <sheetName val="PIS true-up"/>
      <sheetName val="FERC Form 1 data"/>
    </sheetNames>
    <sheetDataSet>
      <sheetData sheetId="0"/>
      <sheetData sheetId="1">
        <row r="5">
          <cell r="S5" t="str">
            <v>Projection</v>
          </cell>
        </row>
        <row r="17">
          <cell r="H17">
            <v>7.3398818350960335E-2</v>
          </cell>
        </row>
        <row r="29">
          <cell r="H29">
            <v>0.21851176882254517</v>
          </cell>
        </row>
        <row r="32">
          <cell r="H32">
            <v>0.24176082444075614</v>
          </cell>
        </row>
      </sheetData>
      <sheetData sheetId="2"/>
      <sheetData sheetId="3"/>
      <sheetData sheetId="4"/>
      <sheetData sheetId="5"/>
      <sheetData sheetId="6"/>
      <sheetData sheetId="7"/>
      <sheetData sheetId="8"/>
      <sheetData sheetId="9">
        <row r="166">
          <cell r="J166">
            <v>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5">
          <cell r="E15">
            <v>160882952</v>
          </cell>
        </row>
      </sheetData>
      <sheetData sheetId="28"/>
      <sheetData sheetId="29"/>
      <sheetData sheetId="3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refreshError="1"/>
      <sheetData sheetId="1" refreshError="1"/>
      <sheetData sheetId="2" refreshError="1">
        <row r="1">
          <cell r="D1">
            <v>2009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8"/>
  <sheetViews>
    <sheetView tabSelected="1" zoomScale="80" zoomScaleNormal="80" zoomScaleSheetLayoutView="75" workbookViewId="0">
      <selection activeCell="M15" sqref="M15"/>
    </sheetView>
  </sheetViews>
  <sheetFormatPr defaultRowHeight="15.75"/>
  <cols>
    <col min="1" max="1" width="4.21875" style="308" customWidth="1"/>
    <col min="2" max="2" width="42.6640625" style="308" customWidth="1"/>
    <col min="3" max="3" width="24.6640625" style="308" customWidth="1"/>
    <col min="4" max="4" width="12.77734375" style="308" customWidth="1"/>
    <col min="5" max="5" width="4.77734375" style="308" customWidth="1"/>
    <col min="6" max="6" width="6.6640625" style="308" customWidth="1"/>
    <col min="7" max="7" width="10.6640625" style="308" customWidth="1"/>
    <col min="8" max="8" width="3.6640625" style="308" customWidth="1"/>
    <col min="9" max="9" width="12.44140625" style="308" customWidth="1"/>
    <col min="10" max="10" width="1.44140625" style="308" customWidth="1"/>
    <col min="11" max="11" width="10" style="335" customWidth="1"/>
    <col min="12" max="12" width="8.88671875" style="308"/>
    <col min="13" max="14" width="10.88671875" style="308" customWidth="1"/>
    <col min="15" max="16" width="8.88671875" style="308"/>
    <col min="17" max="17" width="10.33203125" style="308" customWidth="1"/>
    <col min="18" max="18" width="8.88671875" style="308"/>
    <col min="19" max="19" width="10.21875" style="308" customWidth="1"/>
    <col min="20" max="16384" width="8.88671875" style="308"/>
  </cols>
  <sheetData>
    <row r="1" spans="1:16">
      <c r="B1" s="306"/>
      <c r="C1" s="306"/>
      <c r="D1" s="1"/>
      <c r="E1" s="306"/>
      <c r="F1" s="306"/>
      <c r="G1" s="434"/>
      <c r="H1" s="439"/>
      <c r="I1" s="439"/>
      <c r="J1" s="439"/>
      <c r="K1" s="439"/>
      <c r="M1" s="309"/>
      <c r="N1" s="309"/>
      <c r="O1" s="309"/>
      <c r="P1" s="309"/>
    </row>
    <row r="2" spans="1:16">
      <c r="B2" s="306"/>
      <c r="C2" s="306"/>
      <c r="D2" s="1"/>
      <c r="E2" s="306"/>
      <c r="F2" s="306"/>
      <c r="G2" s="434"/>
      <c r="H2" s="434"/>
      <c r="I2" s="434"/>
      <c r="J2" s="434"/>
      <c r="K2" s="434"/>
      <c r="M2" s="309"/>
      <c r="N2" s="309"/>
      <c r="O2" s="309"/>
      <c r="P2" s="309"/>
    </row>
    <row r="3" spans="1:16">
      <c r="B3" s="306"/>
      <c r="C3" s="306"/>
      <c r="D3" s="1"/>
      <c r="E3" s="306"/>
      <c r="F3" s="306"/>
      <c r="G3" s="306"/>
      <c r="H3" s="2"/>
      <c r="I3" s="447"/>
      <c r="J3" s="447"/>
      <c r="K3" s="448" t="s">
        <v>722</v>
      </c>
      <c r="M3" s="309"/>
      <c r="N3" s="309"/>
      <c r="O3" s="309"/>
      <c r="P3" s="309"/>
    </row>
    <row r="4" spans="1:16">
      <c r="B4" s="306"/>
      <c r="C4" s="306"/>
      <c r="D4" s="1"/>
      <c r="E4" s="306"/>
      <c r="F4" s="306"/>
      <c r="G4" s="306"/>
      <c r="H4" s="2"/>
      <c r="I4" s="449" t="s">
        <v>600</v>
      </c>
      <c r="J4" s="449"/>
      <c r="K4" s="449"/>
      <c r="M4" s="309"/>
      <c r="N4" s="309"/>
      <c r="O4" s="309"/>
      <c r="P4" s="309"/>
    </row>
    <row r="5" spans="1:16">
      <c r="B5" s="306"/>
      <c r="C5" s="306"/>
      <c r="D5" s="1"/>
      <c r="E5" s="306"/>
      <c r="F5" s="306"/>
      <c r="G5" s="306"/>
      <c r="H5" s="2"/>
      <c r="I5" s="450"/>
      <c r="J5" s="450"/>
      <c r="K5" s="448" t="s">
        <v>452</v>
      </c>
    </row>
    <row r="6" spans="1:16" ht="33" customHeight="1">
      <c r="B6" s="306"/>
      <c r="C6" s="306"/>
      <c r="D6" s="1"/>
      <c r="E6" s="306"/>
      <c r="F6" s="306"/>
      <c r="G6" s="306"/>
      <c r="H6" s="2"/>
      <c r="I6" s="2"/>
      <c r="J6" s="2"/>
      <c r="K6" s="6"/>
    </row>
    <row r="7" spans="1:16">
      <c r="B7" s="306" t="s">
        <v>0</v>
      </c>
      <c r="C7" s="306"/>
      <c r="D7" s="1" t="s">
        <v>261</v>
      </c>
      <c r="E7" s="306"/>
      <c r="F7" s="306"/>
      <c r="G7" s="73"/>
      <c r="H7" s="34"/>
      <c r="I7" s="310"/>
      <c r="J7" s="34"/>
      <c r="K7" s="457" t="s">
        <v>706</v>
      </c>
    </row>
    <row r="8" spans="1:16">
      <c r="B8" s="306"/>
      <c r="C8" s="311" t="s">
        <v>2</v>
      </c>
      <c r="D8" s="311" t="s">
        <v>262</v>
      </c>
      <c r="E8" s="311"/>
      <c r="F8" s="311"/>
      <c r="G8" s="311"/>
      <c r="H8" s="2"/>
      <c r="I8" s="2"/>
      <c r="J8" s="2"/>
      <c r="K8" s="6"/>
    </row>
    <row r="9" spans="1:16">
      <c r="B9" s="2"/>
      <c r="C9" s="2"/>
      <c r="D9" s="2"/>
      <c r="E9" s="2"/>
      <c r="F9" s="2"/>
      <c r="G9" s="2"/>
      <c r="H9" s="2"/>
      <c r="I9" s="2"/>
      <c r="J9" s="2"/>
      <c r="K9" s="6"/>
    </row>
    <row r="10" spans="1:16">
      <c r="A10" s="3"/>
      <c r="B10" s="2"/>
      <c r="C10" s="2"/>
      <c r="D10" s="458" t="s">
        <v>280</v>
      </c>
      <c r="E10" s="312"/>
      <c r="F10" s="312"/>
      <c r="G10" s="312"/>
      <c r="H10" s="2"/>
      <c r="I10" s="2"/>
      <c r="J10" s="2"/>
      <c r="K10" s="6"/>
    </row>
    <row r="11" spans="1:16">
      <c r="A11" s="3"/>
      <c r="B11" s="2"/>
      <c r="C11" s="2"/>
      <c r="D11" s="313"/>
      <c r="E11" s="2"/>
      <c r="F11" s="2"/>
      <c r="G11" s="2"/>
      <c r="H11" s="2"/>
      <c r="I11" s="2"/>
      <c r="J11" s="2"/>
      <c r="K11" s="6"/>
    </row>
    <row r="12" spans="1:16">
      <c r="A12" s="3" t="s">
        <v>4</v>
      </c>
      <c r="B12" s="2"/>
      <c r="C12" s="2"/>
      <c r="D12" s="313"/>
      <c r="E12" s="2"/>
      <c r="F12" s="2"/>
      <c r="G12" s="2"/>
      <c r="H12" s="2"/>
      <c r="I12" s="3" t="s">
        <v>5</v>
      </c>
      <c r="J12" s="2"/>
      <c r="K12" s="6"/>
    </row>
    <row r="13" spans="1:16" ht="16.5" thickBot="1">
      <c r="A13" s="4" t="s">
        <v>6</v>
      </c>
      <c r="B13" s="2"/>
      <c r="C13" s="2"/>
      <c r="D13" s="2"/>
      <c r="E13" s="2"/>
      <c r="F13" s="2"/>
      <c r="G13" s="2"/>
      <c r="H13" s="2"/>
      <c r="I13" s="4" t="s">
        <v>7</v>
      </c>
      <c r="J13" s="2"/>
      <c r="K13" s="6"/>
    </row>
    <row r="14" spans="1:16">
      <c r="A14" s="3">
        <v>1</v>
      </c>
      <c r="B14" s="2" t="s">
        <v>269</v>
      </c>
      <c r="C14" s="2"/>
      <c r="D14" s="314"/>
      <c r="E14" s="2"/>
      <c r="F14" s="2"/>
      <c r="G14" s="2"/>
      <c r="H14" s="2"/>
      <c r="I14" s="315">
        <f>+I214</f>
        <v>121091657.43703005</v>
      </c>
      <c r="J14" s="2"/>
      <c r="K14" s="6"/>
    </row>
    <row r="15" spans="1:16">
      <c r="A15" s="3"/>
      <c r="B15" s="2"/>
      <c r="C15" s="2"/>
      <c r="D15" s="2"/>
      <c r="E15" s="2"/>
      <c r="F15" s="2"/>
      <c r="G15" s="2"/>
      <c r="H15" s="2"/>
      <c r="I15" s="314"/>
      <c r="J15" s="2"/>
      <c r="K15" s="6"/>
    </row>
    <row r="16" spans="1:16" ht="16.5" thickBot="1">
      <c r="A16" s="3" t="s">
        <v>2</v>
      </c>
      <c r="B16" s="306" t="s">
        <v>8</v>
      </c>
      <c r="C16" s="15" t="s">
        <v>185</v>
      </c>
      <c r="D16" s="4" t="s">
        <v>9</v>
      </c>
      <c r="E16" s="311"/>
      <c r="F16" s="5" t="s">
        <v>10</v>
      </c>
      <c r="G16" s="5"/>
      <c r="H16" s="2"/>
      <c r="I16" s="314"/>
      <c r="J16" s="2"/>
      <c r="K16" s="6"/>
    </row>
    <row r="17" spans="1:11">
      <c r="A17" s="3">
        <v>2</v>
      </c>
      <c r="B17" s="306" t="s">
        <v>12</v>
      </c>
      <c r="C17" s="311" t="s">
        <v>152</v>
      </c>
      <c r="D17" s="23">
        <f>I287</f>
        <v>222088.5</v>
      </c>
      <c r="E17" s="311"/>
      <c r="F17" s="311" t="s">
        <v>11</v>
      </c>
      <c r="G17" s="316">
        <f>I238</f>
        <v>1</v>
      </c>
      <c r="H17" s="311"/>
      <c r="I17" s="23">
        <f>+G17*D17</f>
        <v>222088.5</v>
      </c>
      <c r="J17" s="2"/>
      <c r="K17" s="6"/>
    </row>
    <row r="18" spans="1:11">
      <c r="A18" s="3">
        <v>3</v>
      </c>
      <c r="B18" s="306" t="s">
        <v>204</v>
      </c>
      <c r="C18" s="311" t="s">
        <v>153</v>
      </c>
      <c r="D18" s="23">
        <f>I294</f>
        <v>20649639</v>
      </c>
      <c r="E18" s="311"/>
      <c r="F18" s="23" t="str">
        <f t="shared" ref="F18:G20" si="0">+F17</f>
        <v>TP</v>
      </c>
      <c r="G18" s="316">
        <f t="shared" si="0"/>
        <v>1</v>
      </c>
      <c r="H18" s="311"/>
      <c r="I18" s="23">
        <f>+G18*D18</f>
        <v>20649639</v>
      </c>
      <c r="J18" s="2"/>
      <c r="K18" s="6"/>
    </row>
    <row r="19" spans="1:11">
      <c r="A19" s="3">
        <v>4</v>
      </c>
      <c r="B19" s="317" t="s">
        <v>142</v>
      </c>
      <c r="C19" s="311"/>
      <c r="D19" s="318">
        <v>0</v>
      </c>
      <c r="E19" s="311"/>
      <c r="F19" s="23" t="str">
        <f t="shared" si="0"/>
        <v>TP</v>
      </c>
      <c r="G19" s="316">
        <f t="shared" si="0"/>
        <v>1</v>
      </c>
      <c r="H19" s="311"/>
      <c r="I19" s="23">
        <f>+G19*D19</f>
        <v>0</v>
      </c>
      <c r="J19" s="2"/>
      <c r="K19" s="6"/>
    </row>
    <row r="20" spans="1:11" ht="16.5" thickBot="1">
      <c r="A20" s="3">
        <v>5</v>
      </c>
      <c r="B20" s="317" t="s">
        <v>143</v>
      </c>
      <c r="C20" s="311"/>
      <c r="D20" s="318">
        <v>0</v>
      </c>
      <c r="E20" s="311"/>
      <c r="F20" s="23" t="str">
        <f t="shared" si="0"/>
        <v>TP</v>
      </c>
      <c r="G20" s="316">
        <f t="shared" si="0"/>
        <v>1</v>
      </c>
      <c r="H20" s="311"/>
      <c r="I20" s="319">
        <f>+G20*D20</f>
        <v>0</v>
      </c>
      <c r="J20" s="2"/>
      <c r="K20" s="6"/>
    </row>
    <row r="21" spans="1:11">
      <c r="A21" s="3">
        <v>6</v>
      </c>
      <c r="B21" s="306" t="s">
        <v>139</v>
      </c>
      <c r="C21" s="2"/>
      <c r="D21" s="320" t="s">
        <v>2</v>
      </c>
      <c r="E21" s="311"/>
      <c r="F21" s="311"/>
      <c r="G21" s="321"/>
      <c r="H21" s="311"/>
      <c r="I21" s="23">
        <f>SUM(I17:I20)</f>
        <v>20871727.5</v>
      </c>
      <c r="J21" s="2"/>
      <c r="K21" s="6"/>
    </row>
    <row r="22" spans="1:11">
      <c r="A22" s="3"/>
      <c r="B22" s="306"/>
      <c r="C22" s="2"/>
      <c r="I22" s="311"/>
      <c r="J22" s="2"/>
      <c r="K22" s="6"/>
    </row>
    <row r="23" spans="1:11">
      <c r="A23" s="3" t="s">
        <v>387</v>
      </c>
      <c r="B23" s="306" t="s">
        <v>380</v>
      </c>
      <c r="C23" s="2"/>
      <c r="I23" s="322">
        <f>'2016 Attach O True-Up'!G9</f>
        <v>107208878</v>
      </c>
      <c r="J23" s="2"/>
      <c r="K23" s="6"/>
    </row>
    <row r="24" spans="1:11" ht="16.5" thickBot="1">
      <c r="A24" s="3" t="s">
        <v>388</v>
      </c>
      <c r="B24" s="306" t="s">
        <v>381</v>
      </c>
      <c r="C24" s="2" t="s">
        <v>382</v>
      </c>
      <c r="I24" s="323">
        <f>'2016 Attach O True-Up'!G10</f>
        <v>114532642</v>
      </c>
      <c r="J24" s="2"/>
      <c r="K24" s="6"/>
    </row>
    <row r="25" spans="1:11">
      <c r="A25" s="3" t="s">
        <v>389</v>
      </c>
      <c r="B25" s="306" t="s">
        <v>383</v>
      </c>
      <c r="C25" s="2" t="s">
        <v>384</v>
      </c>
      <c r="I25" s="23">
        <f>+I23-I24</f>
        <v>-7323764</v>
      </c>
      <c r="J25" s="2"/>
      <c r="K25" s="6"/>
    </row>
    <row r="26" spans="1:11">
      <c r="A26" s="3" t="s">
        <v>390</v>
      </c>
      <c r="B26" s="306" t="s">
        <v>385</v>
      </c>
      <c r="C26" s="2" t="s">
        <v>501</v>
      </c>
      <c r="I26" s="15">
        <f>D370</f>
        <v>2454982.3620000002</v>
      </c>
      <c r="J26" s="2"/>
      <c r="K26" s="6"/>
    </row>
    <row r="27" spans="1:11" ht="16.5" thickBot="1">
      <c r="A27" s="3" t="s">
        <v>391</v>
      </c>
      <c r="B27" s="306" t="s">
        <v>386</v>
      </c>
      <c r="C27" s="2"/>
      <c r="I27" s="323">
        <f>'2016 Attach O True-Up'!G33</f>
        <v>-341437.71786921169</v>
      </c>
      <c r="J27" s="2"/>
      <c r="K27" s="6"/>
    </row>
    <row r="28" spans="1:11">
      <c r="A28" s="3"/>
      <c r="B28" s="306"/>
      <c r="C28" s="2"/>
      <c r="I28" s="311"/>
      <c r="J28" s="2"/>
      <c r="K28" s="6"/>
    </row>
    <row r="29" spans="1:11">
      <c r="A29" s="3" t="s">
        <v>363</v>
      </c>
      <c r="B29" s="306" t="s">
        <v>13</v>
      </c>
      <c r="C29" s="2" t="s">
        <v>482</v>
      </c>
      <c r="D29" s="320"/>
      <c r="E29" s="311"/>
      <c r="F29" s="311"/>
      <c r="G29" s="311"/>
      <c r="H29" s="311"/>
      <c r="I29" s="324">
        <f>+I14-I21+I25+I26+I27</f>
        <v>95009710.581160843</v>
      </c>
      <c r="J29" s="2"/>
      <c r="K29" s="6"/>
    </row>
    <row r="30" spans="1:11">
      <c r="A30" s="3" t="s">
        <v>364</v>
      </c>
      <c r="B30" s="306" t="s">
        <v>365</v>
      </c>
      <c r="C30" s="2"/>
      <c r="D30" s="320"/>
      <c r="E30" s="311"/>
      <c r="F30" s="311"/>
      <c r="G30" s="311"/>
      <c r="H30" s="311"/>
      <c r="I30" s="71">
        <v>0</v>
      </c>
      <c r="J30" s="2"/>
      <c r="K30" s="6"/>
    </row>
    <row r="31" spans="1:11">
      <c r="A31" s="3" t="s">
        <v>366</v>
      </c>
      <c r="B31" s="306" t="s">
        <v>367</v>
      </c>
      <c r="C31" s="2"/>
      <c r="D31" s="320"/>
      <c r="E31" s="311"/>
      <c r="F31" s="311"/>
      <c r="G31" s="311"/>
      <c r="H31" s="311"/>
      <c r="I31" s="71">
        <v>0</v>
      </c>
      <c r="J31" s="2"/>
      <c r="K31" s="6"/>
    </row>
    <row r="32" spans="1:11">
      <c r="A32" s="3" t="s">
        <v>368</v>
      </c>
      <c r="B32" s="306" t="s">
        <v>369</v>
      </c>
      <c r="C32" s="2"/>
      <c r="D32" s="320"/>
      <c r="E32" s="311"/>
      <c r="F32" s="311"/>
      <c r="G32" s="311"/>
      <c r="H32" s="311"/>
      <c r="I32" s="71">
        <v>0</v>
      </c>
      <c r="J32" s="2"/>
      <c r="K32" s="6"/>
    </row>
    <row r="33" spans="1:11">
      <c r="A33" s="3" t="s">
        <v>370</v>
      </c>
      <c r="B33" s="306" t="s">
        <v>371</v>
      </c>
      <c r="C33" s="2"/>
      <c r="D33" s="320"/>
      <c r="E33" s="311"/>
      <c r="F33" s="311"/>
      <c r="G33" s="311"/>
      <c r="H33" s="311"/>
      <c r="I33" s="71">
        <v>0</v>
      </c>
      <c r="J33" s="2"/>
      <c r="K33" s="6"/>
    </row>
    <row r="34" spans="1:11" ht="16.5" thickBot="1">
      <c r="A34" s="3" t="s">
        <v>372</v>
      </c>
      <c r="B34" s="306" t="s">
        <v>373</v>
      </c>
      <c r="C34" s="2"/>
      <c r="D34" s="320"/>
      <c r="E34" s="311"/>
      <c r="F34" s="311"/>
      <c r="G34" s="311"/>
      <c r="H34" s="311"/>
      <c r="I34" s="72">
        <v>0</v>
      </c>
      <c r="J34" s="2"/>
      <c r="K34" s="6"/>
    </row>
    <row r="35" spans="1:11">
      <c r="A35" s="3">
        <v>7</v>
      </c>
      <c r="B35" s="306" t="s">
        <v>374</v>
      </c>
      <c r="C35" s="2" t="s">
        <v>694</v>
      </c>
      <c r="D35" s="320"/>
      <c r="E35" s="311"/>
      <c r="F35" s="311"/>
      <c r="G35" s="311"/>
      <c r="H35" s="311"/>
      <c r="I35" s="324">
        <f>SUM(I29:I34)</f>
        <v>95009710.581160843</v>
      </c>
      <c r="J35" s="2"/>
      <c r="K35" s="6"/>
    </row>
    <row r="36" spans="1:11">
      <c r="A36" s="3"/>
      <c r="B36" s="306"/>
      <c r="C36" s="2"/>
      <c r="D36" s="320"/>
      <c r="E36" s="311"/>
      <c r="F36" s="311"/>
      <c r="G36" s="311"/>
      <c r="H36" s="311"/>
      <c r="I36" s="70"/>
      <c r="J36" s="2"/>
      <c r="K36" s="6"/>
    </row>
    <row r="37" spans="1:11">
      <c r="A37" s="3"/>
      <c r="C37" s="2"/>
      <c r="D37" s="320"/>
      <c r="E37" s="311"/>
      <c r="F37" s="311"/>
      <c r="G37" s="311"/>
      <c r="H37" s="311"/>
      <c r="J37" s="2"/>
      <c r="K37" s="6"/>
    </row>
    <row r="38" spans="1:11">
      <c r="A38" s="3"/>
      <c r="B38" s="306" t="s">
        <v>14</v>
      </c>
      <c r="C38" s="2"/>
      <c r="D38" s="314"/>
      <c r="E38" s="2"/>
      <c r="F38" s="2"/>
      <c r="G38" s="2"/>
      <c r="H38" s="2"/>
      <c r="I38" s="314"/>
      <c r="J38" s="2"/>
      <c r="K38" s="6"/>
    </row>
    <row r="39" spans="1:11">
      <c r="A39" s="3">
        <v>8</v>
      </c>
      <c r="B39" s="306" t="s">
        <v>15</v>
      </c>
      <c r="D39" s="314"/>
      <c r="E39" s="2"/>
      <c r="F39" s="2"/>
      <c r="G39" s="6" t="s">
        <v>16</v>
      </c>
      <c r="H39" s="2"/>
      <c r="I39" s="325">
        <f>Divisor!C24</f>
        <v>3917416.6666666665</v>
      </c>
      <c r="J39" s="2"/>
      <c r="K39" s="6"/>
    </row>
    <row r="40" spans="1:11">
      <c r="A40" s="3">
        <v>9</v>
      </c>
      <c r="B40" s="306" t="s">
        <v>154</v>
      </c>
      <c r="C40" s="311"/>
      <c r="D40" s="311"/>
      <c r="E40" s="311"/>
      <c r="F40" s="311"/>
      <c r="G40" s="15" t="s">
        <v>17</v>
      </c>
      <c r="H40" s="311"/>
      <c r="I40" s="325">
        <v>0</v>
      </c>
      <c r="J40" s="2"/>
      <c r="K40" s="6"/>
    </row>
    <row r="41" spans="1:11">
      <c r="A41" s="3">
        <v>10</v>
      </c>
      <c r="B41" s="317" t="s">
        <v>155</v>
      </c>
      <c r="C41" s="2"/>
      <c r="D41" s="2"/>
      <c r="E41" s="2"/>
      <c r="G41" s="6" t="s">
        <v>18</v>
      </c>
      <c r="H41" s="2"/>
      <c r="I41" s="325">
        <f>Divisor!E24</f>
        <v>95501.083333333328</v>
      </c>
      <c r="J41" s="2"/>
      <c r="K41" s="6"/>
    </row>
    <row r="42" spans="1:11">
      <c r="A42" s="3">
        <v>11</v>
      </c>
      <c r="B42" s="306" t="s">
        <v>144</v>
      </c>
      <c r="C42" s="2"/>
      <c r="D42" s="2"/>
      <c r="E42" s="2"/>
      <c r="G42" s="6" t="s">
        <v>19</v>
      </c>
      <c r="H42" s="2"/>
      <c r="I42" s="326">
        <v>0</v>
      </c>
      <c r="J42" s="2"/>
      <c r="K42" s="6"/>
    </row>
    <row r="43" spans="1:11">
      <c r="A43" s="3">
        <v>12</v>
      </c>
      <c r="B43" s="317" t="s">
        <v>138</v>
      </c>
      <c r="C43" s="2"/>
      <c r="D43" s="2"/>
      <c r="E43" s="2"/>
      <c r="F43" s="2"/>
      <c r="G43" s="2"/>
      <c r="H43" s="2"/>
      <c r="I43" s="326">
        <v>0</v>
      </c>
      <c r="J43" s="2"/>
      <c r="K43" s="6"/>
    </row>
    <row r="44" spans="1:11">
      <c r="A44" s="3">
        <v>13</v>
      </c>
      <c r="B44" s="317" t="s">
        <v>236</v>
      </c>
      <c r="C44" s="2"/>
      <c r="D44" s="2"/>
      <c r="E44" s="2"/>
      <c r="F44" s="2"/>
      <c r="G44" s="6"/>
      <c r="H44" s="2"/>
      <c r="I44" s="326">
        <v>0</v>
      </c>
      <c r="J44" s="2"/>
      <c r="K44" s="6"/>
    </row>
    <row r="45" spans="1:11" ht="16.5" thickBot="1">
      <c r="A45" s="3">
        <v>14</v>
      </c>
      <c r="B45" s="317" t="s">
        <v>172</v>
      </c>
      <c r="C45" s="2"/>
      <c r="D45" s="2"/>
      <c r="E45" s="2"/>
      <c r="F45" s="2"/>
      <c r="G45" s="2"/>
      <c r="H45" s="2"/>
      <c r="I45" s="327">
        <v>0</v>
      </c>
      <c r="J45" s="2"/>
      <c r="K45" s="6"/>
    </row>
    <row r="46" spans="1:11">
      <c r="A46" s="3">
        <v>15</v>
      </c>
      <c r="B46" s="306" t="s">
        <v>145</v>
      </c>
      <c r="C46" s="2"/>
      <c r="D46" s="2"/>
      <c r="E46" s="2"/>
      <c r="F46" s="2"/>
      <c r="G46" s="2"/>
      <c r="H46" s="2"/>
      <c r="I46" s="328">
        <f>SUM(I39:I45)</f>
        <v>4012917.75</v>
      </c>
      <c r="J46" s="2"/>
      <c r="K46" s="6"/>
    </row>
    <row r="47" spans="1:11">
      <c r="A47" s="3"/>
      <c r="B47" s="306"/>
      <c r="C47" s="2"/>
      <c r="D47" s="2"/>
      <c r="E47" s="2"/>
      <c r="F47" s="2"/>
      <c r="G47" s="2"/>
      <c r="H47" s="2"/>
      <c r="I47" s="314"/>
      <c r="J47" s="2"/>
      <c r="K47" s="6"/>
    </row>
    <row r="48" spans="1:11">
      <c r="A48" s="3">
        <v>16</v>
      </c>
      <c r="B48" s="306" t="s">
        <v>20</v>
      </c>
      <c r="C48" s="2" t="s">
        <v>146</v>
      </c>
      <c r="D48" s="329">
        <f>IF(I46&gt;0,I35/I46,0)</f>
        <v>23.675967587713664</v>
      </c>
      <c r="E48" s="2"/>
      <c r="F48" s="2"/>
      <c r="G48" s="2"/>
      <c r="H48" s="2"/>
      <c r="J48" s="2"/>
      <c r="K48" s="6"/>
    </row>
    <row r="49" spans="1:11">
      <c r="A49" s="3">
        <v>17</v>
      </c>
      <c r="B49" s="306" t="s">
        <v>140</v>
      </c>
      <c r="C49" s="2" t="s">
        <v>147</v>
      </c>
      <c r="D49" s="329">
        <f>+D48/12</f>
        <v>1.9729972989761386</v>
      </c>
      <c r="E49" s="2"/>
      <c r="F49" s="2"/>
      <c r="G49" s="2"/>
      <c r="H49" s="2"/>
      <c r="J49" s="2"/>
      <c r="K49" s="6"/>
    </row>
    <row r="50" spans="1:11">
      <c r="A50" s="3"/>
      <c r="B50" s="306"/>
      <c r="C50" s="2"/>
      <c r="D50" s="21"/>
      <c r="E50" s="2"/>
      <c r="F50" s="2"/>
      <c r="G50" s="2"/>
      <c r="H50" s="2"/>
      <c r="J50" s="2"/>
      <c r="K50" s="6"/>
    </row>
    <row r="51" spans="1:11">
      <c r="A51" s="3"/>
      <c r="B51" s="306"/>
      <c r="C51" s="2"/>
      <c r="D51" s="330" t="s">
        <v>21</v>
      </c>
      <c r="E51" s="2"/>
      <c r="F51" s="2"/>
      <c r="G51" s="2"/>
      <c r="H51" s="2"/>
      <c r="I51" s="331" t="s">
        <v>22</v>
      </c>
      <c r="J51" s="2"/>
      <c r="K51" s="6"/>
    </row>
    <row r="52" spans="1:11">
      <c r="A52" s="3">
        <v>18</v>
      </c>
      <c r="B52" s="306" t="s">
        <v>23</v>
      </c>
      <c r="C52" s="1" t="s">
        <v>148</v>
      </c>
      <c r="D52" s="329">
        <f>+D48/52</f>
        <v>0.45530706899449352</v>
      </c>
      <c r="E52" s="2"/>
      <c r="F52" s="2"/>
      <c r="G52" s="2"/>
      <c r="H52" s="2"/>
      <c r="I52" s="332">
        <f>+D48/52</f>
        <v>0.45530706899449352</v>
      </c>
      <c r="J52" s="2"/>
      <c r="K52" s="6"/>
    </row>
    <row r="53" spans="1:11">
      <c r="A53" s="3">
        <v>19</v>
      </c>
      <c r="B53" s="306" t="s">
        <v>24</v>
      </c>
      <c r="C53" s="254" t="s">
        <v>270</v>
      </c>
      <c r="D53" s="329">
        <f>+D48/260</f>
        <v>9.1061413798898705E-2</v>
      </c>
      <c r="E53" s="2" t="s">
        <v>25</v>
      </c>
      <c r="G53" s="2"/>
      <c r="H53" s="2"/>
      <c r="I53" s="332">
        <f>+D48/365</f>
        <v>6.4865664623873054E-2</v>
      </c>
      <c r="J53" s="2"/>
      <c r="K53" s="6"/>
    </row>
    <row r="54" spans="1:11">
      <c r="A54" s="3">
        <v>20</v>
      </c>
      <c r="B54" s="306" t="s">
        <v>26</v>
      </c>
      <c r="C54" s="254" t="s">
        <v>271</v>
      </c>
      <c r="D54" s="329">
        <f>+D48/4160*1000</f>
        <v>5.6913383624311686</v>
      </c>
      <c r="E54" s="2" t="s">
        <v>27</v>
      </c>
      <c r="G54" s="2"/>
      <c r="H54" s="2"/>
      <c r="I54" s="333">
        <f>+D48/8760*1000</f>
        <v>2.7027360259947106</v>
      </c>
      <c r="J54" s="2"/>
      <c r="K54" s="6" t="s">
        <v>2</v>
      </c>
    </row>
    <row r="55" spans="1:11">
      <c r="A55" s="3"/>
      <c r="B55" s="306"/>
      <c r="C55" s="2" t="s">
        <v>28</v>
      </c>
      <c r="D55" s="2"/>
      <c r="E55" s="2" t="s">
        <v>29</v>
      </c>
      <c r="G55" s="2"/>
      <c r="H55" s="2"/>
      <c r="J55" s="2"/>
      <c r="K55" s="6" t="s">
        <v>2</v>
      </c>
    </row>
    <row r="56" spans="1:11">
      <c r="A56" s="3"/>
      <c r="B56" s="306"/>
      <c r="C56" s="2"/>
      <c r="D56" s="2"/>
      <c r="E56" s="2"/>
      <c r="G56" s="2"/>
      <c r="H56" s="2"/>
      <c r="J56" s="2"/>
      <c r="K56" s="6" t="s">
        <v>2</v>
      </c>
    </row>
    <row r="57" spans="1:11">
      <c r="A57" s="3">
        <v>21</v>
      </c>
      <c r="B57" s="306" t="s">
        <v>229</v>
      </c>
      <c r="C57" s="2" t="s">
        <v>227</v>
      </c>
      <c r="D57" s="7">
        <v>0</v>
      </c>
      <c r="E57" s="8" t="s">
        <v>30</v>
      </c>
      <c r="F57" s="8"/>
      <c r="G57" s="8"/>
      <c r="H57" s="8"/>
      <c r="I57" s="334">
        <f>D57</f>
        <v>0</v>
      </c>
      <c r="J57" s="8" t="s">
        <v>30</v>
      </c>
      <c r="K57" s="6"/>
    </row>
    <row r="58" spans="1:11">
      <c r="A58" s="3">
        <v>22</v>
      </c>
      <c r="B58" s="306"/>
      <c r="C58" s="2"/>
      <c r="D58" s="7">
        <v>0</v>
      </c>
      <c r="E58" s="8" t="s">
        <v>31</v>
      </c>
      <c r="F58" s="8"/>
      <c r="G58" s="8"/>
      <c r="H58" s="8"/>
      <c r="I58" s="334">
        <f>D58</f>
        <v>0</v>
      </c>
      <c r="J58" s="8" t="s">
        <v>31</v>
      </c>
      <c r="K58" s="6"/>
    </row>
    <row r="59" spans="1:11" s="335" customFormat="1">
      <c r="A59" s="29"/>
      <c r="B59" s="12"/>
      <c r="C59" s="6"/>
      <c r="D59" s="30"/>
      <c r="E59" s="30"/>
      <c r="F59" s="30"/>
      <c r="G59" s="30"/>
      <c r="H59" s="30"/>
      <c r="I59" s="30"/>
      <c r="J59" s="30"/>
      <c r="K59" s="6"/>
    </row>
    <row r="60" spans="1:11" s="335" customFormat="1">
      <c r="A60" s="29"/>
      <c r="B60" s="12"/>
      <c r="C60" s="6"/>
      <c r="D60" s="30"/>
      <c r="E60" s="30"/>
      <c r="F60" s="30"/>
      <c r="G60" s="30"/>
      <c r="H60" s="30"/>
      <c r="I60" s="30"/>
      <c r="J60" s="30"/>
      <c r="K60" s="6"/>
    </row>
    <row r="61" spans="1:11" s="335" customFormat="1">
      <c r="A61" s="29"/>
      <c r="B61" s="12"/>
      <c r="C61" s="6"/>
      <c r="D61" s="30"/>
      <c r="E61" s="30"/>
      <c r="F61" s="30"/>
      <c r="G61" s="30"/>
      <c r="H61" s="30"/>
      <c r="I61" s="30"/>
      <c r="J61" s="30"/>
      <c r="K61" s="6"/>
    </row>
    <row r="62" spans="1:11" s="335" customFormat="1">
      <c r="A62" s="29"/>
      <c r="B62" s="12"/>
      <c r="C62" s="6"/>
      <c r="D62" s="30"/>
      <c r="E62" s="30"/>
      <c r="F62" s="30"/>
      <c r="G62" s="30"/>
      <c r="H62" s="30"/>
      <c r="I62" s="30"/>
      <c r="J62" s="30"/>
      <c r="K62" s="6"/>
    </row>
    <row r="63" spans="1:11" s="335" customFormat="1">
      <c r="A63" s="29"/>
      <c r="B63" s="12"/>
      <c r="C63" s="6"/>
      <c r="D63" s="30"/>
      <c r="E63" s="30"/>
      <c r="F63" s="30"/>
      <c r="G63" s="30"/>
      <c r="H63" s="30"/>
      <c r="I63" s="30"/>
      <c r="J63" s="30"/>
      <c r="K63" s="6"/>
    </row>
    <row r="64" spans="1:11" s="335" customFormat="1">
      <c r="A64" s="29"/>
      <c r="B64" s="12"/>
      <c r="C64" s="6"/>
      <c r="D64" s="30"/>
      <c r="E64" s="30"/>
      <c r="F64" s="30"/>
      <c r="G64" s="30"/>
      <c r="H64" s="30"/>
      <c r="I64" s="30"/>
      <c r="J64" s="30"/>
      <c r="K64" s="6"/>
    </row>
    <row r="65" spans="1:11" s="335" customFormat="1">
      <c r="A65" s="29"/>
      <c r="B65" s="12"/>
      <c r="C65" s="6"/>
      <c r="D65" s="30"/>
      <c r="E65" s="30"/>
      <c r="F65" s="30"/>
      <c r="G65" s="30"/>
      <c r="H65" s="30"/>
      <c r="I65" s="30"/>
      <c r="J65" s="30"/>
      <c r="K65" s="6"/>
    </row>
    <row r="66" spans="1:11" s="335" customFormat="1">
      <c r="A66" s="29"/>
      <c r="B66" s="12"/>
      <c r="C66" s="6"/>
      <c r="D66" s="30"/>
      <c r="E66" s="30"/>
      <c r="F66" s="30"/>
      <c r="G66" s="30"/>
      <c r="H66" s="30"/>
      <c r="I66" s="30"/>
      <c r="J66" s="30"/>
      <c r="K66" s="6"/>
    </row>
    <row r="67" spans="1:11" s="335" customFormat="1">
      <c r="A67" s="29"/>
      <c r="B67" s="12"/>
      <c r="C67" s="6"/>
      <c r="D67" s="30"/>
      <c r="E67" s="30"/>
      <c r="F67" s="30"/>
      <c r="G67" s="30"/>
      <c r="H67" s="30"/>
      <c r="I67" s="30"/>
      <c r="J67" s="30"/>
      <c r="K67" s="6"/>
    </row>
    <row r="68" spans="1:11" s="335" customFormat="1">
      <c r="A68" s="29"/>
      <c r="B68" s="12"/>
      <c r="C68" s="6"/>
      <c r="D68" s="30"/>
      <c r="E68" s="30"/>
      <c r="F68" s="30"/>
      <c r="G68" s="30"/>
      <c r="H68" s="30"/>
      <c r="I68" s="30"/>
      <c r="J68" s="30"/>
      <c r="K68" s="6"/>
    </row>
    <row r="69" spans="1:11" s="335" customFormat="1">
      <c r="A69" s="29"/>
      <c r="B69" s="12"/>
      <c r="C69" s="6"/>
      <c r="D69" s="30"/>
      <c r="E69" s="30"/>
      <c r="F69" s="30"/>
      <c r="G69" s="30"/>
      <c r="H69" s="30"/>
      <c r="I69" s="30"/>
      <c r="J69" s="30"/>
      <c r="K69" s="6"/>
    </row>
    <row r="70" spans="1:11" s="335" customFormat="1">
      <c r="A70" s="29"/>
      <c r="B70" s="12"/>
      <c r="C70" s="6"/>
      <c r="D70" s="30"/>
      <c r="E70" s="30"/>
      <c r="F70" s="30"/>
      <c r="G70" s="30"/>
      <c r="H70" s="30"/>
      <c r="I70" s="30"/>
      <c r="J70" s="30"/>
      <c r="K70" s="6"/>
    </row>
    <row r="71" spans="1:11" s="335" customFormat="1">
      <c r="A71" s="29"/>
      <c r="B71" s="12"/>
      <c r="C71" s="6"/>
      <c r="D71" s="30"/>
      <c r="E71" s="30"/>
      <c r="F71" s="30"/>
      <c r="G71" s="30"/>
      <c r="H71" s="30"/>
      <c r="I71" s="30"/>
      <c r="J71" s="30"/>
      <c r="K71" s="6"/>
    </row>
    <row r="72" spans="1:11" s="335" customFormat="1">
      <c r="A72" s="29"/>
      <c r="B72" s="12"/>
      <c r="C72" s="6"/>
      <c r="D72" s="30"/>
      <c r="E72" s="30"/>
      <c r="F72" s="30"/>
      <c r="G72" s="30"/>
      <c r="H72" s="30"/>
      <c r="I72" s="30"/>
      <c r="J72" s="30"/>
      <c r="K72" s="6"/>
    </row>
    <row r="73" spans="1:11">
      <c r="A73" s="435"/>
      <c r="B73" s="435"/>
      <c r="C73" s="435"/>
      <c r="D73" s="336"/>
      <c r="E73" s="311"/>
      <c r="F73" s="311"/>
      <c r="G73" s="433"/>
      <c r="H73" s="433"/>
      <c r="I73" s="433"/>
      <c r="J73" s="433"/>
      <c r="K73" s="433"/>
    </row>
    <row r="74" spans="1:11">
      <c r="A74" s="435"/>
      <c r="B74" s="435"/>
      <c r="C74" s="435"/>
      <c r="D74" s="336"/>
      <c r="E74" s="311"/>
      <c r="F74" s="311"/>
      <c r="G74" s="24"/>
      <c r="H74" s="24"/>
      <c r="I74" s="24"/>
      <c r="J74" s="24"/>
      <c r="K74" s="24"/>
    </row>
    <row r="75" spans="1:11">
      <c r="B75" s="306"/>
      <c r="C75" s="306"/>
      <c r="D75" s="1"/>
      <c r="E75" s="306"/>
      <c r="F75" s="306"/>
      <c r="G75" s="434"/>
      <c r="H75" s="434"/>
      <c r="I75" s="434"/>
      <c r="J75" s="434"/>
      <c r="K75" s="434"/>
    </row>
    <row r="76" spans="1:11">
      <c r="B76" s="306"/>
      <c r="C76" s="306"/>
      <c r="D76" s="1"/>
      <c r="E76" s="306"/>
      <c r="F76" s="306"/>
      <c r="G76" s="454" t="s">
        <v>722</v>
      </c>
      <c r="H76" s="454"/>
      <c r="I76" s="454"/>
      <c r="J76" s="454"/>
      <c r="K76" s="454"/>
    </row>
    <row r="77" spans="1:11">
      <c r="B77" s="306"/>
      <c r="C77" s="306"/>
      <c r="D77" s="1"/>
      <c r="E77" s="306"/>
      <c r="F77" s="306"/>
      <c r="G77" s="342"/>
      <c r="H77" s="450"/>
      <c r="I77" s="449" t="s">
        <v>600</v>
      </c>
      <c r="J77" s="449"/>
      <c r="K77" s="449"/>
    </row>
    <row r="78" spans="1:11">
      <c r="B78" s="306"/>
      <c r="C78" s="306"/>
      <c r="D78" s="1"/>
      <c r="E78" s="306"/>
      <c r="F78" s="306"/>
      <c r="G78" s="342"/>
      <c r="H78" s="450"/>
      <c r="I78" s="450"/>
      <c r="J78" s="454" t="s">
        <v>453</v>
      </c>
      <c r="K78" s="454"/>
    </row>
    <row r="79" spans="1:11">
      <c r="B79" s="306"/>
      <c r="C79" s="306"/>
      <c r="D79" s="1"/>
      <c r="E79" s="306"/>
      <c r="F79" s="306"/>
      <c r="G79" s="342"/>
      <c r="H79" s="450"/>
      <c r="I79" s="450"/>
      <c r="J79" s="450"/>
      <c r="K79" s="448"/>
    </row>
    <row r="80" spans="1:11">
      <c r="B80" s="306" t="s">
        <v>0</v>
      </c>
      <c r="C80" s="306"/>
      <c r="D80" s="1" t="s">
        <v>261</v>
      </c>
      <c r="E80" s="306"/>
      <c r="F80" s="306"/>
      <c r="G80" s="342"/>
      <c r="H80" s="450"/>
      <c r="I80" s="450"/>
      <c r="J80" s="450"/>
      <c r="K80" s="455" t="str">
        <f>K7</f>
        <v>Estimated - For the 12 months ended 12/31/18</v>
      </c>
    </row>
    <row r="81" spans="1:15">
      <c r="B81" s="306"/>
      <c r="C81" s="311" t="s">
        <v>2</v>
      </c>
      <c r="D81" s="311" t="s">
        <v>262</v>
      </c>
      <c r="E81" s="311"/>
      <c r="F81" s="311"/>
      <c r="G81" s="311"/>
      <c r="H81" s="2"/>
      <c r="I81" s="2"/>
      <c r="J81" s="2"/>
      <c r="K81" s="6"/>
    </row>
    <row r="82" spans="1:15">
      <c r="B82" s="306"/>
      <c r="C82" s="311"/>
      <c r="D82" s="311"/>
      <c r="E82" s="311"/>
      <c r="F82" s="311"/>
      <c r="G82" s="311"/>
      <c r="H82" s="2"/>
      <c r="I82" s="2"/>
      <c r="J82" s="2"/>
      <c r="K82" s="6"/>
    </row>
    <row r="83" spans="1:15">
      <c r="B83" s="306"/>
      <c r="C83" s="2"/>
      <c r="D83" s="23" t="str">
        <f>D10</f>
        <v>MidAmerican Energy Company</v>
      </c>
      <c r="E83" s="311"/>
      <c r="F83" s="311"/>
      <c r="G83" s="311"/>
      <c r="H83" s="311"/>
      <c r="I83" s="311"/>
      <c r="J83" s="311"/>
      <c r="K83" s="15"/>
    </row>
    <row r="84" spans="1:15">
      <c r="B84" s="3" t="s">
        <v>32</v>
      </c>
      <c r="C84" s="3" t="s">
        <v>33</v>
      </c>
      <c r="D84" s="3" t="s">
        <v>34</v>
      </c>
      <c r="E84" s="311" t="s">
        <v>2</v>
      </c>
      <c r="F84" s="311"/>
      <c r="G84" s="337" t="s">
        <v>35</v>
      </c>
      <c r="H84" s="311"/>
      <c r="I84" s="338" t="s">
        <v>36</v>
      </c>
      <c r="J84" s="311"/>
      <c r="K84" s="29"/>
    </row>
    <row r="85" spans="1:15">
      <c r="B85" s="306"/>
      <c r="C85" s="339" t="s">
        <v>37</v>
      </c>
      <c r="D85" s="311"/>
      <c r="E85" s="311"/>
      <c r="F85" s="311"/>
      <c r="G85" s="3"/>
      <c r="H85" s="311"/>
      <c r="I85" s="9" t="s">
        <v>38</v>
      </c>
      <c r="J85" s="311"/>
      <c r="K85" s="29"/>
    </row>
    <row r="86" spans="1:15">
      <c r="A86" s="3" t="s">
        <v>4</v>
      </c>
      <c r="B86" s="306"/>
      <c r="C86" s="340" t="s">
        <v>39</v>
      </c>
      <c r="D86" s="9" t="s">
        <v>40</v>
      </c>
      <c r="E86" s="341"/>
      <c r="F86" s="9" t="s">
        <v>41</v>
      </c>
      <c r="H86" s="341"/>
      <c r="I86" s="3" t="s">
        <v>42</v>
      </c>
      <c r="J86" s="311"/>
      <c r="K86" s="29"/>
    </row>
    <row r="87" spans="1:15" ht="16.5" thickBot="1">
      <c r="A87" s="4" t="s">
        <v>6</v>
      </c>
      <c r="B87" s="342" t="s">
        <v>43</v>
      </c>
      <c r="C87" s="311"/>
      <c r="D87" s="311"/>
      <c r="E87" s="311"/>
      <c r="F87" s="311"/>
      <c r="G87" s="311"/>
      <c r="H87" s="311"/>
      <c r="I87" s="311"/>
      <c r="J87" s="311"/>
      <c r="K87" s="15"/>
    </row>
    <row r="88" spans="1:15">
      <c r="A88" s="3"/>
      <c r="B88" s="306" t="s">
        <v>502</v>
      </c>
      <c r="C88" s="311"/>
      <c r="D88" s="311"/>
      <c r="E88" s="311"/>
      <c r="F88" s="311"/>
      <c r="G88" s="311"/>
      <c r="H88" s="311"/>
      <c r="I88" s="311"/>
      <c r="J88" s="311"/>
      <c r="K88" s="15"/>
    </row>
    <row r="89" spans="1:15">
      <c r="A89" s="3">
        <v>1</v>
      </c>
      <c r="B89" s="306" t="s">
        <v>44</v>
      </c>
      <c r="C89" s="15" t="s">
        <v>208</v>
      </c>
      <c r="D89" s="318">
        <f>'Plant Balance'!D23-'Plant Balance - ARO'!D23</f>
        <v>12275587474</v>
      </c>
      <c r="E89" s="311"/>
      <c r="F89" s="311" t="s">
        <v>45</v>
      </c>
      <c r="G89" s="343" t="s">
        <v>2</v>
      </c>
      <c r="H89" s="311"/>
      <c r="I89" s="311" t="s">
        <v>2</v>
      </c>
      <c r="J89" s="311"/>
      <c r="K89" s="15"/>
    </row>
    <row r="90" spans="1:15">
      <c r="A90" s="3">
        <v>2</v>
      </c>
      <c r="B90" s="306" t="s">
        <v>46</v>
      </c>
      <c r="C90" s="15" t="s">
        <v>201</v>
      </c>
      <c r="D90" s="318">
        <f>'Plant Balance'!E23-'Plant Balance - ARO'!E23</f>
        <v>1906526841</v>
      </c>
      <c r="E90" s="311"/>
      <c r="F90" s="311" t="s">
        <v>11</v>
      </c>
      <c r="G90" s="344">
        <f>I238</f>
        <v>1</v>
      </c>
      <c r="H90" s="311"/>
      <c r="I90" s="23">
        <f>+G90*D90</f>
        <v>1906526841</v>
      </c>
      <c r="J90" s="311"/>
      <c r="K90" s="15"/>
      <c r="M90" s="335"/>
      <c r="N90" s="335"/>
      <c r="O90" s="335"/>
    </row>
    <row r="91" spans="1:15">
      <c r="A91" s="3">
        <v>3</v>
      </c>
      <c r="B91" s="306" t="s">
        <v>47</v>
      </c>
      <c r="C91" s="15" t="s">
        <v>202</v>
      </c>
      <c r="D91" s="318">
        <f>'Plant Balance'!F23-'Plant Balance - ARO'!F23</f>
        <v>3567104569.0769229</v>
      </c>
      <c r="E91" s="311"/>
      <c r="F91" s="311" t="s">
        <v>45</v>
      </c>
      <c r="G91" s="343" t="s">
        <v>2</v>
      </c>
      <c r="H91" s="311"/>
      <c r="I91" s="311" t="s">
        <v>2</v>
      </c>
      <c r="J91" s="311"/>
      <c r="K91" s="15"/>
    </row>
    <row r="92" spans="1:15">
      <c r="A92" s="3">
        <v>4</v>
      </c>
      <c r="B92" s="306" t="s">
        <v>48</v>
      </c>
      <c r="C92" s="15" t="s">
        <v>209</v>
      </c>
      <c r="D92" s="318">
        <f>'Plant Balance'!G23</f>
        <v>543050612</v>
      </c>
      <c r="E92" s="311"/>
      <c r="F92" s="311" t="s">
        <v>49</v>
      </c>
      <c r="G92" s="344">
        <f>I255</f>
        <v>5.9794381772453144E-2</v>
      </c>
      <c r="H92" s="311"/>
      <c r="I92" s="23">
        <f>+G92*D92</f>
        <v>32471375.615692325</v>
      </c>
      <c r="J92" s="311"/>
      <c r="K92" s="15"/>
    </row>
    <row r="93" spans="1:15" ht="16.5" thickBot="1">
      <c r="A93" s="3">
        <v>5</v>
      </c>
      <c r="B93" s="306" t="s">
        <v>50</v>
      </c>
      <c r="C93" s="15" t="s">
        <v>51</v>
      </c>
      <c r="D93" s="345">
        <v>0</v>
      </c>
      <c r="E93" s="311"/>
      <c r="F93" s="311" t="s">
        <v>94</v>
      </c>
      <c r="G93" s="344">
        <f>K259</f>
        <v>5.5177497368113566E-2</v>
      </c>
      <c r="H93" s="311"/>
      <c r="I93" s="319">
        <f>+G93*D93</f>
        <v>0</v>
      </c>
      <c r="J93" s="311"/>
      <c r="K93" s="15"/>
    </row>
    <row r="94" spans="1:15">
      <c r="A94" s="3">
        <v>6</v>
      </c>
      <c r="B94" s="306" t="s">
        <v>258</v>
      </c>
      <c r="C94" s="15"/>
      <c r="D94" s="23">
        <f>SUM(D89:D93)</f>
        <v>18292269496.076923</v>
      </c>
      <c r="E94" s="311"/>
      <c r="F94" s="311" t="s">
        <v>52</v>
      </c>
      <c r="G94" s="346">
        <f>IF(I94&gt;0,I94/D94,0)</f>
        <v>0.10600096489019814</v>
      </c>
      <c r="H94" s="311"/>
      <c r="I94" s="23">
        <f>SUM(I89:I93)</f>
        <v>1938998216.6156924</v>
      </c>
      <c r="J94" s="311"/>
      <c r="K94" s="347"/>
    </row>
    <row r="95" spans="1:15">
      <c r="B95" s="306"/>
      <c r="C95" s="15"/>
      <c r="D95" s="311"/>
      <c r="E95" s="311"/>
      <c r="F95" s="311"/>
      <c r="G95" s="348"/>
      <c r="H95" s="311"/>
      <c r="I95" s="311"/>
      <c r="J95" s="311"/>
      <c r="K95" s="347"/>
    </row>
    <row r="96" spans="1:15">
      <c r="B96" s="306" t="s">
        <v>503</v>
      </c>
      <c r="C96" s="15"/>
      <c r="D96" s="311"/>
      <c r="E96" s="311"/>
      <c r="F96" s="311"/>
      <c r="G96" s="311"/>
      <c r="H96" s="311"/>
      <c r="I96" s="311"/>
      <c r="J96" s="311"/>
      <c r="K96" s="15"/>
    </row>
    <row r="97" spans="1:11">
      <c r="A97" s="3">
        <v>7</v>
      </c>
      <c r="B97" s="349" t="str">
        <f>+B89</f>
        <v xml:space="preserve">  Production</v>
      </c>
      <c r="C97" s="15" t="s">
        <v>188</v>
      </c>
      <c r="D97" s="318">
        <f>'Accum Depr'!D23-'Accum Depr - ARO'!D23</f>
        <v>3607769948.6923079</v>
      </c>
      <c r="E97" s="311"/>
      <c r="F97" s="23" t="str">
        <f>+F89</f>
        <v>NA</v>
      </c>
      <c r="G97" s="344" t="str">
        <f>+G89</f>
        <v xml:space="preserve"> </v>
      </c>
      <c r="H97" s="311"/>
      <c r="I97" s="311" t="s">
        <v>2</v>
      </c>
      <c r="J97" s="311"/>
      <c r="K97" s="15"/>
    </row>
    <row r="98" spans="1:11">
      <c r="A98" s="3">
        <v>8</v>
      </c>
      <c r="B98" s="349" t="str">
        <f>+B90</f>
        <v xml:space="preserve">  Transmission</v>
      </c>
      <c r="C98" s="15" t="s">
        <v>189</v>
      </c>
      <c r="D98" s="318">
        <f>'Accum Depr'!E23-'Accum Depr - ARO'!E23</f>
        <v>512715236.92307693</v>
      </c>
      <c r="E98" s="311"/>
      <c r="F98" s="23" t="str">
        <f t="shared" ref="F98:G101" si="1">+F90</f>
        <v>TP</v>
      </c>
      <c r="G98" s="344">
        <f t="shared" si="1"/>
        <v>1</v>
      </c>
      <c r="H98" s="311"/>
      <c r="I98" s="23">
        <f>+G98*D98</f>
        <v>512715236.92307693</v>
      </c>
      <c r="J98" s="311"/>
      <c r="K98" s="15"/>
    </row>
    <row r="99" spans="1:11">
      <c r="A99" s="3">
        <v>9</v>
      </c>
      <c r="B99" s="349" t="str">
        <f>+B91</f>
        <v xml:space="preserve">  Distribution</v>
      </c>
      <c r="C99" s="15" t="s">
        <v>190</v>
      </c>
      <c r="D99" s="318">
        <f>'Accum Depr'!F23-'Accum Depr - ARO'!F23</f>
        <v>1456764190.6923077</v>
      </c>
      <c r="E99" s="311"/>
      <c r="F99" s="23" t="str">
        <f t="shared" si="1"/>
        <v>NA</v>
      </c>
      <c r="G99" s="344" t="str">
        <f t="shared" si="1"/>
        <v xml:space="preserve"> </v>
      </c>
      <c r="H99" s="311"/>
      <c r="I99" s="311" t="s">
        <v>2</v>
      </c>
      <c r="J99" s="311"/>
      <c r="K99" s="15"/>
    </row>
    <row r="100" spans="1:11">
      <c r="A100" s="3">
        <v>10</v>
      </c>
      <c r="B100" s="349" t="str">
        <f>+B92</f>
        <v xml:space="preserve">  General &amp; Intangible</v>
      </c>
      <c r="C100" s="15" t="s">
        <v>493</v>
      </c>
      <c r="D100" s="318">
        <f>'Accum Depr'!G23</f>
        <v>286168205</v>
      </c>
      <c r="E100" s="311"/>
      <c r="F100" s="23" t="str">
        <f t="shared" si="1"/>
        <v>W/S</v>
      </c>
      <c r="G100" s="344">
        <f t="shared" si="1"/>
        <v>5.9794381772453144E-2</v>
      </c>
      <c r="H100" s="311"/>
      <c r="I100" s="23">
        <f>+G100*D100</f>
        <v>17111250.900907636</v>
      </c>
      <c r="J100" s="311"/>
      <c r="K100" s="15"/>
    </row>
    <row r="101" spans="1:11" ht="16.5" thickBot="1">
      <c r="A101" s="3">
        <v>11</v>
      </c>
      <c r="B101" s="349" t="str">
        <f>+B93</f>
        <v xml:space="preserve">  Common</v>
      </c>
      <c r="C101" s="15" t="s">
        <v>51</v>
      </c>
      <c r="D101" s="345">
        <v>0</v>
      </c>
      <c r="E101" s="311"/>
      <c r="F101" s="23" t="str">
        <f t="shared" si="1"/>
        <v>CE</v>
      </c>
      <c r="G101" s="344">
        <f t="shared" si="1"/>
        <v>5.5177497368113566E-2</v>
      </c>
      <c r="H101" s="311"/>
      <c r="I101" s="319">
        <f>+G101*D101</f>
        <v>0</v>
      </c>
      <c r="J101" s="311"/>
      <c r="K101" s="15"/>
    </row>
    <row r="102" spans="1:11">
      <c r="A102" s="3">
        <v>12</v>
      </c>
      <c r="B102" s="306" t="s">
        <v>259</v>
      </c>
      <c r="C102" s="311"/>
      <c r="D102" s="23">
        <f>SUM(D97:D101)</f>
        <v>5863417581.3076925</v>
      </c>
      <c r="E102" s="311"/>
      <c r="F102" s="311"/>
      <c r="G102" s="311"/>
      <c r="H102" s="311"/>
      <c r="I102" s="23">
        <f>SUM(I97:I101)</f>
        <v>529826487.82398456</v>
      </c>
      <c r="J102" s="311"/>
      <c r="K102" s="15"/>
    </row>
    <row r="103" spans="1:11">
      <c r="A103" s="3"/>
      <c r="C103" s="311" t="s">
        <v>2</v>
      </c>
      <c r="E103" s="311"/>
      <c r="F103" s="311"/>
      <c r="G103" s="348"/>
      <c r="H103" s="311"/>
      <c r="J103" s="311"/>
      <c r="K103" s="347"/>
    </row>
    <row r="104" spans="1:11">
      <c r="A104" s="3"/>
      <c r="B104" s="306" t="s">
        <v>504</v>
      </c>
      <c r="C104" s="311"/>
      <c r="D104" s="311"/>
      <c r="E104" s="311"/>
      <c r="F104" s="311"/>
      <c r="G104" s="311"/>
      <c r="H104" s="311"/>
      <c r="I104" s="311"/>
      <c r="J104" s="311"/>
      <c r="K104" s="15"/>
    </row>
    <row r="105" spans="1:11">
      <c r="A105" s="3">
        <v>13</v>
      </c>
      <c r="B105" s="349" t="str">
        <f>+B97</f>
        <v xml:space="preserve">  Production</v>
      </c>
      <c r="C105" s="311" t="s">
        <v>230</v>
      </c>
      <c r="D105" s="23">
        <f>D89-D97</f>
        <v>8667817525.3076916</v>
      </c>
      <c r="E105" s="311"/>
      <c r="F105" s="311"/>
      <c r="G105" s="348"/>
      <c r="H105" s="311"/>
      <c r="I105" s="311" t="s">
        <v>2</v>
      </c>
      <c r="J105" s="311"/>
      <c r="K105" s="347"/>
    </row>
    <row r="106" spans="1:11">
      <c r="A106" s="3">
        <v>14</v>
      </c>
      <c r="B106" s="349" t="str">
        <f>+B98</f>
        <v xml:space="preserve">  Transmission</v>
      </c>
      <c r="C106" s="311" t="s">
        <v>231</v>
      </c>
      <c r="D106" s="23">
        <f>D90-D98</f>
        <v>1393811604.0769231</v>
      </c>
      <c r="E106" s="311"/>
      <c r="F106" s="311"/>
      <c r="G106" s="343"/>
      <c r="H106" s="311"/>
      <c r="I106" s="23">
        <f>I90-I98</f>
        <v>1393811604.0769231</v>
      </c>
      <c r="J106" s="311"/>
      <c r="K106" s="347"/>
    </row>
    <row r="107" spans="1:11">
      <c r="A107" s="3">
        <v>15</v>
      </c>
      <c r="B107" s="349" t="str">
        <f>+B99</f>
        <v xml:space="preserve">  Distribution</v>
      </c>
      <c r="C107" s="311" t="s">
        <v>232</v>
      </c>
      <c r="D107" s="23">
        <f>D91-D99</f>
        <v>2110340378.3846152</v>
      </c>
      <c r="E107" s="311"/>
      <c r="F107" s="311"/>
      <c r="G107" s="348"/>
      <c r="H107" s="311"/>
      <c r="I107" s="311" t="s">
        <v>2</v>
      </c>
      <c r="J107" s="311"/>
      <c r="K107" s="347"/>
    </row>
    <row r="108" spans="1:11">
      <c r="A108" s="3">
        <v>16</v>
      </c>
      <c r="B108" s="349" t="str">
        <f>+B100</f>
        <v xml:space="preserve">  General &amp; Intangible</v>
      </c>
      <c r="C108" s="311" t="s">
        <v>233</v>
      </c>
      <c r="D108" s="23">
        <f>D92-D100</f>
        <v>256882407</v>
      </c>
      <c r="E108" s="311"/>
      <c r="F108" s="311"/>
      <c r="G108" s="348"/>
      <c r="H108" s="311"/>
      <c r="I108" s="23">
        <f>I92-I100</f>
        <v>15360124.714784689</v>
      </c>
      <c r="J108" s="311"/>
      <c r="K108" s="347"/>
    </row>
    <row r="109" spans="1:11" ht="16.5" thickBot="1">
      <c r="A109" s="3">
        <v>17</v>
      </c>
      <c r="B109" s="349" t="str">
        <f>+B101</f>
        <v xml:space="preserve">  Common</v>
      </c>
      <c r="C109" s="311" t="s">
        <v>234</v>
      </c>
      <c r="D109" s="319">
        <f>D93-D101</f>
        <v>0</v>
      </c>
      <c r="E109" s="311"/>
      <c r="F109" s="311"/>
      <c r="G109" s="348"/>
      <c r="H109" s="311"/>
      <c r="I109" s="319">
        <f>I93-I101</f>
        <v>0</v>
      </c>
      <c r="J109" s="311"/>
      <c r="K109" s="347"/>
    </row>
    <row r="110" spans="1:11">
      <c r="A110" s="3">
        <v>18</v>
      </c>
      <c r="B110" s="306" t="s">
        <v>257</v>
      </c>
      <c r="C110" s="311"/>
      <c r="D110" s="23">
        <f>SUM(D105:D109)</f>
        <v>12428851914.76923</v>
      </c>
      <c r="E110" s="311"/>
      <c r="F110" s="311" t="s">
        <v>53</v>
      </c>
      <c r="G110" s="346">
        <f>IF(I110&gt;0,I110/D110,0)</f>
        <v>0.1133790746285412</v>
      </c>
      <c r="H110" s="311"/>
      <c r="I110" s="23">
        <f>SUM(I105:I109)</f>
        <v>1409171728.7917078</v>
      </c>
      <c r="J110" s="311"/>
      <c r="K110" s="15"/>
    </row>
    <row r="111" spans="1:11">
      <c r="A111" s="3"/>
      <c r="B111" s="306"/>
      <c r="C111" s="311"/>
      <c r="D111" s="311"/>
      <c r="E111" s="311"/>
      <c r="F111" s="311"/>
      <c r="G111" s="348"/>
      <c r="H111" s="311"/>
      <c r="I111" s="311"/>
      <c r="J111" s="311"/>
      <c r="K111" s="15"/>
    </row>
    <row r="112" spans="1:11">
      <c r="A112" s="3" t="s">
        <v>393</v>
      </c>
      <c r="B112" s="306" t="s">
        <v>505</v>
      </c>
      <c r="C112" s="311" t="s">
        <v>392</v>
      </c>
      <c r="D112" s="322">
        <f>CWIP!G23</f>
        <v>17252758.337421186</v>
      </c>
      <c r="E112" s="311"/>
      <c r="F112" s="311" t="s">
        <v>11</v>
      </c>
      <c r="G112" s="344">
        <f>+G90</f>
        <v>1</v>
      </c>
      <c r="H112" s="311"/>
      <c r="I112" s="23">
        <f>D112*G112</f>
        <v>17252758.337421186</v>
      </c>
      <c r="J112" s="311"/>
      <c r="K112" s="15"/>
    </row>
    <row r="113" spans="1:11">
      <c r="A113" s="3"/>
      <c r="C113" s="311"/>
      <c r="E113" s="311"/>
      <c r="H113" s="311"/>
      <c r="J113" s="311"/>
      <c r="K113" s="347"/>
    </row>
    <row r="114" spans="1:11">
      <c r="A114" s="3"/>
      <c r="B114" s="306" t="s">
        <v>235</v>
      </c>
      <c r="C114" s="311"/>
      <c r="D114" s="311"/>
      <c r="E114" s="311"/>
      <c r="F114" s="311"/>
      <c r="G114" s="311"/>
      <c r="H114" s="311"/>
      <c r="I114" s="311"/>
      <c r="J114" s="311"/>
      <c r="K114" s="15"/>
    </row>
    <row r="115" spans="1:11">
      <c r="A115" s="3">
        <v>19</v>
      </c>
      <c r="B115" s="306" t="s">
        <v>644</v>
      </c>
      <c r="C115" s="311" t="s">
        <v>718</v>
      </c>
      <c r="D115" s="318">
        <f>'ADIT Projection Summary'!M48</f>
        <v>-264820600.36381203</v>
      </c>
      <c r="E115" s="15"/>
      <c r="F115" s="15" t="s">
        <v>11</v>
      </c>
      <c r="G115" s="344">
        <f>+G90</f>
        <v>1</v>
      </c>
      <c r="H115" s="311"/>
      <c r="I115" s="23">
        <f>D115*G115</f>
        <v>-264820600.36381203</v>
      </c>
      <c r="J115" s="311"/>
      <c r="K115" s="347"/>
    </row>
    <row r="116" spans="1:11">
      <c r="A116" s="3">
        <v>20</v>
      </c>
      <c r="B116" s="306" t="s">
        <v>674</v>
      </c>
      <c r="C116" s="311"/>
      <c r="D116" s="318">
        <v>0</v>
      </c>
      <c r="E116" s="311"/>
      <c r="F116" s="311" t="s">
        <v>45</v>
      </c>
      <c r="G116" s="343"/>
      <c r="H116" s="311"/>
      <c r="I116" s="23">
        <f>D116*G116</f>
        <v>0</v>
      </c>
      <c r="J116" s="311"/>
      <c r="K116" s="347"/>
    </row>
    <row r="117" spans="1:11">
      <c r="A117" s="3">
        <v>21</v>
      </c>
      <c r="B117" s="306" t="s">
        <v>674</v>
      </c>
      <c r="C117" s="311"/>
      <c r="D117" s="350">
        <v>0</v>
      </c>
      <c r="E117" s="311"/>
      <c r="F117" s="311" t="s">
        <v>45</v>
      </c>
      <c r="G117" s="343"/>
      <c r="H117" s="311"/>
      <c r="I117" s="23">
        <f t="shared" ref="I117:I121" si="2">D117*G117</f>
        <v>0</v>
      </c>
      <c r="J117" s="311"/>
      <c r="K117" s="347"/>
    </row>
    <row r="118" spans="1:11">
      <c r="A118" s="3">
        <v>22</v>
      </c>
      <c r="B118" s="306" t="s">
        <v>674</v>
      </c>
      <c r="C118" s="311"/>
      <c r="D118" s="350">
        <v>0</v>
      </c>
      <c r="E118" s="311"/>
      <c r="F118" s="311" t="s">
        <v>45</v>
      </c>
      <c r="G118" s="343"/>
      <c r="H118" s="311"/>
      <c r="I118" s="23">
        <f t="shared" si="2"/>
        <v>0</v>
      </c>
      <c r="J118" s="311"/>
      <c r="K118" s="347"/>
    </row>
    <row r="119" spans="1:11">
      <c r="A119" s="3">
        <v>23</v>
      </c>
      <c r="B119" s="308" t="s">
        <v>511</v>
      </c>
      <c r="D119" s="350">
        <v>0</v>
      </c>
      <c r="E119" s="311"/>
      <c r="F119" s="311" t="s">
        <v>54</v>
      </c>
      <c r="G119" s="344">
        <f>+G117</f>
        <v>0</v>
      </c>
      <c r="H119" s="311"/>
      <c r="I119" s="351">
        <f t="shared" si="2"/>
        <v>0</v>
      </c>
      <c r="J119" s="311"/>
      <c r="K119" s="347"/>
    </row>
    <row r="120" spans="1:11">
      <c r="A120" s="3" t="s">
        <v>395</v>
      </c>
      <c r="B120" s="308" t="s">
        <v>415</v>
      </c>
      <c r="C120" s="308" t="s">
        <v>506</v>
      </c>
      <c r="D120" s="350">
        <v>0</v>
      </c>
      <c r="E120" s="311"/>
      <c r="F120" s="311" t="s">
        <v>11</v>
      </c>
      <c r="G120" s="344">
        <f>G90</f>
        <v>1</v>
      </c>
      <c r="H120" s="311"/>
      <c r="I120" s="351">
        <f t="shared" si="2"/>
        <v>0</v>
      </c>
      <c r="J120" s="311"/>
      <c r="K120" s="347"/>
    </row>
    <row r="121" spans="1:11" ht="16.5" thickBot="1">
      <c r="A121" s="3" t="s">
        <v>396</v>
      </c>
      <c r="B121" s="308" t="s">
        <v>394</v>
      </c>
      <c r="C121" s="308" t="s">
        <v>506</v>
      </c>
      <c r="D121" s="345">
        <v>0</v>
      </c>
      <c r="E121" s="311"/>
      <c r="F121" s="311" t="s">
        <v>11</v>
      </c>
      <c r="G121" s="344">
        <f>G90</f>
        <v>1</v>
      </c>
      <c r="H121" s="311"/>
      <c r="I121" s="319">
        <f t="shared" si="2"/>
        <v>0</v>
      </c>
      <c r="J121" s="311"/>
      <c r="K121" s="347"/>
    </row>
    <row r="122" spans="1:11">
      <c r="A122" s="3">
        <v>24</v>
      </c>
      <c r="B122" s="306" t="s">
        <v>519</v>
      </c>
      <c r="C122" s="311"/>
      <c r="D122" s="23">
        <f>SUM(D115:D121)</f>
        <v>-264820600.36381203</v>
      </c>
      <c r="E122" s="311"/>
      <c r="F122" s="311"/>
      <c r="G122" s="311"/>
      <c r="H122" s="311"/>
      <c r="I122" s="23">
        <f>SUM(I115:I121)</f>
        <v>-264820600.36381203</v>
      </c>
      <c r="J122" s="311"/>
      <c r="K122" s="15"/>
    </row>
    <row r="123" spans="1:11">
      <c r="A123" s="3"/>
      <c r="C123" s="311"/>
      <c r="E123" s="311"/>
      <c r="F123" s="311"/>
      <c r="G123" s="348"/>
      <c r="H123" s="311"/>
      <c r="J123" s="311"/>
      <c r="K123" s="347"/>
    </row>
    <row r="124" spans="1:11">
      <c r="A124" s="3">
        <v>25</v>
      </c>
      <c r="B124" s="306" t="s">
        <v>55</v>
      </c>
      <c r="C124" s="15" t="s">
        <v>56</v>
      </c>
      <c r="D124" s="318">
        <v>0</v>
      </c>
      <c r="E124" s="311"/>
      <c r="F124" s="23" t="str">
        <f>+F98</f>
        <v>TP</v>
      </c>
      <c r="G124" s="344">
        <f>+G98</f>
        <v>1</v>
      </c>
      <c r="H124" s="311"/>
      <c r="I124" s="23">
        <f>+G124*D124</f>
        <v>0</v>
      </c>
      <c r="J124" s="311"/>
      <c r="K124" s="15"/>
    </row>
    <row r="125" spans="1:11">
      <c r="A125" s="3"/>
      <c r="B125" s="306"/>
      <c r="C125" s="311"/>
      <c r="D125" s="311"/>
      <c r="E125" s="311"/>
      <c r="F125" s="311"/>
      <c r="G125" s="311"/>
      <c r="H125" s="311"/>
      <c r="I125" s="311"/>
      <c r="J125" s="311"/>
      <c r="K125" s="15"/>
    </row>
    <row r="126" spans="1:11">
      <c r="A126" s="3"/>
      <c r="B126" s="306" t="s">
        <v>173</v>
      </c>
      <c r="C126" s="311" t="s">
        <v>2</v>
      </c>
      <c r="D126" s="311"/>
      <c r="E126" s="311"/>
      <c r="F126" s="311"/>
      <c r="G126" s="311"/>
      <c r="H126" s="311"/>
      <c r="I126" s="311"/>
      <c r="J126" s="311"/>
      <c r="K126" s="15"/>
    </row>
    <row r="127" spans="1:11">
      <c r="A127" s="3">
        <v>26</v>
      </c>
      <c r="B127" s="306" t="s">
        <v>174</v>
      </c>
      <c r="C127" s="308" t="s">
        <v>170</v>
      </c>
      <c r="D127" s="23">
        <f>+D171/8</f>
        <v>11930128.625</v>
      </c>
      <c r="E127" s="311"/>
      <c r="F127" s="311"/>
      <c r="G127" s="348"/>
      <c r="H127" s="311"/>
      <c r="I127" s="23">
        <f>+I171/8</f>
        <v>2329084.3137368364</v>
      </c>
      <c r="J127" s="2"/>
      <c r="K127" s="347"/>
    </row>
    <row r="128" spans="1:11">
      <c r="A128" s="3">
        <v>27</v>
      </c>
      <c r="B128" s="306" t="s">
        <v>507</v>
      </c>
      <c r="C128" s="311" t="s">
        <v>217</v>
      </c>
      <c r="D128" s="318">
        <f>'Inv Bal'!D24</f>
        <v>8964443.384615384</v>
      </c>
      <c r="E128" s="311"/>
      <c r="F128" s="311" t="s">
        <v>57</v>
      </c>
      <c r="G128" s="344">
        <f>I247</f>
        <v>0.98099779291995859</v>
      </c>
      <c r="H128" s="311"/>
      <c r="I128" s="23">
        <f>+G128*D128</f>
        <v>8794099.1750636157</v>
      </c>
      <c r="J128" s="311" t="s">
        <v>2</v>
      </c>
      <c r="K128" s="347"/>
    </row>
    <row r="129" spans="1:11" ht="16.5" thickBot="1">
      <c r="A129" s="3">
        <v>28</v>
      </c>
      <c r="B129" s="306" t="s">
        <v>508</v>
      </c>
      <c r="C129" s="311" t="s">
        <v>200</v>
      </c>
      <c r="D129" s="345">
        <f>Prepay!D24</f>
        <v>18889997.384615384</v>
      </c>
      <c r="E129" s="311"/>
      <c r="F129" s="311" t="s">
        <v>58</v>
      </c>
      <c r="G129" s="344">
        <f>+G94</f>
        <v>0.10600096489019814</v>
      </c>
      <c r="H129" s="311"/>
      <c r="I129" s="319">
        <f>+G129*D129</f>
        <v>2002357.9495425501</v>
      </c>
      <c r="J129" s="311"/>
      <c r="K129" s="347"/>
    </row>
    <row r="130" spans="1:11">
      <c r="A130" s="3">
        <v>29</v>
      </c>
      <c r="B130" s="306" t="s">
        <v>256</v>
      </c>
      <c r="C130" s="2"/>
      <c r="D130" s="23">
        <f>D127+D128+D129</f>
        <v>39784569.394230768</v>
      </c>
      <c r="E130" s="2"/>
      <c r="F130" s="2"/>
      <c r="G130" s="2"/>
      <c r="H130" s="2"/>
      <c r="I130" s="23">
        <f>I127+I128+I129</f>
        <v>13125541.438343002</v>
      </c>
      <c r="J130" s="2"/>
      <c r="K130" s="6"/>
    </row>
    <row r="131" spans="1:11" ht="16.5" thickBot="1">
      <c r="C131" s="311"/>
      <c r="D131" s="352"/>
      <c r="E131" s="311"/>
      <c r="F131" s="311"/>
      <c r="G131" s="311"/>
      <c r="H131" s="311"/>
      <c r="I131" s="352"/>
      <c r="J131" s="311"/>
      <c r="K131" s="15"/>
    </row>
    <row r="132" spans="1:11" ht="16.5" thickBot="1">
      <c r="A132" s="3">
        <v>30</v>
      </c>
      <c r="B132" s="306" t="s">
        <v>520</v>
      </c>
      <c r="C132" s="311"/>
      <c r="D132" s="353">
        <f>+D130+D124+D122+D112+D110</f>
        <v>12221068642.13707</v>
      </c>
      <c r="E132" s="311"/>
      <c r="F132" s="311"/>
      <c r="G132" s="348"/>
      <c r="H132" s="311"/>
      <c r="I132" s="353">
        <f>+I130+I124+I122+I112+I110</f>
        <v>1174729428.20366</v>
      </c>
      <c r="J132" s="311"/>
      <c r="K132" s="347"/>
    </row>
    <row r="133" spans="1:11" ht="16.5" thickTop="1">
      <c r="A133" s="3"/>
      <c r="B133" s="306"/>
      <c r="C133" s="311"/>
      <c r="D133" s="336"/>
      <c r="E133" s="311"/>
      <c r="F133" s="311"/>
      <c r="G133" s="348"/>
      <c r="H133" s="311"/>
      <c r="I133" s="336"/>
      <c r="J133" s="311"/>
      <c r="K133" s="347"/>
    </row>
    <row r="134" spans="1:11">
      <c r="A134" s="3"/>
      <c r="B134" s="306"/>
      <c r="C134" s="311"/>
      <c r="D134" s="336"/>
      <c r="E134" s="311"/>
      <c r="F134" s="311"/>
      <c r="G134" s="348"/>
      <c r="H134" s="311"/>
      <c r="I134" s="336"/>
      <c r="J134" s="311"/>
      <c r="K134" s="347"/>
    </row>
    <row r="135" spans="1:11">
      <c r="A135" s="3"/>
      <c r="B135" s="306"/>
      <c r="C135" s="311"/>
      <c r="D135" s="336"/>
      <c r="E135" s="311"/>
      <c r="F135" s="311"/>
      <c r="G135" s="348"/>
      <c r="H135" s="311"/>
      <c r="I135" s="336"/>
      <c r="J135" s="311"/>
      <c r="K135" s="347"/>
    </row>
    <row r="136" spans="1:11">
      <c r="A136" s="3"/>
      <c r="B136" s="306"/>
      <c r="C136" s="311"/>
      <c r="D136" s="336"/>
      <c r="E136" s="311"/>
      <c r="F136" s="311"/>
      <c r="G136" s="348"/>
      <c r="H136" s="311"/>
      <c r="I136" s="336"/>
      <c r="J136" s="311"/>
      <c r="K136" s="347"/>
    </row>
    <row r="137" spans="1:11">
      <c r="A137" s="3"/>
      <c r="B137" s="306"/>
      <c r="C137" s="311"/>
      <c r="D137" s="336"/>
      <c r="E137" s="311"/>
      <c r="F137" s="311"/>
      <c r="G137" s="348"/>
      <c r="H137" s="311"/>
      <c r="I137" s="336"/>
      <c r="J137" s="311"/>
      <c r="K137" s="347"/>
    </row>
    <row r="138" spans="1:11">
      <c r="A138" s="3"/>
      <c r="B138" s="306"/>
      <c r="C138" s="311"/>
      <c r="D138" s="336"/>
      <c r="E138" s="311"/>
      <c r="F138" s="311"/>
      <c r="G138" s="348"/>
      <c r="H138" s="311"/>
      <c r="I138" s="336"/>
      <c r="J138" s="311"/>
      <c r="K138" s="347"/>
    </row>
    <row r="139" spans="1:11">
      <c r="A139" s="3"/>
      <c r="B139" s="306"/>
      <c r="C139" s="311"/>
      <c r="D139" s="336"/>
      <c r="E139" s="311"/>
      <c r="F139" s="311"/>
      <c r="G139" s="348"/>
      <c r="H139" s="311"/>
      <c r="I139" s="336"/>
      <c r="J139" s="311"/>
      <c r="K139" s="347"/>
    </row>
    <row r="140" spans="1:11">
      <c r="A140" s="3"/>
      <c r="B140" s="306"/>
      <c r="C140" s="311"/>
      <c r="D140" s="336"/>
      <c r="E140" s="311"/>
      <c r="F140" s="311"/>
      <c r="G140" s="348"/>
      <c r="H140" s="311"/>
      <c r="I140" s="336"/>
      <c r="J140" s="311"/>
      <c r="K140" s="347"/>
    </row>
    <row r="141" spans="1:11">
      <c r="A141" s="3"/>
      <c r="B141" s="306"/>
      <c r="C141" s="311"/>
      <c r="D141" s="336"/>
      <c r="E141" s="311"/>
      <c r="F141" s="311"/>
      <c r="G141" s="348"/>
      <c r="H141" s="311"/>
      <c r="I141" s="336"/>
      <c r="J141" s="311"/>
      <c r="K141" s="347"/>
    </row>
    <row r="142" spans="1:11">
      <c r="A142" s="3"/>
      <c r="B142" s="306"/>
      <c r="C142" s="311"/>
      <c r="D142" s="336"/>
      <c r="E142" s="311"/>
      <c r="F142" s="311"/>
      <c r="G142" s="348"/>
      <c r="H142" s="311"/>
      <c r="I142" s="336"/>
      <c r="J142" s="311"/>
      <c r="K142" s="347"/>
    </row>
    <row r="143" spans="1:11">
      <c r="A143" s="3"/>
      <c r="B143" s="306"/>
      <c r="C143" s="311"/>
      <c r="D143" s="336"/>
      <c r="E143" s="311"/>
      <c r="F143" s="311"/>
      <c r="G143" s="348"/>
      <c r="H143" s="311"/>
      <c r="I143" s="336"/>
      <c r="J143" s="311"/>
      <c r="K143" s="347"/>
    </row>
    <row r="144" spans="1:11">
      <c r="A144" s="3"/>
      <c r="B144" s="306"/>
      <c r="C144" s="311"/>
      <c r="D144" s="336"/>
      <c r="E144" s="311"/>
      <c r="F144" s="311"/>
      <c r="G144" s="348"/>
      <c r="H144" s="311"/>
      <c r="I144" s="336"/>
      <c r="J144" s="311"/>
      <c r="K144" s="347"/>
    </row>
    <row r="145" spans="1:11">
      <c r="A145" s="435"/>
      <c r="B145" s="435"/>
      <c r="C145" s="435"/>
      <c r="D145" s="336"/>
      <c r="E145" s="311"/>
      <c r="F145" s="311"/>
      <c r="G145" s="348"/>
      <c r="H145" s="311"/>
      <c r="I145" s="433"/>
      <c r="J145" s="433"/>
      <c r="K145" s="433"/>
    </row>
    <row r="146" spans="1:11">
      <c r="A146" s="435"/>
      <c r="B146" s="435"/>
      <c r="C146" s="311"/>
      <c r="D146" s="336"/>
      <c r="E146" s="311"/>
      <c r="F146" s="311"/>
      <c r="G146" s="348"/>
      <c r="H146" s="311"/>
      <c r="I146" s="336"/>
      <c r="J146" s="311"/>
      <c r="K146" s="24"/>
    </row>
    <row r="147" spans="1:11" ht="32.25" customHeight="1">
      <c r="A147" s="440"/>
      <c r="B147" s="440"/>
      <c r="C147" s="440"/>
      <c r="D147" s="440"/>
      <c r="E147" s="440"/>
      <c r="F147" s="440"/>
      <c r="G147" s="440"/>
      <c r="H147" s="440"/>
      <c r="I147" s="440"/>
      <c r="J147" s="440"/>
      <c r="K147" s="440"/>
    </row>
    <row r="148" spans="1:11">
      <c r="B148" s="306"/>
      <c r="C148" s="306"/>
      <c r="D148" s="1"/>
      <c r="E148" s="306"/>
      <c r="F148" s="434"/>
      <c r="G148" s="439"/>
      <c r="H148" s="439"/>
      <c r="I148" s="439"/>
      <c r="J148" s="439"/>
      <c r="K148" s="439"/>
    </row>
    <row r="149" spans="1:11">
      <c r="B149" s="306"/>
      <c r="C149" s="306"/>
      <c r="D149" s="434"/>
      <c r="E149" s="434"/>
      <c r="F149" s="434"/>
      <c r="G149" s="434"/>
      <c r="H149" s="434"/>
      <c r="I149" s="434"/>
      <c r="J149" s="434"/>
      <c r="K149" s="434"/>
    </row>
    <row r="150" spans="1:11">
      <c r="B150" s="306"/>
      <c r="C150" s="306"/>
      <c r="D150" s="1"/>
      <c r="E150" s="306"/>
      <c r="F150" s="306"/>
      <c r="G150" s="306"/>
      <c r="H150" s="2"/>
      <c r="I150" s="447"/>
      <c r="J150" s="447"/>
      <c r="K150" s="448" t="s">
        <v>722</v>
      </c>
    </row>
    <row r="151" spans="1:11">
      <c r="B151" s="306"/>
      <c r="C151" s="306"/>
      <c r="D151" s="1"/>
      <c r="E151" s="306"/>
      <c r="F151" s="306"/>
      <c r="G151" s="306"/>
      <c r="H151" s="2"/>
      <c r="I151" s="449" t="s">
        <v>600</v>
      </c>
      <c r="J151" s="449"/>
      <c r="K151" s="449"/>
    </row>
    <row r="152" spans="1:11">
      <c r="B152" s="306"/>
      <c r="C152" s="306"/>
      <c r="D152" s="1"/>
      <c r="E152" s="306"/>
      <c r="F152" s="306"/>
      <c r="G152" s="306"/>
      <c r="H152" s="2"/>
      <c r="I152" s="450"/>
      <c r="J152" s="454" t="s">
        <v>454</v>
      </c>
      <c r="K152" s="454"/>
    </row>
    <row r="153" spans="1:11">
      <c r="B153" s="306"/>
      <c r="C153" s="306"/>
      <c r="D153" s="1"/>
      <c r="E153" s="306"/>
      <c r="F153" s="306"/>
      <c r="G153" s="306"/>
      <c r="H153" s="2"/>
      <c r="I153" s="450"/>
      <c r="J153" s="450"/>
      <c r="K153" s="448"/>
    </row>
    <row r="154" spans="1:11">
      <c r="B154" s="306" t="s">
        <v>0</v>
      </c>
      <c r="C154" s="306"/>
      <c r="D154" s="1" t="s">
        <v>1</v>
      </c>
      <c r="E154" s="306"/>
      <c r="F154" s="306"/>
      <c r="G154" s="306"/>
      <c r="H154" s="2"/>
      <c r="I154" s="450"/>
      <c r="J154" s="450"/>
      <c r="K154" s="455" t="str">
        <f>K7</f>
        <v>Estimated - For the 12 months ended 12/31/18</v>
      </c>
    </row>
    <row r="155" spans="1:11">
      <c r="B155" s="306"/>
      <c r="C155" s="311" t="s">
        <v>2</v>
      </c>
      <c r="D155" s="311" t="s">
        <v>3</v>
      </c>
      <c r="E155" s="311"/>
      <c r="F155" s="311"/>
      <c r="G155" s="311"/>
      <c r="H155" s="2"/>
      <c r="I155" s="2"/>
      <c r="J155" s="2"/>
      <c r="K155" s="6"/>
    </row>
    <row r="156" spans="1:11">
      <c r="B156" s="306"/>
      <c r="C156" s="311"/>
      <c r="D156" s="311"/>
      <c r="E156" s="311"/>
      <c r="F156" s="311"/>
      <c r="G156" s="311"/>
      <c r="H156" s="2"/>
      <c r="I156" s="2"/>
      <c r="J156" s="2"/>
      <c r="K156" s="6"/>
    </row>
    <row r="157" spans="1:11">
      <c r="A157" s="3"/>
      <c r="D157" s="354" t="str">
        <f>D10</f>
        <v>MidAmerican Energy Company</v>
      </c>
      <c r="J157" s="311"/>
      <c r="K157" s="15"/>
    </row>
    <row r="158" spans="1:11">
      <c r="A158" s="3"/>
      <c r="B158" s="3" t="s">
        <v>32</v>
      </c>
      <c r="C158" s="3" t="s">
        <v>33</v>
      </c>
      <c r="D158" s="3" t="s">
        <v>34</v>
      </c>
      <c r="E158" s="311" t="s">
        <v>2</v>
      </c>
      <c r="F158" s="311"/>
      <c r="G158" s="337" t="s">
        <v>35</v>
      </c>
      <c r="H158" s="311"/>
      <c r="I158" s="338" t="s">
        <v>36</v>
      </c>
      <c r="J158" s="311"/>
      <c r="K158" s="15"/>
    </row>
    <row r="159" spans="1:11">
      <c r="A159" s="3" t="s">
        <v>4</v>
      </c>
      <c r="B159" s="306"/>
      <c r="C159" s="339" t="s">
        <v>37</v>
      </c>
      <c r="D159" s="311"/>
      <c r="E159" s="311"/>
      <c r="F159" s="311"/>
      <c r="G159" s="3"/>
      <c r="H159" s="311"/>
      <c r="I159" s="9" t="s">
        <v>38</v>
      </c>
      <c r="J159" s="311"/>
      <c r="K159" s="10"/>
    </row>
    <row r="160" spans="1:11" ht="16.5" thickBot="1">
      <c r="A160" s="4" t="s">
        <v>6</v>
      </c>
      <c r="B160" s="306"/>
      <c r="C160" s="340" t="s">
        <v>39</v>
      </c>
      <c r="D160" s="9" t="s">
        <v>40</v>
      </c>
      <c r="E160" s="341"/>
      <c r="F160" s="9" t="s">
        <v>41</v>
      </c>
      <c r="H160" s="341"/>
      <c r="I160" s="3" t="s">
        <v>42</v>
      </c>
      <c r="J160" s="311"/>
      <c r="K160" s="10"/>
    </row>
    <row r="161" spans="1:15">
      <c r="A161" s="3"/>
      <c r="B161" s="306" t="s">
        <v>494</v>
      </c>
      <c r="C161" s="311"/>
      <c r="D161" s="311"/>
      <c r="E161" s="311"/>
      <c r="F161" s="311"/>
      <c r="G161" s="311"/>
      <c r="H161" s="311"/>
      <c r="I161" s="311"/>
      <c r="J161" s="311"/>
      <c r="K161" s="15"/>
    </row>
    <row r="162" spans="1:15">
      <c r="A162" s="3">
        <v>1</v>
      </c>
      <c r="B162" s="306" t="s">
        <v>59</v>
      </c>
      <c r="C162" s="311" t="s">
        <v>210</v>
      </c>
      <c r="D162" s="318">
        <f>'O&amp;M'!C22</f>
        <v>80896024</v>
      </c>
      <c r="E162" s="311"/>
      <c r="F162" s="311" t="s">
        <v>57</v>
      </c>
      <c r="G162" s="344">
        <f>I247</f>
        <v>0.98099779291995859</v>
      </c>
      <c r="H162" s="311"/>
      <c r="I162" s="23">
        <f>+G162*D162</f>
        <v>79358821</v>
      </c>
      <c r="J162" s="2"/>
      <c r="K162" s="15"/>
    </row>
    <row r="163" spans="1:15">
      <c r="A163" s="29" t="s">
        <v>203</v>
      </c>
      <c r="B163" s="12" t="s">
        <v>237</v>
      </c>
      <c r="C163" s="15"/>
      <c r="D163" s="318">
        <f>'Acct 561'!C15+'Acct 561'!C23</f>
        <v>6103617</v>
      </c>
      <c r="E163" s="311"/>
      <c r="F163" s="355"/>
      <c r="G163" s="343">
        <v>1</v>
      </c>
      <c r="H163" s="311"/>
      <c r="I163" s="23">
        <f>+G163*D163</f>
        <v>6103617</v>
      </c>
      <c r="J163" s="2"/>
      <c r="K163" s="15"/>
    </row>
    <row r="164" spans="1:15">
      <c r="A164" s="3">
        <v>2</v>
      </c>
      <c r="B164" s="306" t="s">
        <v>60</v>
      </c>
      <c r="C164" s="311" t="s">
        <v>211</v>
      </c>
      <c r="D164" s="318">
        <f>'Acct 565'!C13</f>
        <v>60635035</v>
      </c>
      <c r="E164" s="311"/>
      <c r="F164" s="311" t="s">
        <v>57</v>
      </c>
      <c r="G164" s="344">
        <f>+G162</f>
        <v>0.98099779291995859</v>
      </c>
      <c r="H164" s="311"/>
      <c r="I164" s="23">
        <f t="shared" ref="I164:I170" si="3">+G164*D164</f>
        <v>59482835.508624442</v>
      </c>
      <c r="J164" s="2"/>
      <c r="K164" s="15"/>
    </row>
    <row r="165" spans="1:15">
      <c r="A165" s="3">
        <v>3</v>
      </c>
      <c r="B165" s="306" t="s">
        <v>61</v>
      </c>
      <c r="C165" s="311" t="s">
        <v>212</v>
      </c>
      <c r="D165" s="318">
        <f>'A&amp;G'!C22</f>
        <v>83218917</v>
      </c>
      <c r="E165" s="311"/>
      <c r="F165" s="311" t="s">
        <v>49</v>
      </c>
      <c r="G165" s="344">
        <f>+G100</f>
        <v>5.9794381772453144E-2</v>
      </c>
      <c r="H165" s="311"/>
      <c r="I165" s="23">
        <f t="shared" si="3"/>
        <v>4976023.6937880907</v>
      </c>
      <c r="J165" s="311"/>
      <c r="K165" s="15" t="s">
        <v>2</v>
      </c>
    </row>
    <row r="166" spans="1:15">
      <c r="A166" s="3">
        <v>4</v>
      </c>
      <c r="B166" s="306" t="s">
        <v>62</v>
      </c>
      <c r="C166" s="311" t="s">
        <v>361</v>
      </c>
      <c r="D166" s="318">
        <f>'FERC Exp &amp; EPRI'!C10</f>
        <v>1810236</v>
      </c>
      <c r="E166" s="311"/>
      <c r="F166" s="23" t="str">
        <f>+F165</f>
        <v>W/S</v>
      </c>
      <c r="G166" s="344">
        <f>+G165</f>
        <v>5.9794381772453144E-2</v>
      </c>
      <c r="H166" s="311"/>
      <c r="I166" s="23">
        <f t="shared" si="3"/>
        <v>108241.94248223849</v>
      </c>
      <c r="J166" s="311"/>
      <c r="K166" s="15"/>
    </row>
    <row r="167" spans="1:15">
      <c r="A167" s="3">
        <v>5</v>
      </c>
      <c r="B167" s="12" t="s">
        <v>362</v>
      </c>
      <c r="C167" s="15"/>
      <c r="D167" s="318">
        <f>'FERC Exp &amp; EPRI'!C12</f>
        <v>125024</v>
      </c>
      <c r="E167" s="311"/>
      <c r="F167" s="23" t="str">
        <f>+F166</f>
        <v>W/S</v>
      </c>
      <c r="G167" s="344">
        <f>+G166</f>
        <v>5.9794381772453144E-2</v>
      </c>
      <c r="H167" s="311"/>
      <c r="I167" s="23">
        <f t="shared" si="3"/>
        <v>7475.7327867191816</v>
      </c>
      <c r="J167" s="311"/>
      <c r="K167" s="15"/>
    </row>
    <row r="168" spans="1:15">
      <c r="A168" s="3" t="s">
        <v>181</v>
      </c>
      <c r="B168" s="12" t="s">
        <v>238</v>
      </c>
      <c r="C168" s="15"/>
      <c r="D168" s="318">
        <v>0</v>
      </c>
      <c r="E168" s="311"/>
      <c r="F168" s="356" t="str">
        <f>+F162</f>
        <v>TE</v>
      </c>
      <c r="G168" s="357">
        <f>+G162</f>
        <v>0.98099779291995859</v>
      </c>
      <c r="H168" s="311"/>
      <c r="I168" s="23">
        <f>+G168*D168</f>
        <v>0</v>
      </c>
      <c r="J168" s="311"/>
      <c r="K168" s="15"/>
    </row>
    <row r="169" spans="1:15">
      <c r="A169" s="3">
        <v>6</v>
      </c>
      <c r="B169" s="306" t="s">
        <v>50</v>
      </c>
      <c r="C169" s="23" t="str">
        <f>+C101</f>
        <v>356.1</v>
      </c>
      <c r="D169" s="318">
        <v>0</v>
      </c>
      <c r="E169" s="311"/>
      <c r="F169" s="311" t="s">
        <v>94</v>
      </c>
      <c r="G169" s="344">
        <f>+G101</f>
        <v>5.5177497368113566E-2</v>
      </c>
      <c r="H169" s="311"/>
      <c r="I169" s="23">
        <f t="shared" si="3"/>
        <v>0</v>
      </c>
      <c r="J169" s="311"/>
      <c r="K169" s="15"/>
    </row>
    <row r="170" spans="1:15" ht="16.5" thickBot="1">
      <c r="A170" s="3">
        <v>7</v>
      </c>
      <c r="B170" s="306" t="s">
        <v>63</v>
      </c>
      <c r="C170" s="311"/>
      <c r="D170" s="345">
        <v>0</v>
      </c>
      <c r="E170" s="311"/>
      <c r="F170" s="311" t="s">
        <v>2</v>
      </c>
      <c r="G170" s="343">
        <v>1</v>
      </c>
      <c r="H170" s="311"/>
      <c r="I170" s="319">
        <f t="shared" si="3"/>
        <v>0</v>
      </c>
      <c r="J170" s="311"/>
      <c r="K170" s="15"/>
    </row>
    <row r="171" spans="1:15">
      <c r="A171" s="29">
        <v>8</v>
      </c>
      <c r="B171" s="12" t="s">
        <v>273</v>
      </c>
      <c r="C171" s="15"/>
      <c r="D171" s="27">
        <f>+D162-D164+D165-D166-D167-D163+D169+D170+D168</f>
        <v>95441029</v>
      </c>
      <c r="E171" s="15"/>
      <c r="F171" s="15"/>
      <c r="G171" s="15"/>
      <c r="H171" s="15"/>
      <c r="I171" s="27">
        <f>+I162-I164+I165-I166-I167-I163+I169+I170+I168</f>
        <v>18632674.509894691</v>
      </c>
      <c r="J171" s="15"/>
      <c r="K171" s="15"/>
      <c r="L171" s="335"/>
      <c r="M171" s="335"/>
      <c r="N171" s="335"/>
      <c r="O171" s="335"/>
    </row>
    <row r="172" spans="1:15">
      <c r="A172" s="3"/>
      <c r="C172" s="311"/>
      <c r="E172" s="311"/>
      <c r="F172" s="311"/>
      <c r="G172" s="311"/>
      <c r="H172" s="311"/>
      <c r="J172" s="311"/>
      <c r="K172" s="15"/>
    </row>
    <row r="173" spans="1:15">
      <c r="A173" s="3"/>
      <c r="B173" s="306" t="s">
        <v>510</v>
      </c>
      <c r="C173" s="311"/>
      <c r="D173" s="311"/>
      <c r="E173" s="311"/>
      <c r="F173" s="311"/>
      <c r="G173" s="311"/>
      <c r="H173" s="311"/>
      <c r="I173" s="311"/>
      <c r="J173" s="311"/>
      <c r="K173" s="15"/>
    </row>
    <row r="174" spans="1:15">
      <c r="A174" s="3">
        <v>9</v>
      </c>
      <c r="B174" s="349" t="str">
        <f>+B162</f>
        <v xml:space="preserve">  Transmission </v>
      </c>
      <c r="C174" s="311" t="s">
        <v>64</v>
      </c>
      <c r="D174" s="318">
        <f>Depreciation!C12-Depreciation!C13</f>
        <v>38659006</v>
      </c>
      <c r="E174" s="311"/>
      <c r="F174" s="311" t="s">
        <v>11</v>
      </c>
      <c r="G174" s="344">
        <f>+G124</f>
        <v>1</v>
      </c>
      <c r="H174" s="311"/>
      <c r="I174" s="23">
        <f>+G174*D174</f>
        <v>38659006</v>
      </c>
      <c r="J174" s="311"/>
      <c r="K174" s="347"/>
    </row>
    <row r="175" spans="1:15">
      <c r="A175" s="3" t="s">
        <v>398</v>
      </c>
      <c r="B175" s="306" t="s">
        <v>416</v>
      </c>
      <c r="C175" s="311" t="s">
        <v>509</v>
      </c>
      <c r="D175" s="318">
        <v>0</v>
      </c>
      <c r="E175" s="311"/>
      <c r="F175" s="311" t="s">
        <v>11</v>
      </c>
      <c r="G175" s="344">
        <f>+G124</f>
        <v>1</v>
      </c>
      <c r="H175" s="311"/>
      <c r="I175" s="23">
        <f t="shared" ref="I175:I176" si="4">+G175*D175</f>
        <v>0</v>
      </c>
      <c r="J175" s="311"/>
      <c r="K175" s="347"/>
    </row>
    <row r="176" spans="1:15">
      <c r="A176" s="3" t="s">
        <v>399</v>
      </c>
      <c r="B176" s="306" t="s">
        <v>400</v>
      </c>
      <c r="C176" s="311" t="s">
        <v>509</v>
      </c>
      <c r="D176" s="318">
        <v>0</v>
      </c>
      <c r="E176" s="311"/>
      <c r="F176" s="311" t="s">
        <v>11</v>
      </c>
      <c r="G176" s="344">
        <f>+G124</f>
        <v>1</v>
      </c>
      <c r="H176" s="311"/>
      <c r="I176" s="23">
        <f t="shared" si="4"/>
        <v>0</v>
      </c>
      <c r="J176" s="311"/>
      <c r="K176" s="347"/>
    </row>
    <row r="177" spans="1:11">
      <c r="A177" s="3">
        <v>10</v>
      </c>
      <c r="B177" s="306" t="s">
        <v>495</v>
      </c>
      <c r="C177" s="311" t="s">
        <v>527</v>
      </c>
      <c r="D177" s="318">
        <f>Depreciation!C17</f>
        <v>20495184</v>
      </c>
      <c r="E177" s="311"/>
      <c r="F177" s="311" t="s">
        <v>49</v>
      </c>
      <c r="G177" s="344">
        <f>+G165</f>
        <v>5.9794381772453144E-2</v>
      </c>
      <c r="H177" s="311"/>
      <c r="I177" s="23">
        <f>+G177*D177</f>
        <v>1225496.8565926733</v>
      </c>
      <c r="J177" s="311"/>
      <c r="K177" s="347"/>
    </row>
    <row r="178" spans="1:11" ht="16.5" thickBot="1">
      <c r="A178" s="3">
        <v>11</v>
      </c>
      <c r="B178" s="349" t="str">
        <f>+B169</f>
        <v xml:space="preserve">  Common</v>
      </c>
      <c r="C178" s="311" t="s">
        <v>213</v>
      </c>
      <c r="D178" s="345">
        <v>0</v>
      </c>
      <c r="E178" s="311"/>
      <c r="F178" s="311" t="s">
        <v>94</v>
      </c>
      <c r="G178" s="344">
        <f>+G169</f>
        <v>5.5177497368113566E-2</v>
      </c>
      <c r="H178" s="311"/>
      <c r="I178" s="319">
        <f>+G178*D178</f>
        <v>0</v>
      </c>
      <c r="J178" s="311"/>
      <c r="K178" s="347"/>
    </row>
    <row r="179" spans="1:11">
      <c r="A179" s="3">
        <v>12</v>
      </c>
      <c r="B179" s="306" t="s">
        <v>260</v>
      </c>
      <c r="C179" s="311"/>
      <c r="D179" s="23">
        <f>SUM(D174:D178)</f>
        <v>59154190</v>
      </c>
      <c r="E179" s="311"/>
      <c r="F179" s="311"/>
      <c r="G179" s="311"/>
      <c r="H179" s="311"/>
      <c r="I179" s="23">
        <f>SUM(I174:I178)</f>
        <v>39884502.85659267</v>
      </c>
      <c r="J179" s="311"/>
      <c r="K179" s="15"/>
    </row>
    <row r="180" spans="1:11">
      <c r="A180" s="3"/>
      <c r="B180" s="306"/>
      <c r="C180" s="311"/>
      <c r="D180" s="311"/>
      <c r="E180" s="311"/>
      <c r="F180" s="311"/>
      <c r="G180" s="311"/>
      <c r="H180" s="311"/>
      <c r="I180" s="311"/>
      <c r="J180" s="311"/>
      <c r="K180" s="15"/>
    </row>
    <row r="181" spans="1:11">
      <c r="A181" s="3" t="s">
        <v>2</v>
      </c>
      <c r="B181" s="306" t="s">
        <v>239</v>
      </c>
      <c r="D181" s="311"/>
      <c r="E181" s="311"/>
      <c r="F181" s="311"/>
      <c r="G181" s="311"/>
      <c r="H181" s="311"/>
      <c r="I181" s="311"/>
      <c r="J181" s="311"/>
      <c r="K181" s="15"/>
    </row>
    <row r="182" spans="1:11">
      <c r="A182" s="3"/>
      <c r="B182" s="306" t="s">
        <v>65</v>
      </c>
      <c r="E182" s="311"/>
      <c r="F182" s="311"/>
      <c r="H182" s="311"/>
      <c r="J182" s="311"/>
      <c r="K182" s="347"/>
    </row>
    <row r="183" spans="1:11">
      <c r="A183" s="3">
        <v>13</v>
      </c>
      <c r="B183" s="306" t="s">
        <v>66</v>
      </c>
      <c r="C183" s="311" t="s">
        <v>191</v>
      </c>
      <c r="D183" s="318">
        <f>'Other Tax'!C9</f>
        <v>9685146.1463639699</v>
      </c>
      <c r="E183" s="311"/>
      <c r="F183" s="311" t="s">
        <v>49</v>
      </c>
      <c r="G183" s="316">
        <f>+G177</f>
        <v>5.9794381772453144E-2</v>
      </c>
      <c r="H183" s="311"/>
      <c r="I183" s="23">
        <f>+G183*D183</f>
        <v>579117.32619769056</v>
      </c>
      <c r="J183" s="311"/>
      <c r="K183" s="347"/>
    </row>
    <row r="184" spans="1:11">
      <c r="A184" s="3">
        <v>14</v>
      </c>
      <c r="B184" s="306" t="s">
        <v>67</v>
      </c>
      <c r="C184" s="23" t="str">
        <f>+C183</f>
        <v>263.i</v>
      </c>
      <c r="D184" s="318">
        <f>'Other Tax'!C11</f>
        <v>0</v>
      </c>
      <c r="E184" s="311"/>
      <c r="F184" s="23" t="str">
        <f>+F183</f>
        <v>W/S</v>
      </c>
      <c r="G184" s="316">
        <f>+G183</f>
        <v>5.9794381772453144E-2</v>
      </c>
      <c r="H184" s="311"/>
      <c r="I184" s="23">
        <f>+G184*D184</f>
        <v>0</v>
      </c>
      <c r="J184" s="311"/>
      <c r="K184" s="347"/>
    </row>
    <row r="185" spans="1:11">
      <c r="A185" s="3">
        <v>15</v>
      </c>
      <c r="B185" s="306" t="s">
        <v>68</v>
      </c>
      <c r="C185" s="311" t="s">
        <v>2</v>
      </c>
      <c r="E185" s="311"/>
      <c r="F185" s="311"/>
      <c r="H185" s="311"/>
      <c r="J185" s="311"/>
      <c r="K185" s="347"/>
    </row>
    <row r="186" spans="1:11">
      <c r="A186" s="3">
        <v>16</v>
      </c>
      <c r="B186" s="306" t="s">
        <v>69</v>
      </c>
      <c r="C186" s="311" t="s">
        <v>191</v>
      </c>
      <c r="D186" s="318">
        <f>'Other Tax'!C13</f>
        <v>98737296.737962976</v>
      </c>
      <c r="E186" s="311"/>
      <c r="F186" s="311" t="s">
        <v>58</v>
      </c>
      <c r="G186" s="316">
        <f>+G94</f>
        <v>0.10600096489019814</v>
      </c>
      <c r="H186" s="311"/>
      <c r="I186" s="23">
        <f>+G186*D186</f>
        <v>10466248.724873889</v>
      </c>
      <c r="J186" s="311"/>
      <c r="K186" s="347"/>
    </row>
    <row r="187" spans="1:11">
      <c r="A187" s="3">
        <v>17</v>
      </c>
      <c r="B187" s="306" t="s">
        <v>70</v>
      </c>
      <c r="C187" s="311" t="s">
        <v>191</v>
      </c>
      <c r="D187" s="318">
        <f>'Other Tax'!C15</f>
        <v>0</v>
      </c>
      <c r="E187" s="311"/>
      <c r="F187" s="27" t="str">
        <f>+F115</f>
        <v>TP</v>
      </c>
      <c r="G187" s="358" t="s">
        <v>182</v>
      </c>
      <c r="H187" s="311"/>
      <c r="I187" s="311">
        <v>0</v>
      </c>
      <c r="J187" s="311"/>
      <c r="K187" s="347"/>
    </row>
    <row r="188" spans="1:11">
      <c r="A188" s="3">
        <v>18</v>
      </c>
      <c r="B188" s="306" t="s">
        <v>71</v>
      </c>
      <c r="C188" s="23" t="str">
        <f>+C187</f>
        <v>263.i</v>
      </c>
      <c r="D188" s="318">
        <f>'Other Tax'!C17</f>
        <v>989993.11129655829</v>
      </c>
      <c r="E188" s="311"/>
      <c r="F188" s="23" t="str">
        <f>+F186</f>
        <v>GP</v>
      </c>
      <c r="G188" s="316">
        <f>+G186</f>
        <v>0.10600096489019814</v>
      </c>
      <c r="H188" s="311"/>
      <c r="I188" s="23">
        <f>+G188*D188</f>
        <v>104940.22503208449</v>
      </c>
      <c r="J188" s="311"/>
      <c r="K188" s="347"/>
    </row>
    <row r="189" spans="1:11" ht="16.5" thickBot="1">
      <c r="A189" s="3">
        <v>19</v>
      </c>
      <c r="B189" s="306" t="s">
        <v>72</v>
      </c>
      <c r="C189" s="311"/>
      <c r="D189" s="345">
        <f>'Other Tax'!C19</f>
        <v>0</v>
      </c>
      <c r="E189" s="311"/>
      <c r="F189" s="311" t="s">
        <v>58</v>
      </c>
      <c r="G189" s="316">
        <f>+G186</f>
        <v>0.10600096489019814</v>
      </c>
      <c r="H189" s="311"/>
      <c r="I189" s="319">
        <f>+G189*D189</f>
        <v>0</v>
      </c>
      <c r="J189" s="311"/>
      <c r="K189" s="347"/>
    </row>
    <row r="190" spans="1:11">
      <c r="A190" s="3">
        <v>20</v>
      </c>
      <c r="B190" s="306" t="s">
        <v>73</v>
      </c>
      <c r="C190" s="311"/>
      <c r="D190" s="23">
        <f>SUM(D183:D189)</f>
        <v>109412435.99562351</v>
      </c>
      <c r="E190" s="311"/>
      <c r="F190" s="311"/>
      <c r="G190" s="321"/>
      <c r="H190" s="311"/>
      <c r="I190" s="23">
        <f>SUM(I183:I189)</f>
        <v>11150306.276103664</v>
      </c>
      <c r="J190" s="311"/>
      <c r="K190" s="15"/>
    </row>
    <row r="191" spans="1:11">
      <c r="A191" s="3"/>
      <c r="B191" s="306"/>
      <c r="C191" s="311"/>
      <c r="D191" s="311"/>
      <c r="E191" s="311"/>
      <c r="F191" s="311"/>
      <c r="G191" s="321"/>
      <c r="H191" s="311"/>
      <c r="I191" s="311"/>
      <c r="J191" s="311"/>
      <c r="K191" s="15"/>
    </row>
    <row r="192" spans="1:11">
      <c r="A192" s="3" t="s">
        <v>2</v>
      </c>
      <c r="B192" s="306" t="s">
        <v>74</v>
      </c>
      <c r="C192" s="311" t="s">
        <v>240</v>
      </c>
      <c r="D192" s="311"/>
      <c r="E192" s="311"/>
      <c r="G192" s="14"/>
      <c r="H192" s="311"/>
      <c r="J192" s="311"/>
    </row>
    <row r="193" spans="1:11">
      <c r="A193" s="3">
        <v>21</v>
      </c>
      <c r="B193" s="11" t="s">
        <v>161</v>
      </c>
      <c r="C193" s="311"/>
      <c r="D193" s="359">
        <f>IF(D324&gt;0,1-(((1-D325)*(1-D324))/(1-D325*D324*D326)),0)</f>
        <v>0.2846696987606383</v>
      </c>
      <c r="E193" s="311"/>
      <c r="G193" s="14"/>
      <c r="H193" s="311"/>
      <c r="J193" s="311"/>
    </row>
    <row r="194" spans="1:11">
      <c r="A194" s="3">
        <v>22</v>
      </c>
      <c r="B194" s="308" t="s">
        <v>162</v>
      </c>
      <c r="C194" s="311"/>
      <c r="D194" s="359">
        <f>IF(I278&gt;0,(D193/(1-D193))*(1-I275/I278),0)</f>
        <v>0.28249922226550467</v>
      </c>
      <c r="E194" s="311"/>
      <c r="G194" s="14"/>
      <c r="H194" s="311"/>
      <c r="J194" s="311"/>
    </row>
    <row r="195" spans="1:11">
      <c r="A195" s="3"/>
      <c r="B195" s="306" t="s">
        <v>228</v>
      </c>
      <c r="C195" s="311"/>
      <c r="D195" s="311"/>
      <c r="E195" s="311"/>
      <c r="G195" s="14"/>
      <c r="H195" s="311"/>
      <c r="J195" s="311"/>
    </row>
    <row r="196" spans="1:11">
      <c r="A196" s="3"/>
      <c r="B196" s="306" t="s">
        <v>165</v>
      </c>
      <c r="C196" s="311"/>
      <c r="D196" s="311"/>
      <c r="E196" s="311"/>
      <c r="G196" s="14"/>
      <c r="H196" s="311"/>
      <c r="J196" s="311"/>
    </row>
    <row r="197" spans="1:11">
      <c r="A197" s="3">
        <v>23</v>
      </c>
      <c r="B197" s="11" t="s">
        <v>164</v>
      </c>
      <c r="C197" s="311"/>
      <c r="D197" s="360">
        <f>IF(D193&gt;0,1/(1-D193),0)</f>
        <v>1.3979555993468016</v>
      </c>
      <c r="E197" s="311"/>
      <c r="G197" s="14"/>
      <c r="H197" s="311"/>
      <c r="J197" s="311"/>
    </row>
    <row r="198" spans="1:11">
      <c r="A198" s="3">
        <v>24</v>
      </c>
      <c r="B198" s="306" t="s">
        <v>163</v>
      </c>
      <c r="C198" s="311"/>
      <c r="D198" s="318">
        <f>'Amort Inves Tax Credit'!C11*(-1)</f>
        <v>-1285140</v>
      </c>
      <c r="E198" s="311"/>
      <c r="G198" s="14"/>
      <c r="H198" s="311"/>
      <c r="J198" s="311"/>
    </row>
    <row r="199" spans="1:11">
      <c r="A199" s="3"/>
      <c r="B199" s="306"/>
      <c r="C199" s="311"/>
      <c r="D199" s="311"/>
      <c r="E199" s="311"/>
      <c r="G199" s="14"/>
      <c r="H199" s="311"/>
      <c r="J199" s="311"/>
    </row>
    <row r="200" spans="1:11">
      <c r="A200" s="3">
        <v>25</v>
      </c>
      <c r="B200" s="11" t="s">
        <v>166</v>
      </c>
      <c r="C200" s="361"/>
      <c r="D200" s="23">
        <f>D194*D204</f>
        <v>239654859.72905871</v>
      </c>
      <c r="E200" s="311"/>
      <c r="F200" s="311" t="s">
        <v>45</v>
      </c>
      <c r="G200" s="321"/>
      <c r="H200" s="311"/>
      <c r="I200" s="23">
        <f>D194*I204</f>
        <v>23036415.60158319</v>
      </c>
      <c r="J200" s="311"/>
      <c r="K200" s="362" t="s">
        <v>2</v>
      </c>
    </row>
    <row r="201" spans="1:11" ht="16.5" thickBot="1">
      <c r="A201" s="3">
        <v>26</v>
      </c>
      <c r="B201" s="308" t="s">
        <v>168</v>
      </c>
      <c r="C201" s="361"/>
      <c r="D201" s="319">
        <f>D197*D198</f>
        <v>-1796568.6589445486</v>
      </c>
      <c r="E201" s="311"/>
      <c r="F201" s="308" t="s">
        <v>54</v>
      </c>
      <c r="G201" s="316">
        <f>G110</f>
        <v>0.1133790746285412</v>
      </c>
      <c r="H201" s="311"/>
      <c r="I201" s="319">
        <f>G201*D201</f>
        <v>-203693.29205777217</v>
      </c>
      <c r="J201" s="311"/>
      <c r="K201" s="362"/>
    </row>
    <row r="202" spans="1:11">
      <c r="A202" s="3">
        <v>27</v>
      </c>
      <c r="B202" s="11" t="s">
        <v>149</v>
      </c>
      <c r="C202" s="308" t="s">
        <v>169</v>
      </c>
      <c r="D202" s="363">
        <f>+D200+D201</f>
        <v>237858291.07011417</v>
      </c>
      <c r="E202" s="311"/>
      <c r="F202" s="311" t="s">
        <v>2</v>
      </c>
      <c r="G202" s="321" t="s">
        <v>2</v>
      </c>
      <c r="H202" s="311"/>
      <c r="I202" s="363">
        <f>+I200+I201</f>
        <v>22832722.309525419</v>
      </c>
      <c r="J202" s="311"/>
      <c r="K202" s="15"/>
    </row>
    <row r="203" spans="1:11">
      <c r="A203" s="3" t="s">
        <v>2</v>
      </c>
      <c r="C203" s="364"/>
      <c r="D203" s="311"/>
      <c r="E203" s="311"/>
      <c r="F203" s="311"/>
      <c r="G203" s="321"/>
      <c r="H203" s="311"/>
      <c r="I203" s="311"/>
      <c r="J203" s="311"/>
      <c r="K203" s="15"/>
    </row>
    <row r="204" spans="1:11">
      <c r="A204" s="3">
        <v>28</v>
      </c>
      <c r="B204" s="306" t="s">
        <v>75</v>
      </c>
      <c r="C204" s="348"/>
      <c r="D204" s="23">
        <f>+$I278*D132</f>
        <v>848338122.16240716</v>
      </c>
      <c r="E204" s="311"/>
      <c r="F204" s="311" t="s">
        <v>45</v>
      </c>
      <c r="G204" s="14"/>
      <c r="H204" s="311"/>
      <c r="I204" s="23">
        <f>+$I278*I132</f>
        <v>81545058.484913617</v>
      </c>
      <c r="J204" s="311"/>
    </row>
    <row r="205" spans="1:11">
      <c r="A205" s="3"/>
      <c r="B205" s="11" t="s">
        <v>224</v>
      </c>
      <c r="D205" s="311"/>
      <c r="E205" s="311"/>
      <c r="F205" s="311"/>
      <c r="G205" s="14"/>
      <c r="H205" s="311"/>
      <c r="I205" s="311"/>
      <c r="J205" s="311"/>
      <c r="K205" s="347"/>
    </row>
    <row r="206" spans="1:11">
      <c r="A206" s="3"/>
      <c r="B206" s="306"/>
      <c r="D206" s="336"/>
      <c r="E206" s="311"/>
      <c r="F206" s="311"/>
      <c r="G206" s="14"/>
      <c r="H206" s="311"/>
      <c r="I206" s="336"/>
      <c r="J206" s="311"/>
      <c r="K206" s="347"/>
    </row>
    <row r="207" spans="1:11">
      <c r="A207" s="3">
        <v>29</v>
      </c>
      <c r="B207" s="306" t="s">
        <v>167</v>
      </c>
      <c r="C207" s="311"/>
      <c r="D207" s="351">
        <f>+D204+D202+D190+D179+D171</f>
        <v>1350204068.2281449</v>
      </c>
      <c r="E207" s="311"/>
      <c r="F207" s="311"/>
      <c r="G207" s="311"/>
      <c r="H207" s="311"/>
      <c r="I207" s="351">
        <f>+I204+I202+I190+I179+I171</f>
        <v>174045264.43703005</v>
      </c>
      <c r="J207" s="2"/>
      <c r="K207" s="6"/>
    </row>
    <row r="208" spans="1:11" ht="15.75" customHeight="1">
      <c r="A208" s="29">
        <v>30</v>
      </c>
      <c r="B208" s="12" t="s">
        <v>274</v>
      </c>
      <c r="C208" s="15"/>
      <c r="D208" s="336"/>
      <c r="E208" s="311"/>
      <c r="F208" s="311"/>
      <c r="G208" s="311"/>
      <c r="H208" s="311"/>
      <c r="I208" s="336"/>
      <c r="J208" s="2"/>
      <c r="K208" s="6"/>
    </row>
    <row r="209" spans="1:14">
      <c r="A209" s="29"/>
      <c r="B209" s="441" t="s">
        <v>223</v>
      </c>
      <c r="C209" s="441"/>
      <c r="J209" s="2"/>
      <c r="K209" s="6"/>
    </row>
    <row r="210" spans="1:14">
      <c r="A210" s="29"/>
      <c r="B210" s="12" t="s">
        <v>222</v>
      </c>
      <c r="C210" s="15"/>
      <c r="D210" s="350">
        <v>153346</v>
      </c>
      <c r="E210" s="311"/>
      <c r="F210" s="311"/>
      <c r="G210" s="311"/>
      <c r="H210" s="311"/>
      <c r="I210" s="350">
        <f>D210</f>
        <v>153346</v>
      </c>
      <c r="J210" s="2"/>
      <c r="K210" s="6"/>
    </row>
    <row r="211" spans="1:14">
      <c r="A211" s="29" t="s">
        <v>485</v>
      </c>
      <c r="B211" s="12" t="s">
        <v>601</v>
      </c>
      <c r="C211" s="15"/>
      <c r="D211" s="350"/>
      <c r="E211" s="311"/>
      <c r="F211" s="311"/>
      <c r="G211" s="311"/>
      <c r="H211" s="311"/>
      <c r="I211" s="350"/>
      <c r="J211" s="2"/>
      <c r="K211" s="6"/>
    </row>
    <row r="212" spans="1:14">
      <c r="A212" s="29"/>
      <c r="B212" s="12" t="s">
        <v>223</v>
      </c>
      <c r="C212" s="15"/>
      <c r="D212" s="350"/>
      <c r="E212" s="311"/>
      <c r="F212" s="311"/>
      <c r="G212" s="311"/>
      <c r="H212" s="311"/>
      <c r="I212" s="350"/>
      <c r="J212" s="2"/>
      <c r="K212" s="6"/>
    </row>
    <row r="213" spans="1:14" ht="16.5" thickBot="1">
      <c r="A213" s="29"/>
      <c r="B213" s="12" t="s">
        <v>486</v>
      </c>
      <c r="C213" s="15"/>
      <c r="D213" s="345">
        <v>52800261</v>
      </c>
      <c r="E213" s="311"/>
      <c r="F213" s="311"/>
      <c r="G213" s="311"/>
      <c r="H213" s="311"/>
      <c r="I213" s="345">
        <f>D213</f>
        <v>52800261</v>
      </c>
      <c r="J213" s="2"/>
      <c r="K213" s="6"/>
    </row>
    <row r="214" spans="1:14" ht="16.5" thickBot="1">
      <c r="A214" s="29">
        <v>31</v>
      </c>
      <c r="B214" s="335" t="s">
        <v>221</v>
      </c>
      <c r="C214" s="15"/>
      <c r="D214" s="365">
        <f>D207-D210-D213</f>
        <v>1297250461.2281449</v>
      </c>
      <c r="E214" s="15"/>
      <c r="F214" s="15"/>
      <c r="G214" s="15"/>
      <c r="H214" s="15"/>
      <c r="I214" s="365">
        <f>I207-I210-I213</f>
        <v>121091657.43703005</v>
      </c>
      <c r="J214" s="6"/>
      <c r="K214" s="15"/>
      <c r="L214" s="335"/>
      <c r="M214" s="335"/>
      <c r="N214" s="335"/>
    </row>
    <row r="215" spans="1:14" ht="16.5" thickTop="1">
      <c r="A215" s="29"/>
      <c r="B215" s="12" t="s">
        <v>531</v>
      </c>
      <c r="C215" s="15"/>
      <c r="D215" s="336"/>
      <c r="E215" s="311"/>
      <c r="F215" s="311"/>
      <c r="G215" s="311"/>
      <c r="H215" s="311"/>
      <c r="I215" s="336"/>
      <c r="J215" s="2"/>
      <c r="K215" s="6"/>
    </row>
    <row r="216" spans="1:14">
      <c r="A216" s="3"/>
      <c r="B216" s="306"/>
      <c r="C216" s="311"/>
      <c r="D216" s="336"/>
      <c r="E216" s="311"/>
      <c r="F216" s="311"/>
      <c r="G216" s="311"/>
      <c r="H216" s="311"/>
      <c r="I216" s="336"/>
      <c r="J216" s="2"/>
      <c r="K216" s="6"/>
    </row>
    <row r="217" spans="1:14">
      <c r="A217" s="3"/>
      <c r="B217" s="306"/>
      <c r="C217" s="311"/>
      <c r="D217" s="336"/>
      <c r="E217" s="311"/>
      <c r="F217" s="311"/>
      <c r="G217" s="311"/>
      <c r="H217" s="311"/>
      <c r="I217" s="336"/>
      <c r="J217" s="2"/>
      <c r="K217" s="6"/>
    </row>
    <row r="218" spans="1:14">
      <c r="A218" s="3"/>
      <c r="B218" s="306"/>
      <c r="C218" s="311"/>
      <c r="D218" s="336"/>
      <c r="E218" s="311"/>
      <c r="F218" s="311"/>
      <c r="G218" s="311"/>
      <c r="H218" s="311"/>
      <c r="I218" s="336"/>
      <c r="J218" s="2"/>
      <c r="K218" s="6"/>
    </row>
    <row r="219" spans="1:14">
      <c r="A219" s="435"/>
      <c r="B219" s="435"/>
      <c r="C219" s="435"/>
      <c r="D219" s="311"/>
      <c r="E219" s="311"/>
      <c r="F219" s="348"/>
      <c r="G219" s="433"/>
      <c r="H219" s="433"/>
      <c r="I219" s="433"/>
      <c r="J219" s="433"/>
      <c r="K219" s="433"/>
    </row>
    <row r="220" spans="1:14">
      <c r="A220" s="435"/>
      <c r="B220" s="435"/>
      <c r="C220" s="336"/>
      <c r="D220" s="311"/>
      <c r="E220" s="311"/>
      <c r="F220" s="348"/>
      <c r="G220" s="311"/>
      <c r="H220" s="311"/>
      <c r="I220" s="347"/>
      <c r="J220" s="24"/>
      <c r="K220" s="308"/>
    </row>
    <row r="221" spans="1:14">
      <c r="B221" s="306"/>
      <c r="C221" s="306"/>
      <c r="D221" s="1"/>
      <c r="E221" s="306"/>
      <c r="F221" s="306"/>
      <c r="G221" s="434"/>
      <c r="H221" s="439"/>
      <c r="I221" s="439"/>
      <c r="J221" s="439"/>
      <c r="K221" s="439"/>
    </row>
    <row r="222" spans="1:14">
      <c r="B222" s="306"/>
      <c r="C222" s="306"/>
      <c r="D222" s="1"/>
      <c r="E222" s="306"/>
      <c r="F222" s="454" t="s">
        <v>722</v>
      </c>
      <c r="G222" s="454"/>
      <c r="H222" s="454"/>
      <c r="I222" s="454"/>
      <c r="J222" s="454"/>
      <c r="K222" s="454"/>
    </row>
    <row r="223" spans="1:14">
      <c r="B223" s="306"/>
      <c r="C223" s="306"/>
      <c r="D223" s="1"/>
      <c r="E223" s="306"/>
      <c r="F223" s="342"/>
      <c r="G223" s="342"/>
      <c r="H223" s="450"/>
      <c r="I223" s="449" t="s">
        <v>600</v>
      </c>
      <c r="J223" s="449"/>
      <c r="K223" s="449"/>
    </row>
    <row r="224" spans="1:14">
      <c r="B224" s="306"/>
      <c r="C224" s="306"/>
      <c r="D224" s="1"/>
      <c r="E224" s="306"/>
      <c r="F224" s="342"/>
      <c r="G224" s="342"/>
      <c r="H224" s="450"/>
      <c r="I224" s="450"/>
      <c r="J224" s="454" t="s">
        <v>455</v>
      </c>
      <c r="K224" s="454"/>
    </row>
    <row r="225" spans="1:20">
      <c r="B225" s="306"/>
      <c r="C225" s="306"/>
      <c r="D225" s="1"/>
      <c r="E225" s="306"/>
      <c r="F225" s="342"/>
      <c r="G225" s="342"/>
      <c r="H225" s="450"/>
      <c r="I225" s="450"/>
      <c r="J225" s="448"/>
      <c r="K225" s="448"/>
    </row>
    <row r="226" spans="1:20">
      <c r="B226" s="306" t="s">
        <v>0</v>
      </c>
      <c r="C226" s="306"/>
      <c r="D226" s="1" t="s">
        <v>1</v>
      </c>
      <c r="E226" s="306"/>
      <c r="F226" s="342"/>
      <c r="G226" s="456" t="str">
        <f>K7</f>
        <v>Estimated - For the 12 months ended 12/31/18</v>
      </c>
      <c r="H226" s="456"/>
      <c r="I226" s="456"/>
      <c r="J226" s="456"/>
      <c r="K226" s="456"/>
    </row>
    <row r="227" spans="1:20">
      <c r="B227" s="306"/>
      <c r="C227" s="311" t="s">
        <v>2</v>
      </c>
      <c r="D227" s="311" t="s">
        <v>3</v>
      </c>
      <c r="E227" s="311"/>
      <c r="F227" s="311"/>
      <c r="G227" s="311"/>
      <c r="H227" s="2"/>
      <c r="I227" s="2"/>
      <c r="J227" s="2"/>
      <c r="K227" s="6"/>
    </row>
    <row r="228" spans="1:20" ht="9" customHeight="1">
      <c r="A228" s="3"/>
      <c r="J228" s="311"/>
      <c r="K228" s="15"/>
    </row>
    <row r="229" spans="1:20">
      <c r="A229" s="3"/>
      <c r="D229" s="354" t="str">
        <f>D10</f>
        <v>MidAmerican Energy Company</v>
      </c>
      <c r="J229" s="311"/>
      <c r="K229" s="15"/>
    </row>
    <row r="230" spans="1:20">
      <c r="A230" s="3"/>
      <c r="C230" s="342" t="s">
        <v>76</v>
      </c>
      <c r="E230" s="2"/>
      <c r="F230" s="2"/>
      <c r="G230" s="2"/>
      <c r="H230" s="2"/>
      <c r="I230" s="2"/>
      <c r="J230" s="311"/>
      <c r="K230" s="15"/>
    </row>
    <row r="231" spans="1:20">
      <c r="A231" s="3" t="s">
        <v>4</v>
      </c>
      <c r="B231" s="342"/>
      <c r="C231" s="2"/>
      <c r="D231" s="2"/>
      <c r="E231" s="2"/>
      <c r="F231" s="2"/>
      <c r="G231" s="2"/>
      <c r="H231" s="2"/>
      <c r="I231" s="2"/>
      <c r="J231" s="311"/>
      <c r="K231" s="15"/>
    </row>
    <row r="232" spans="1:20" ht="16.5" thickBot="1">
      <c r="A232" s="4" t="s">
        <v>6</v>
      </c>
      <c r="B232" s="12" t="s">
        <v>79</v>
      </c>
      <c r="C232" s="6"/>
      <c r="D232" s="6"/>
      <c r="E232" s="6"/>
      <c r="F232" s="6"/>
      <c r="G232" s="6"/>
      <c r="H232" s="335"/>
      <c r="I232" s="335"/>
      <c r="J232" s="15"/>
      <c r="K232" s="15"/>
    </row>
    <row r="233" spans="1:20">
      <c r="A233" s="3">
        <v>1</v>
      </c>
      <c r="B233" s="6" t="s">
        <v>242</v>
      </c>
      <c r="C233" s="6"/>
      <c r="D233" s="15"/>
      <c r="E233" s="15"/>
      <c r="F233" s="15"/>
      <c r="G233" s="15"/>
      <c r="H233" s="15"/>
      <c r="I233" s="27">
        <f>D90</f>
        <v>1906526841</v>
      </c>
      <c r="J233" s="15"/>
      <c r="K233" s="15"/>
    </row>
    <row r="234" spans="1:20">
      <c r="A234" s="3">
        <v>2</v>
      </c>
      <c r="B234" s="6" t="s">
        <v>241</v>
      </c>
      <c r="C234" s="335"/>
      <c r="D234" s="366"/>
      <c r="E234" s="335"/>
      <c r="F234" s="335"/>
      <c r="G234" s="335"/>
      <c r="H234" s="335"/>
      <c r="I234" s="318">
        <v>0</v>
      </c>
      <c r="J234" s="15"/>
      <c r="K234" s="15"/>
    </row>
    <row r="235" spans="1:20" ht="16.5" thickBot="1">
      <c r="A235" s="3">
        <v>3</v>
      </c>
      <c r="B235" s="13" t="s">
        <v>243</v>
      </c>
      <c r="C235" s="13"/>
      <c r="D235" s="367"/>
      <c r="E235" s="15"/>
      <c r="F235" s="15"/>
      <c r="G235" s="368"/>
      <c r="H235" s="15"/>
      <c r="I235" s="345">
        <v>0</v>
      </c>
      <c r="J235" s="15"/>
      <c r="K235" s="15"/>
    </row>
    <row r="236" spans="1:20">
      <c r="A236" s="3">
        <v>4</v>
      </c>
      <c r="B236" s="6" t="s">
        <v>187</v>
      </c>
      <c r="C236" s="6"/>
      <c r="D236" s="367"/>
      <c r="E236" s="15"/>
      <c r="F236" s="15"/>
      <c r="G236" s="368"/>
      <c r="H236" s="15"/>
      <c r="I236" s="27">
        <f>I233-I234-I235</f>
        <v>1906526841</v>
      </c>
      <c r="J236" s="15"/>
      <c r="K236" s="15"/>
    </row>
    <row r="237" spans="1:20" ht="9" customHeight="1">
      <c r="A237" s="3"/>
      <c r="B237" s="335"/>
      <c r="C237" s="6"/>
      <c r="D237" s="367"/>
      <c r="E237" s="15"/>
      <c r="F237" s="15"/>
      <c r="G237" s="368"/>
      <c r="H237" s="15"/>
      <c r="I237" s="335"/>
      <c r="J237" s="15"/>
      <c r="K237" s="15"/>
      <c r="N237" s="366"/>
      <c r="O237" s="366"/>
      <c r="P237" s="366"/>
      <c r="Q237" s="366"/>
      <c r="R237" s="366"/>
      <c r="S237" s="366"/>
      <c r="T237" s="366"/>
    </row>
    <row r="238" spans="1:20">
      <c r="A238" s="3">
        <v>5</v>
      </c>
      <c r="B238" s="6" t="s">
        <v>244</v>
      </c>
      <c r="C238" s="369"/>
      <c r="D238" s="370"/>
      <c r="E238" s="371"/>
      <c r="F238" s="371"/>
      <c r="G238" s="372"/>
      <c r="H238" s="15" t="s">
        <v>80</v>
      </c>
      <c r="I238" s="373">
        <f>IF(I233&gt;0,I236/I233,0)</f>
        <v>1</v>
      </c>
      <c r="J238" s="15"/>
      <c r="K238" s="15"/>
      <c r="N238" s="374"/>
      <c r="O238" s="374"/>
      <c r="P238" s="374"/>
      <c r="Q238" s="366"/>
      <c r="R238" s="366"/>
      <c r="S238" s="366"/>
      <c r="T238" s="366"/>
    </row>
    <row r="239" spans="1:20" ht="9" customHeight="1">
      <c r="A239" s="3"/>
      <c r="B239" s="335"/>
      <c r="C239" s="335"/>
      <c r="D239" s="366"/>
      <c r="E239" s="335"/>
      <c r="F239" s="335"/>
      <c r="G239" s="335"/>
      <c r="H239" s="335"/>
      <c r="I239" s="335"/>
      <c r="J239" s="15"/>
      <c r="K239" s="15"/>
      <c r="N239" s="375"/>
      <c r="O239" s="376"/>
      <c r="P239" s="377"/>
      <c r="Q239" s="375"/>
      <c r="R239" s="376"/>
      <c r="S239" s="376"/>
      <c r="T239" s="366"/>
    </row>
    <row r="240" spans="1:20">
      <c r="A240" s="3"/>
      <c r="B240" s="12" t="s">
        <v>77</v>
      </c>
      <c r="C240" s="335"/>
      <c r="D240" s="366"/>
      <c r="E240" s="335"/>
      <c r="F240" s="335"/>
      <c r="G240" s="335"/>
      <c r="H240" s="335"/>
      <c r="I240" s="335"/>
      <c r="J240" s="15"/>
      <c r="K240" s="15"/>
      <c r="N240" s="437"/>
      <c r="O240" s="438"/>
      <c r="P240" s="438"/>
      <c r="Q240" s="438"/>
      <c r="R240" s="438"/>
      <c r="S240" s="438"/>
      <c r="T240" s="366"/>
    </row>
    <row r="241" spans="1:20">
      <c r="A241" s="3">
        <v>6</v>
      </c>
      <c r="B241" s="335" t="s">
        <v>245</v>
      </c>
      <c r="C241" s="335"/>
      <c r="D241" s="157"/>
      <c r="E241" s="6"/>
      <c r="F241" s="6"/>
      <c r="G241" s="29"/>
      <c r="H241" s="6"/>
      <c r="I241" s="27">
        <f>D162</f>
        <v>80896024</v>
      </c>
      <c r="J241" s="15"/>
      <c r="K241" s="15"/>
      <c r="N241" s="378"/>
      <c r="O241" s="376"/>
      <c r="P241" s="377"/>
      <c r="Q241" s="375"/>
      <c r="R241" s="376"/>
      <c r="S241" s="376"/>
      <c r="T241" s="366"/>
    </row>
    <row r="242" spans="1:20" ht="16.5" thickBot="1">
      <c r="A242" s="3">
        <v>7</v>
      </c>
      <c r="B242" s="13" t="s">
        <v>246</v>
      </c>
      <c r="C242" s="13"/>
      <c r="D242" s="367"/>
      <c r="E242" s="367"/>
      <c r="F242" s="15"/>
      <c r="G242" s="15"/>
      <c r="H242" s="15"/>
      <c r="I242" s="345">
        <f>'Acct 561'!C9+'Acct 561'!C11+'Acct 561'!C13</f>
        <v>1537203</v>
      </c>
      <c r="J242" s="15"/>
      <c r="K242" s="15"/>
      <c r="N242" s="379"/>
      <c r="O242" s="380"/>
      <c r="P242" s="377"/>
      <c r="Q242" s="375"/>
      <c r="R242" s="376"/>
      <c r="S242" s="376"/>
      <c r="T242" s="366"/>
    </row>
    <row r="243" spans="1:20">
      <c r="A243" s="3">
        <v>8</v>
      </c>
      <c r="B243" s="6" t="s">
        <v>247</v>
      </c>
      <c r="C243" s="369"/>
      <c r="D243" s="370"/>
      <c r="E243" s="371"/>
      <c r="F243" s="371"/>
      <c r="G243" s="372"/>
      <c r="H243" s="371"/>
      <c r="I243" s="27">
        <f>+I241-I242</f>
        <v>79358821</v>
      </c>
      <c r="J243" s="335"/>
      <c r="N243" s="381"/>
      <c r="O243" s="382"/>
      <c r="P243" s="383"/>
      <c r="Q243" s="383"/>
      <c r="R243" s="378"/>
      <c r="S243" s="378"/>
      <c r="T243" s="366"/>
    </row>
    <row r="244" spans="1:20">
      <c r="A244" s="3"/>
      <c r="B244" s="6"/>
      <c r="C244" s="6"/>
      <c r="D244" s="367"/>
      <c r="E244" s="15"/>
      <c r="F244" s="15"/>
      <c r="G244" s="15"/>
      <c r="H244" s="335"/>
      <c r="I244" s="335"/>
      <c r="J244" s="335"/>
      <c r="N244" s="381"/>
      <c r="O244" s="382"/>
      <c r="P244" s="378"/>
      <c r="Q244" s="378"/>
      <c r="R244" s="378"/>
      <c r="S244" s="378"/>
      <c r="T244" s="366"/>
    </row>
    <row r="245" spans="1:20">
      <c r="A245" s="3">
        <v>9</v>
      </c>
      <c r="B245" s="6" t="s">
        <v>248</v>
      </c>
      <c r="C245" s="6"/>
      <c r="D245" s="367"/>
      <c r="E245" s="15"/>
      <c r="F245" s="15"/>
      <c r="G245" s="15"/>
      <c r="H245" s="15"/>
      <c r="I245" s="357">
        <f>IF(I241&gt;0,I243/I241,0)</f>
        <v>0.98099779291995859</v>
      </c>
      <c r="J245" s="335"/>
      <c r="N245" s="375"/>
      <c r="O245" s="384"/>
      <c r="P245" s="385"/>
      <c r="Q245" s="385"/>
      <c r="R245" s="376"/>
      <c r="S245" s="376"/>
      <c r="T245" s="366"/>
    </row>
    <row r="246" spans="1:20">
      <c r="A246" s="3">
        <v>10</v>
      </c>
      <c r="B246" s="6" t="s">
        <v>249</v>
      </c>
      <c r="C246" s="6"/>
      <c r="D246" s="15"/>
      <c r="E246" s="15"/>
      <c r="F246" s="15"/>
      <c r="G246" s="15"/>
      <c r="H246" s="6" t="s">
        <v>11</v>
      </c>
      <c r="I246" s="386">
        <f>I238</f>
        <v>1</v>
      </c>
      <c r="J246" s="335"/>
      <c r="N246" s="379"/>
      <c r="O246" s="385"/>
      <c r="P246" s="378"/>
      <c r="Q246" s="385"/>
      <c r="R246" s="376"/>
      <c r="S246" s="376"/>
      <c r="T246" s="366"/>
    </row>
    <row r="247" spans="1:20">
      <c r="A247" s="3">
        <v>11</v>
      </c>
      <c r="B247" s="6" t="s">
        <v>250</v>
      </c>
      <c r="C247" s="6"/>
      <c r="D247" s="6"/>
      <c r="E247" s="6"/>
      <c r="F247" s="6"/>
      <c r="G247" s="6"/>
      <c r="H247" s="6" t="s">
        <v>78</v>
      </c>
      <c r="I247" s="387">
        <f>+I246*I245</f>
        <v>0.98099779291995859</v>
      </c>
      <c r="J247" s="335"/>
      <c r="N247" s="379"/>
      <c r="O247" s="385"/>
      <c r="P247" s="378"/>
      <c r="Q247" s="385"/>
      <c r="R247" s="376"/>
      <c r="S247" s="376"/>
      <c r="T247" s="366"/>
    </row>
    <row r="248" spans="1:20">
      <c r="A248" s="3"/>
      <c r="C248" s="2"/>
      <c r="D248" s="311"/>
      <c r="E248" s="311"/>
      <c r="F248" s="311"/>
      <c r="G248" s="388"/>
      <c r="H248" s="311"/>
      <c r="N248" s="379"/>
      <c r="O248" s="385"/>
      <c r="P248" s="378"/>
      <c r="Q248" s="389"/>
      <c r="R248" s="376"/>
      <c r="S248" s="376"/>
      <c r="T248" s="366"/>
    </row>
    <row r="249" spans="1:20">
      <c r="A249" s="3" t="s">
        <v>2</v>
      </c>
      <c r="B249" s="306" t="s">
        <v>81</v>
      </c>
      <c r="C249" s="311"/>
      <c r="D249" s="311"/>
      <c r="E249" s="311"/>
      <c r="F249" s="311"/>
      <c r="G249" s="311"/>
      <c r="H249" s="311"/>
      <c r="I249" s="311"/>
      <c r="J249" s="311"/>
      <c r="K249" s="15"/>
      <c r="N249" s="381"/>
      <c r="O249" s="382"/>
      <c r="P249" s="377"/>
      <c r="Q249" s="375"/>
      <c r="R249" s="376"/>
      <c r="S249" s="376"/>
      <c r="T249" s="366"/>
    </row>
    <row r="250" spans="1:20" ht="16.5" thickBot="1">
      <c r="A250" s="3" t="s">
        <v>2</v>
      </c>
      <c r="B250" s="306"/>
      <c r="C250" s="390" t="s">
        <v>82</v>
      </c>
      <c r="D250" s="391" t="s">
        <v>83</v>
      </c>
      <c r="E250" s="391" t="s">
        <v>11</v>
      </c>
      <c r="F250" s="311"/>
      <c r="G250" s="391" t="s">
        <v>84</v>
      </c>
      <c r="H250" s="311"/>
      <c r="I250" s="311"/>
      <c r="J250" s="311"/>
      <c r="K250" s="15"/>
      <c r="N250" s="392"/>
      <c r="O250" s="382"/>
      <c r="P250" s="377"/>
      <c r="Q250" s="375"/>
      <c r="R250" s="376"/>
      <c r="S250" s="376"/>
      <c r="T250" s="366"/>
    </row>
    <row r="251" spans="1:20">
      <c r="A251" s="3">
        <v>12</v>
      </c>
      <c r="B251" s="306" t="s">
        <v>44</v>
      </c>
      <c r="C251" s="311" t="s">
        <v>214</v>
      </c>
      <c r="D251" s="318">
        <f>'Labor Ratios'!C11</f>
        <v>61219034</v>
      </c>
      <c r="E251" s="393">
        <v>0</v>
      </c>
      <c r="F251" s="393"/>
      <c r="G251" s="23">
        <f>D251*E251</f>
        <v>0</v>
      </c>
      <c r="H251" s="311"/>
      <c r="I251" s="311"/>
      <c r="J251" s="311"/>
      <c r="K251" s="15"/>
      <c r="N251" s="366"/>
      <c r="O251" s="366"/>
      <c r="P251" s="366"/>
      <c r="Q251" s="366"/>
      <c r="R251" s="366"/>
      <c r="S251" s="366"/>
      <c r="T251" s="366"/>
    </row>
    <row r="252" spans="1:20">
      <c r="A252" s="3">
        <v>13</v>
      </c>
      <c r="B252" s="306" t="s">
        <v>46</v>
      </c>
      <c r="C252" s="311" t="s">
        <v>215</v>
      </c>
      <c r="D252" s="318">
        <f>'Labor Ratios'!C13</f>
        <v>7438669</v>
      </c>
      <c r="E252" s="394">
        <f>+I238</f>
        <v>1</v>
      </c>
      <c r="F252" s="393"/>
      <c r="G252" s="23">
        <f>D252*E252</f>
        <v>7438669</v>
      </c>
      <c r="H252" s="311"/>
      <c r="I252" s="311"/>
      <c r="J252" s="311"/>
      <c r="K252" s="15"/>
      <c r="N252" s="366"/>
      <c r="O252" s="366"/>
      <c r="P252" s="366"/>
      <c r="Q252" s="366"/>
      <c r="R252" s="366"/>
      <c r="S252" s="366"/>
      <c r="T252" s="366"/>
    </row>
    <row r="253" spans="1:20">
      <c r="A253" s="3">
        <v>14</v>
      </c>
      <c r="B253" s="306" t="s">
        <v>47</v>
      </c>
      <c r="C253" s="311" t="s">
        <v>216</v>
      </c>
      <c r="D253" s="318">
        <f>'Labor Ratios'!C15</f>
        <v>37202454</v>
      </c>
      <c r="E253" s="393">
        <v>0</v>
      </c>
      <c r="F253" s="393"/>
      <c r="G253" s="23">
        <f>D253*E253</f>
        <v>0</v>
      </c>
      <c r="H253" s="311"/>
      <c r="I253" s="395" t="s">
        <v>85</v>
      </c>
      <c r="J253" s="311"/>
      <c r="K253" s="15"/>
    </row>
    <row r="254" spans="1:20" ht="16.5" thickBot="1">
      <c r="A254" s="3">
        <v>15</v>
      </c>
      <c r="B254" s="306" t="s">
        <v>86</v>
      </c>
      <c r="C254" s="311" t="s">
        <v>251</v>
      </c>
      <c r="D254" s="345">
        <f>'Labor Ratios'!C20</f>
        <v>18543989</v>
      </c>
      <c r="E254" s="393">
        <v>0</v>
      </c>
      <c r="F254" s="393"/>
      <c r="G254" s="319">
        <f>D254*E254</f>
        <v>0</v>
      </c>
      <c r="H254" s="311"/>
      <c r="I254" s="4" t="s">
        <v>87</v>
      </c>
      <c r="J254" s="311"/>
      <c r="K254" s="15"/>
    </row>
    <row r="255" spans="1:20">
      <c r="A255" s="3">
        <v>16</v>
      </c>
      <c r="B255" s="306" t="s">
        <v>179</v>
      </c>
      <c r="C255" s="311"/>
      <c r="D255" s="23">
        <f>SUM(D251:D254)</f>
        <v>124404146</v>
      </c>
      <c r="E255" s="311"/>
      <c r="F255" s="311"/>
      <c r="G255" s="23">
        <f>SUM(G251:G254)</f>
        <v>7438669</v>
      </c>
      <c r="H255" s="3" t="s">
        <v>88</v>
      </c>
      <c r="I255" s="344">
        <f>IF(G255&gt;0,G255/D255,0)</f>
        <v>5.9794381772453144E-2</v>
      </c>
      <c r="J255" s="388" t="s">
        <v>88</v>
      </c>
      <c r="K255" s="15" t="s">
        <v>171</v>
      </c>
    </row>
    <row r="256" spans="1:20" ht="9" customHeight="1">
      <c r="A256" s="3"/>
      <c r="B256" s="306"/>
      <c r="C256" s="311"/>
      <c r="D256" s="311"/>
      <c r="E256" s="311"/>
      <c r="F256" s="311"/>
      <c r="G256" s="311"/>
      <c r="H256" s="311"/>
      <c r="I256" s="311"/>
      <c r="J256" s="311"/>
      <c r="K256" s="15"/>
    </row>
    <row r="257" spans="1:11">
      <c r="A257" s="3"/>
      <c r="B257" s="306" t="s">
        <v>252</v>
      </c>
      <c r="C257" s="311"/>
      <c r="D257" s="339" t="s">
        <v>83</v>
      </c>
      <c r="E257" s="311"/>
      <c r="F257" s="311"/>
      <c r="G257" s="388" t="s">
        <v>89</v>
      </c>
      <c r="H257" s="14" t="s">
        <v>2</v>
      </c>
      <c r="I257" s="346" t="str">
        <f>+I253</f>
        <v>W&amp;S Allocator</v>
      </c>
      <c r="J257" s="311"/>
      <c r="K257" s="15"/>
    </row>
    <row r="258" spans="1:11">
      <c r="A258" s="3">
        <v>17</v>
      </c>
      <c r="B258" s="306" t="s">
        <v>90</v>
      </c>
      <c r="C258" s="311" t="s">
        <v>91</v>
      </c>
      <c r="D258" s="318">
        <f>'Plant Balance'!D23+'Plant Balance'!E23+'Plant Balance'!F23</f>
        <v>17950716174.076923</v>
      </c>
      <c r="E258" s="311"/>
      <c r="G258" s="3" t="s">
        <v>92</v>
      </c>
      <c r="H258" s="14"/>
      <c r="I258" s="3" t="s">
        <v>93</v>
      </c>
      <c r="J258" s="311"/>
      <c r="K258" s="29" t="s">
        <v>94</v>
      </c>
    </row>
    <row r="259" spans="1:11">
      <c r="A259" s="3">
        <v>18</v>
      </c>
      <c r="B259" s="306" t="s">
        <v>95</v>
      </c>
      <c r="C259" s="311" t="s">
        <v>192</v>
      </c>
      <c r="D259" s="318">
        <f>'Plant Balance'!H23</f>
        <v>1501996022</v>
      </c>
      <c r="E259" s="311"/>
      <c r="G259" s="316">
        <f>IF(D261&gt;0,D258/D261,0)</f>
        <v>0.92278732102442196</v>
      </c>
      <c r="H259" s="388" t="s">
        <v>96</v>
      </c>
      <c r="I259" s="316">
        <f>I255</f>
        <v>5.9794381772453144E-2</v>
      </c>
      <c r="J259" s="14" t="s">
        <v>88</v>
      </c>
      <c r="K259" s="396">
        <f>I259*G259</f>
        <v>5.5177497368113566E-2</v>
      </c>
    </row>
    <row r="260" spans="1:11" ht="16.5" thickBot="1">
      <c r="A260" s="3">
        <v>19</v>
      </c>
      <c r="B260" s="397" t="s">
        <v>97</v>
      </c>
      <c r="C260" s="390" t="s">
        <v>193</v>
      </c>
      <c r="D260" s="345">
        <v>0</v>
      </c>
      <c r="E260" s="311"/>
      <c r="F260" s="311"/>
      <c r="G260" s="311" t="s">
        <v>2</v>
      </c>
      <c r="H260" s="311"/>
      <c r="I260" s="311"/>
      <c r="J260" s="311"/>
      <c r="K260" s="15"/>
    </row>
    <row r="261" spans="1:11">
      <c r="A261" s="3">
        <v>20</v>
      </c>
      <c r="B261" s="306" t="s">
        <v>150</v>
      </c>
      <c r="C261" s="311"/>
      <c r="D261" s="23">
        <f>D258+D259+D260</f>
        <v>19452712196.076923</v>
      </c>
      <c r="E261" s="311"/>
      <c r="F261" s="311"/>
      <c r="G261" s="311"/>
      <c r="H261" s="311"/>
      <c r="I261" s="311"/>
      <c r="J261" s="311"/>
      <c r="K261" s="15"/>
    </row>
    <row r="262" spans="1:11" ht="9" customHeight="1">
      <c r="A262" s="3"/>
      <c r="B262" s="306"/>
      <c r="C262" s="311"/>
      <c r="E262" s="311"/>
      <c r="F262" s="311"/>
      <c r="G262" s="311"/>
      <c r="H262" s="311"/>
      <c r="I262" s="311"/>
      <c r="J262" s="311"/>
      <c r="K262" s="15"/>
    </row>
    <row r="263" spans="1:11" ht="16.5" thickBot="1">
      <c r="A263" s="3"/>
      <c r="B263" s="306" t="s">
        <v>98</v>
      </c>
      <c r="C263" s="311"/>
      <c r="D263" s="311"/>
      <c r="E263" s="311"/>
      <c r="F263" s="311"/>
      <c r="G263" s="311"/>
      <c r="H263" s="311"/>
      <c r="I263" s="391" t="s">
        <v>83</v>
      </c>
      <c r="J263" s="311"/>
      <c r="K263" s="15"/>
    </row>
    <row r="264" spans="1:11">
      <c r="A264" s="3">
        <v>21</v>
      </c>
      <c r="B264" s="2"/>
      <c r="C264" s="311" t="s">
        <v>196</v>
      </c>
      <c r="D264" s="311"/>
      <c r="E264" s="311"/>
      <c r="F264" s="311"/>
      <c r="G264" s="311"/>
      <c r="H264" s="311"/>
      <c r="I264" s="398">
        <f>'Cost of Debt'!D12</f>
        <v>242610377</v>
      </c>
      <c r="J264" s="311"/>
      <c r="K264" s="15"/>
    </row>
    <row r="265" spans="1:11" ht="9" customHeight="1">
      <c r="A265" s="3"/>
      <c r="B265" s="306"/>
      <c r="C265" s="311"/>
      <c r="D265" s="311"/>
      <c r="E265" s="311"/>
      <c r="F265" s="311"/>
      <c r="G265" s="311"/>
      <c r="H265" s="311"/>
      <c r="I265" s="311"/>
      <c r="J265" s="311"/>
      <c r="K265" s="15"/>
    </row>
    <row r="266" spans="1:11">
      <c r="A266" s="3">
        <v>22</v>
      </c>
      <c r="B266" s="306"/>
      <c r="C266" s="311" t="s">
        <v>99</v>
      </c>
      <c r="D266" s="311"/>
      <c r="E266" s="311"/>
      <c r="F266" s="311"/>
      <c r="G266" s="311"/>
      <c r="H266" s="15"/>
      <c r="I266" s="399">
        <f>'Pref Stock'!C11</f>
        <v>0</v>
      </c>
      <c r="J266" s="311"/>
      <c r="K266" s="15"/>
    </row>
    <row r="267" spans="1:11" ht="9" customHeight="1">
      <c r="A267" s="3"/>
      <c r="B267" s="306"/>
      <c r="C267" s="311"/>
      <c r="D267" s="311"/>
      <c r="E267" s="311"/>
      <c r="F267" s="311"/>
      <c r="G267" s="311"/>
      <c r="H267" s="311"/>
      <c r="I267" s="311"/>
      <c r="J267" s="311"/>
      <c r="K267" s="15"/>
    </row>
    <row r="268" spans="1:11">
      <c r="A268" s="3"/>
      <c r="B268" s="306" t="s">
        <v>100</v>
      </c>
      <c r="C268" s="311"/>
      <c r="D268" s="311"/>
      <c r="E268" s="311"/>
      <c r="F268" s="311"/>
      <c r="G268" s="311"/>
      <c r="H268" s="311"/>
      <c r="I268" s="311"/>
      <c r="J268" s="311"/>
      <c r="K268" s="15"/>
    </row>
    <row r="269" spans="1:11">
      <c r="A269" s="3">
        <v>23</v>
      </c>
      <c r="B269" s="306"/>
      <c r="C269" s="311" t="s">
        <v>197</v>
      </c>
      <c r="D269" s="2"/>
      <c r="E269" s="311"/>
      <c r="F269" s="311"/>
      <c r="G269" s="311"/>
      <c r="H269" s="311"/>
      <c r="I269" s="318">
        <f>'Common Equity'!C11</f>
        <v>6417516159</v>
      </c>
      <c r="J269" s="311"/>
      <c r="K269" s="15"/>
    </row>
    <row r="270" spans="1:11">
      <c r="A270" s="3">
        <v>24</v>
      </c>
      <c r="B270" s="306"/>
      <c r="C270" s="311" t="s">
        <v>180</v>
      </c>
      <c r="D270" s="311"/>
      <c r="E270" s="311"/>
      <c r="F270" s="311"/>
      <c r="G270" s="311"/>
      <c r="H270" s="311"/>
      <c r="I270" s="27">
        <f>-D276</f>
        <v>0</v>
      </c>
      <c r="J270" s="311"/>
      <c r="K270" s="15"/>
    </row>
    <row r="271" spans="1:11" ht="16.5" thickBot="1">
      <c r="A271" s="3">
        <v>25</v>
      </c>
      <c r="B271" s="306"/>
      <c r="C271" s="311" t="s">
        <v>198</v>
      </c>
      <c r="D271" s="311"/>
      <c r="E271" s="311"/>
      <c r="F271" s="311"/>
      <c r="G271" s="311"/>
      <c r="H271" s="311"/>
      <c r="I271" s="345">
        <f>'Acct 216.1'!C10</f>
        <v>0</v>
      </c>
      <c r="J271" s="311"/>
      <c r="K271" s="15"/>
    </row>
    <row r="272" spans="1:11">
      <c r="A272" s="3">
        <v>26</v>
      </c>
      <c r="B272" s="2"/>
      <c r="C272" s="311" t="s">
        <v>101</v>
      </c>
      <c r="D272" s="2" t="s">
        <v>102</v>
      </c>
      <c r="E272" s="2"/>
      <c r="F272" s="2"/>
      <c r="G272" s="2"/>
      <c r="H272" s="2"/>
      <c r="I272" s="23">
        <f>+I269+I270+I271</f>
        <v>6417516159</v>
      </c>
      <c r="J272" s="311"/>
      <c r="K272" s="15"/>
    </row>
    <row r="273" spans="1:11">
      <c r="A273" s="3"/>
      <c r="B273" s="306"/>
      <c r="C273" s="311"/>
      <c r="D273" s="311"/>
      <c r="E273" s="311"/>
      <c r="F273" s="311"/>
      <c r="G273" s="388" t="s">
        <v>103</v>
      </c>
      <c r="H273" s="311"/>
      <c r="I273" s="311"/>
      <c r="J273" s="311"/>
      <c r="K273" s="15"/>
    </row>
    <row r="274" spans="1:11" ht="16.5" thickBot="1">
      <c r="A274" s="3"/>
      <c r="B274" s="306"/>
      <c r="C274" s="311"/>
      <c r="D274" s="4" t="s">
        <v>83</v>
      </c>
      <c r="E274" s="4" t="s">
        <v>104</v>
      </c>
      <c r="F274" s="311"/>
      <c r="G274" s="4" t="s">
        <v>105</v>
      </c>
      <c r="H274" s="311"/>
      <c r="I274" s="4" t="s">
        <v>106</v>
      </c>
      <c r="J274" s="311"/>
      <c r="K274" s="15"/>
    </row>
    <row r="275" spans="1:11">
      <c r="A275" s="3">
        <v>27</v>
      </c>
      <c r="B275" s="306" t="s">
        <v>199</v>
      </c>
      <c r="D275" s="318">
        <f>'Cost of Debt'!C11</f>
        <v>5629133121</v>
      </c>
      <c r="E275" s="400">
        <f>IF($D$278&gt;0,D275/$D$278,0)</f>
        <v>0.46727791190414736</v>
      </c>
      <c r="F275" s="401"/>
      <c r="G275" s="402">
        <f>IF(D275&gt;0,I264/D275,0)</f>
        <v>4.3099065483976497E-2</v>
      </c>
      <c r="I275" s="402">
        <f>G275*E275</f>
        <v>2.0139241324372649E-2</v>
      </c>
      <c r="J275" s="403" t="s">
        <v>107</v>
      </c>
    </row>
    <row r="276" spans="1:11">
      <c r="A276" s="3">
        <v>28</v>
      </c>
      <c r="B276" s="306" t="s">
        <v>253</v>
      </c>
      <c r="D276" s="318">
        <f>'Pref Stock'!C9</f>
        <v>0</v>
      </c>
      <c r="E276" s="400">
        <f>IF($D$278&gt;0,D276/$D$278,0)</f>
        <v>0</v>
      </c>
      <c r="F276" s="401"/>
      <c r="G276" s="402">
        <f>IF(D276&gt;0,I266/D276,0)</f>
        <v>0</v>
      </c>
      <c r="I276" s="402">
        <f>G276*E276</f>
        <v>0</v>
      </c>
      <c r="J276" s="311"/>
    </row>
    <row r="277" spans="1:11" ht="16.5" thickBot="1">
      <c r="A277" s="3">
        <v>29</v>
      </c>
      <c r="B277" s="306" t="s">
        <v>108</v>
      </c>
      <c r="D277" s="319">
        <f>I272</f>
        <v>6417516159</v>
      </c>
      <c r="E277" s="400">
        <f>IF($D$278&gt;0,D277/$D$278,0)</f>
        <v>0.53272208809585264</v>
      </c>
      <c r="F277" s="401"/>
      <c r="G277" s="404">
        <v>9.2499999999999999E-2</v>
      </c>
      <c r="I277" s="405">
        <f>G277*E277</f>
        <v>4.927679314886637E-2</v>
      </c>
      <c r="J277" s="311"/>
    </row>
    <row r="278" spans="1:11">
      <c r="A278" s="3">
        <v>30</v>
      </c>
      <c r="B278" s="306" t="s">
        <v>175</v>
      </c>
      <c r="D278" s="23">
        <f>D277+D276+D275</f>
        <v>12046649280</v>
      </c>
      <c r="E278" s="311" t="s">
        <v>2</v>
      </c>
      <c r="F278" s="311"/>
      <c r="G278" s="311"/>
      <c r="H278" s="311"/>
      <c r="I278" s="402">
        <f>SUM(I275:I277)</f>
        <v>6.9416034473239019E-2</v>
      </c>
      <c r="J278" s="403" t="s">
        <v>109</v>
      </c>
    </row>
    <row r="279" spans="1:11" ht="9" customHeight="1">
      <c r="E279" s="311"/>
      <c r="F279" s="311"/>
      <c r="G279" s="311"/>
      <c r="H279" s="311"/>
    </row>
    <row r="280" spans="1:11">
      <c r="A280" s="3"/>
      <c r="B280" s="306" t="s">
        <v>110</v>
      </c>
      <c r="C280" s="2"/>
      <c r="D280" s="2"/>
      <c r="E280" s="2"/>
      <c r="F280" s="2"/>
      <c r="G280" s="2"/>
      <c r="H280" s="2"/>
      <c r="I280" s="2"/>
      <c r="J280" s="2"/>
      <c r="K280" s="6"/>
    </row>
    <row r="281" spans="1:11" ht="9" customHeight="1">
      <c r="A281" s="3"/>
      <c r="B281" s="306"/>
      <c r="C281" s="306"/>
      <c r="D281" s="306"/>
      <c r="E281" s="306"/>
      <c r="F281" s="306"/>
      <c r="G281" s="306"/>
      <c r="H281" s="306"/>
      <c r="J281" s="16"/>
    </row>
    <row r="282" spans="1:11" ht="16.5" thickBot="1">
      <c r="A282" s="3"/>
      <c r="B282" s="306" t="s">
        <v>111</v>
      </c>
      <c r="C282" s="2"/>
      <c r="D282" s="2" t="s">
        <v>112</v>
      </c>
      <c r="E282" s="2" t="s">
        <v>113</v>
      </c>
      <c r="F282" s="2"/>
      <c r="G282" s="17" t="s">
        <v>2</v>
      </c>
      <c r="H282" s="406"/>
      <c r="I282" s="4" t="s">
        <v>151</v>
      </c>
      <c r="J282" s="335"/>
    </row>
    <row r="283" spans="1:11">
      <c r="A283" s="3">
        <v>31</v>
      </c>
      <c r="B283" s="308" t="s">
        <v>141</v>
      </c>
      <c r="C283" s="2"/>
      <c r="D283" s="2"/>
      <c r="F283" s="2"/>
      <c r="H283" s="406"/>
      <c r="I283" s="18">
        <v>0</v>
      </c>
      <c r="J283" s="407"/>
    </row>
    <row r="284" spans="1:11" ht="16.5" thickBot="1">
      <c r="A284" s="3">
        <v>32</v>
      </c>
      <c r="B284" s="352" t="s">
        <v>177</v>
      </c>
      <c r="C284" s="408"/>
      <c r="D284" s="409"/>
      <c r="E284" s="31"/>
      <c r="F284" s="31"/>
      <c r="G284" s="31"/>
      <c r="H284" s="2"/>
      <c r="I284" s="19">
        <v>0</v>
      </c>
      <c r="J284" s="407"/>
    </row>
    <row r="285" spans="1:11">
      <c r="A285" s="3">
        <v>33</v>
      </c>
      <c r="B285" s="308" t="s">
        <v>114</v>
      </c>
      <c r="C285" s="2"/>
      <c r="E285" s="2"/>
      <c r="F285" s="2"/>
      <c r="G285" s="2"/>
      <c r="H285" s="2"/>
      <c r="I285" s="20">
        <f>+I283-I284</f>
        <v>0</v>
      </c>
      <c r="J285" s="407"/>
    </row>
    <row r="286" spans="1:11" ht="9" customHeight="1">
      <c r="A286" s="3"/>
      <c r="B286" s="308" t="s">
        <v>2</v>
      </c>
      <c r="C286" s="2"/>
      <c r="E286" s="2"/>
      <c r="F286" s="2"/>
      <c r="G286" s="8"/>
      <c r="H286" s="2"/>
      <c r="I286" s="410" t="s">
        <v>2</v>
      </c>
      <c r="J286" s="335"/>
      <c r="K286" s="411"/>
    </row>
    <row r="287" spans="1:11">
      <c r="A287" s="3">
        <v>34</v>
      </c>
      <c r="B287" s="306" t="s">
        <v>254</v>
      </c>
      <c r="C287" s="2"/>
      <c r="E287" s="2"/>
      <c r="F287" s="2"/>
      <c r="G287" s="21"/>
      <c r="H287" s="2"/>
      <c r="I287" s="412">
        <f>'454 rents'!P12</f>
        <v>222088.5</v>
      </c>
      <c r="J287" s="335"/>
      <c r="K287" s="411"/>
    </row>
    <row r="288" spans="1:11" ht="9" customHeight="1">
      <c r="A288" s="3"/>
      <c r="C288" s="2"/>
      <c r="D288" s="2"/>
      <c r="E288" s="2"/>
      <c r="F288" s="2"/>
      <c r="G288" s="2"/>
      <c r="H288" s="2"/>
      <c r="I288" s="410"/>
      <c r="J288" s="335"/>
      <c r="K288" s="411"/>
    </row>
    <row r="289" spans="1:11">
      <c r="B289" s="306" t="s">
        <v>255</v>
      </c>
      <c r="C289" s="2"/>
      <c r="D289" s="2" t="s">
        <v>194</v>
      </c>
      <c r="E289" s="2"/>
      <c r="F289" s="2"/>
      <c r="G289" s="2"/>
      <c r="H289" s="2"/>
      <c r="K289" s="413"/>
    </row>
    <row r="290" spans="1:11">
      <c r="A290" s="3">
        <v>35</v>
      </c>
      <c r="B290" s="306" t="s">
        <v>115</v>
      </c>
      <c r="C290" s="311"/>
      <c r="D290" s="311"/>
      <c r="E290" s="311"/>
      <c r="F290" s="311"/>
      <c r="G290" s="311"/>
      <c r="H290" s="311"/>
      <c r="I290" s="22">
        <f>'trans for others'!K7</f>
        <v>85648535</v>
      </c>
      <c r="J290" s="311"/>
      <c r="K290" s="413"/>
    </row>
    <row r="291" spans="1:11">
      <c r="A291" s="3">
        <v>36</v>
      </c>
      <c r="B291" s="32" t="s">
        <v>176</v>
      </c>
      <c r="C291" s="31"/>
      <c r="D291" s="31"/>
      <c r="E291" s="31"/>
      <c r="F291" s="31"/>
      <c r="G291" s="31"/>
      <c r="H291" s="2"/>
      <c r="I291" s="22">
        <f>'trans for others'!K39</f>
        <v>1697098</v>
      </c>
      <c r="K291" s="24"/>
    </row>
    <row r="292" spans="1:11">
      <c r="A292" s="29" t="s">
        <v>218</v>
      </c>
      <c r="B292" s="156" t="s">
        <v>602</v>
      </c>
      <c r="C292" s="157"/>
      <c r="D292" s="31"/>
      <c r="E292" s="31"/>
      <c r="F292" s="31"/>
      <c r="G292" s="31"/>
      <c r="H292" s="2"/>
      <c r="I292" s="22">
        <f>'trans for others'!K41</f>
        <v>258009</v>
      </c>
      <c r="K292" s="24"/>
    </row>
    <row r="293" spans="1:11" ht="16.5" thickBot="1">
      <c r="A293" s="29" t="s">
        <v>487</v>
      </c>
      <c r="B293" s="39" t="s">
        <v>603</v>
      </c>
      <c r="C293" s="13"/>
      <c r="D293" s="31"/>
      <c r="E293" s="31"/>
      <c r="F293" s="31"/>
      <c r="G293" s="31"/>
      <c r="H293" s="2"/>
      <c r="I293" s="38">
        <f>'trans for others'!K43</f>
        <v>63043789</v>
      </c>
      <c r="K293" s="24"/>
    </row>
    <row r="294" spans="1:11">
      <c r="A294" s="3">
        <v>37</v>
      </c>
      <c r="B294" s="25" t="s">
        <v>488</v>
      </c>
      <c r="C294" s="3"/>
      <c r="D294" s="311"/>
      <c r="E294" s="311"/>
      <c r="F294" s="311"/>
      <c r="G294" s="311"/>
      <c r="H294" s="2"/>
      <c r="I294" s="26">
        <f>+I290-I291-I292-I293</f>
        <v>20649639</v>
      </c>
      <c r="J294" s="311"/>
      <c r="K294" s="15"/>
    </row>
    <row r="295" spans="1:11">
      <c r="A295" s="3"/>
      <c r="B295" s="25"/>
      <c r="C295" s="3"/>
      <c r="D295" s="311"/>
      <c r="E295" s="311"/>
      <c r="F295" s="311"/>
      <c r="G295" s="311"/>
      <c r="H295" s="2"/>
      <c r="I295" s="414"/>
      <c r="J295" s="311"/>
      <c r="K295" s="15"/>
    </row>
    <row r="296" spans="1:11">
      <c r="A296" s="3"/>
      <c r="B296" s="25"/>
      <c r="C296" s="3"/>
      <c r="D296" s="311"/>
      <c r="E296" s="311"/>
      <c r="F296" s="311"/>
      <c r="G296" s="311"/>
      <c r="H296" s="2"/>
      <c r="I296" s="414"/>
      <c r="J296" s="311"/>
      <c r="K296" s="15"/>
    </row>
    <row r="297" spans="1:11">
      <c r="A297" s="3"/>
      <c r="B297" s="25"/>
      <c r="C297" s="3"/>
      <c r="D297" s="311"/>
      <c r="E297" s="311"/>
      <c r="F297" s="311"/>
      <c r="G297" s="311"/>
      <c r="H297" s="2"/>
      <c r="I297" s="414"/>
      <c r="J297" s="311"/>
      <c r="K297" s="15"/>
    </row>
    <row r="298" spans="1:11">
      <c r="A298" s="432"/>
      <c r="B298" s="432"/>
      <c r="C298" s="432"/>
      <c r="D298" s="311"/>
      <c r="E298" s="311"/>
      <c r="F298" s="348"/>
      <c r="G298" s="433"/>
      <c r="H298" s="433"/>
      <c r="I298" s="433"/>
      <c r="J298" s="433"/>
      <c r="K298" s="433"/>
    </row>
    <row r="299" spans="1:11">
      <c r="B299" s="306"/>
      <c r="C299" s="306"/>
      <c r="D299" s="1"/>
      <c r="E299" s="306"/>
      <c r="F299" s="306"/>
      <c r="G299" s="434"/>
      <c r="H299" s="439"/>
      <c r="I299" s="439"/>
      <c r="J299" s="439"/>
      <c r="K299" s="439"/>
    </row>
    <row r="300" spans="1:11">
      <c r="B300" s="306"/>
      <c r="C300" s="306"/>
      <c r="D300" s="1"/>
      <c r="E300" s="306"/>
      <c r="F300" s="306"/>
      <c r="G300" s="454" t="s">
        <v>722</v>
      </c>
      <c r="H300" s="454"/>
      <c r="I300" s="454"/>
      <c r="J300" s="454"/>
      <c r="K300" s="454"/>
    </row>
    <row r="301" spans="1:11">
      <c r="B301" s="306"/>
      <c r="C301" s="306"/>
      <c r="D301" s="1"/>
      <c r="E301" s="306"/>
      <c r="F301" s="306"/>
      <c r="G301" s="342"/>
      <c r="H301" s="450"/>
      <c r="I301" s="449" t="s">
        <v>600</v>
      </c>
      <c r="J301" s="449"/>
      <c r="K301" s="449"/>
    </row>
    <row r="302" spans="1:11">
      <c r="B302" s="306"/>
      <c r="C302" s="306"/>
      <c r="D302" s="1"/>
      <c r="E302" s="306"/>
      <c r="F302" s="306"/>
      <c r="G302" s="342"/>
      <c r="H302" s="450"/>
      <c r="I302" s="450"/>
      <c r="J302" s="454" t="s">
        <v>456</v>
      </c>
      <c r="K302" s="454"/>
    </row>
    <row r="303" spans="1:11">
      <c r="B303" s="306"/>
      <c r="C303" s="306"/>
      <c r="D303" s="1"/>
      <c r="E303" s="306"/>
      <c r="F303" s="306"/>
      <c r="G303" s="306"/>
      <c r="H303" s="2"/>
      <c r="I303" s="2"/>
      <c r="J303" s="2"/>
      <c r="K303" s="304"/>
    </row>
    <row r="304" spans="1:11">
      <c r="B304" s="306" t="s">
        <v>0</v>
      </c>
      <c r="C304" s="306"/>
      <c r="D304" s="1" t="s">
        <v>1</v>
      </c>
      <c r="E304" s="306"/>
      <c r="F304" s="306"/>
      <c r="G304" s="306"/>
      <c r="H304" s="2"/>
      <c r="I304" s="2"/>
      <c r="J304" s="2"/>
      <c r="K304" s="455" t="str">
        <f>K7</f>
        <v>Estimated - For the 12 months ended 12/31/18</v>
      </c>
    </row>
    <row r="305" spans="1:11">
      <c r="B305" s="306"/>
      <c r="C305" s="311" t="s">
        <v>2</v>
      </c>
      <c r="D305" s="311" t="s">
        <v>3</v>
      </c>
      <c r="E305" s="311"/>
      <c r="F305" s="311"/>
      <c r="G305" s="311"/>
      <c r="H305" s="2"/>
      <c r="I305" s="2"/>
      <c r="J305" s="2"/>
      <c r="K305" s="6"/>
    </row>
    <row r="306" spans="1:11">
      <c r="A306" s="3"/>
      <c r="B306" s="25"/>
      <c r="C306" s="3"/>
      <c r="D306" s="311"/>
      <c r="E306" s="311"/>
      <c r="F306" s="311"/>
      <c r="G306" s="311"/>
      <c r="H306" s="2"/>
      <c r="I306" s="28"/>
      <c r="J306" s="335"/>
      <c r="K306" s="15"/>
    </row>
    <row r="307" spans="1:11">
      <c r="A307" s="3"/>
      <c r="B307" s="25"/>
      <c r="C307" s="3"/>
      <c r="D307" s="23" t="str">
        <f>D10</f>
        <v>MidAmerican Energy Company</v>
      </c>
      <c r="E307" s="311"/>
      <c r="F307" s="311"/>
      <c r="G307" s="311"/>
      <c r="H307" s="2"/>
      <c r="I307" s="28"/>
      <c r="J307" s="335"/>
      <c r="K307" s="15"/>
    </row>
    <row r="308" spans="1:11">
      <c r="A308" s="3"/>
      <c r="B308" s="25"/>
      <c r="C308" s="3"/>
      <c r="D308" s="311"/>
      <c r="E308" s="311"/>
      <c r="F308" s="311"/>
      <c r="G308" s="311"/>
      <c r="H308" s="2"/>
      <c r="I308" s="28"/>
      <c r="J308" s="335"/>
      <c r="K308" s="15"/>
    </row>
    <row r="309" spans="1:11">
      <c r="A309" s="3"/>
      <c r="B309" s="306" t="s">
        <v>226</v>
      </c>
      <c r="C309" s="3"/>
      <c r="D309" s="311"/>
      <c r="E309" s="311"/>
      <c r="F309" s="311"/>
      <c r="G309" s="311"/>
      <c r="H309" s="2"/>
      <c r="I309" s="311"/>
      <c r="J309" s="2"/>
      <c r="K309" s="15"/>
    </row>
    <row r="310" spans="1:11">
      <c r="A310" s="3"/>
      <c r="B310" s="33" t="s">
        <v>225</v>
      </c>
      <c r="C310" s="3"/>
      <c r="D310" s="311"/>
      <c r="E310" s="311"/>
      <c r="F310" s="311"/>
      <c r="G310" s="311"/>
      <c r="H310" s="2"/>
      <c r="I310" s="311"/>
      <c r="J310" s="2"/>
      <c r="K310" s="15"/>
    </row>
    <row r="311" spans="1:11">
      <c r="A311" s="3" t="s">
        <v>116</v>
      </c>
      <c r="B311" s="306"/>
      <c r="C311" s="2"/>
      <c r="D311" s="311"/>
      <c r="E311" s="311"/>
      <c r="F311" s="311"/>
      <c r="G311" s="311"/>
      <c r="H311" s="2"/>
      <c r="I311" s="311"/>
      <c r="J311" s="2"/>
      <c r="K311" s="15"/>
    </row>
    <row r="312" spans="1:11" ht="16.5" thickBot="1">
      <c r="A312" s="4" t="s">
        <v>117</v>
      </c>
      <c r="B312" s="306"/>
      <c r="C312" s="2"/>
      <c r="D312" s="311"/>
      <c r="E312" s="311"/>
      <c r="F312" s="311"/>
      <c r="G312" s="311"/>
      <c r="H312" s="2"/>
      <c r="I312" s="311"/>
      <c r="J312" s="2"/>
      <c r="K312" s="15"/>
    </row>
    <row r="313" spans="1:11">
      <c r="A313" s="35" t="s">
        <v>118</v>
      </c>
      <c r="B313" s="436" t="s">
        <v>277</v>
      </c>
      <c r="C313" s="436"/>
      <c r="D313" s="436"/>
      <c r="E313" s="436"/>
      <c r="F313" s="436"/>
      <c r="G313" s="436"/>
      <c r="H313" s="436"/>
      <c r="I313" s="436"/>
      <c r="J313" s="436"/>
      <c r="K313" s="436"/>
    </row>
    <row r="314" spans="1:11">
      <c r="A314" s="35" t="s">
        <v>119</v>
      </c>
      <c r="B314" s="436" t="s">
        <v>278</v>
      </c>
      <c r="C314" s="436"/>
      <c r="D314" s="436"/>
      <c r="E314" s="436"/>
      <c r="F314" s="436"/>
      <c r="G314" s="436"/>
      <c r="H314" s="436"/>
      <c r="I314" s="436"/>
      <c r="J314" s="436"/>
      <c r="K314" s="436"/>
    </row>
    <row r="315" spans="1:11">
      <c r="A315" s="35" t="s">
        <v>120</v>
      </c>
      <c r="B315" s="436" t="s">
        <v>279</v>
      </c>
      <c r="C315" s="436"/>
      <c r="D315" s="436"/>
      <c r="E315" s="436"/>
      <c r="F315" s="436"/>
      <c r="G315" s="436"/>
      <c r="H315" s="436"/>
      <c r="I315" s="436"/>
      <c r="J315" s="436"/>
      <c r="K315" s="436"/>
    </row>
    <row r="316" spans="1:11">
      <c r="A316" s="35" t="s">
        <v>121</v>
      </c>
      <c r="B316" s="436" t="s">
        <v>279</v>
      </c>
      <c r="C316" s="436"/>
      <c r="D316" s="436"/>
      <c r="E316" s="436"/>
      <c r="F316" s="436"/>
      <c r="G316" s="436"/>
      <c r="H316" s="436"/>
      <c r="I316" s="436"/>
      <c r="J316" s="436"/>
      <c r="K316" s="436"/>
    </row>
    <row r="317" spans="1:11">
      <c r="A317" s="35" t="s">
        <v>122</v>
      </c>
      <c r="B317" s="436" t="s">
        <v>183</v>
      </c>
      <c r="C317" s="436"/>
      <c r="D317" s="436"/>
      <c r="E317" s="436"/>
      <c r="F317" s="436"/>
      <c r="G317" s="436"/>
      <c r="H317" s="436"/>
      <c r="I317" s="436"/>
      <c r="J317" s="436"/>
      <c r="K317" s="436"/>
    </row>
    <row r="318" spans="1:11" ht="99.75" customHeight="1">
      <c r="A318" s="35" t="s">
        <v>123</v>
      </c>
      <c r="B318" s="436" t="s">
        <v>695</v>
      </c>
      <c r="C318" s="436"/>
      <c r="D318" s="436"/>
      <c r="E318" s="436"/>
      <c r="F318" s="436"/>
      <c r="G318" s="436"/>
      <c r="H318" s="436"/>
      <c r="I318" s="436"/>
      <c r="J318" s="436"/>
      <c r="K318" s="436"/>
    </row>
    <row r="319" spans="1:11">
      <c r="A319" s="35" t="s">
        <v>124</v>
      </c>
      <c r="B319" s="436" t="s">
        <v>125</v>
      </c>
      <c r="C319" s="436"/>
      <c r="D319" s="436"/>
      <c r="E319" s="436"/>
      <c r="F319" s="436"/>
      <c r="G319" s="436"/>
      <c r="H319" s="436"/>
      <c r="I319" s="436"/>
      <c r="J319" s="436"/>
      <c r="K319" s="436"/>
    </row>
    <row r="320" spans="1:11" ht="32.25" customHeight="1">
      <c r="A320" s="35" t="s">
        <v>126</v>
      </c>
      <c r="B320" s="436" t="s">
        <v>264</v>
      </c>
      <c r="C320" s="436"/>
      <c r="D320" s="436"/>
      <c r="E320" s="436"/>
      <c r="F320" s="436"/>
      <c r="G320" s="436"/>
      <c r="H320" s="436"/>
      <c r="I320" s="436"/>
      <c r="J320" s="436"/>
      <c r="K320" s="436"/>
    </row>
    <row r="321" spans="1:11" ht="32.25" customHeight="1">
      <c r="A321" s="35" t="s">
        <v>127</v>
      </c>
      <c r="B321" s="436" t="s">
        <v>265</v>
      </c>
      <c r="C321" s="436"/>
      <c r="D321" s="436"/>
      <c r="E321" s="436"/>
      <c r="F321" s="436"/>
      <c r="G321" s="436"/>
      <c r="H321" s="436"/>
      <c r="I321" s="436"/>
      <c r="J321" s="436"/>
      <c r="K321" s="436"/>
    </row>
    <row r="322" spans="1:11" ht="50.25" customHeight="1">
      <c r="A322" s="35" t="s">
        <v>128</v>
      </c>
      <c r="B322" s="436" t="s">
        <v>496</v>
      </c>
      <c r="C322" s="436"/>
      <c r="D322" s="436"/>
      <c r="E322" s="436"/>
      <c r="F322" s="436"/>
      <c r="G322" s="436"/>
      <c r="H322" s="436"/>
      <c r="I322" s="436"/>
      <c r="J322" s="436"/>
      <c r="K322" s="436"/>
    </row>
    <row r="323" spans="1:11" ht="78.75" customHeight="1">
      <c r="A323" s="35" t="s">
        <v>129</v>
      </c>
      <c r="B323" s="436" t="s">
        <v>266</v>
      </c>
      <c r="C323" s="436"/>
      <c r="D323" s="436"/>
      <c r="E323" s="436"/>
      <c r="F323" s="436"/>
      <c r="G323" s="436"/>
      <c r="H323" s="436"/>
      <c r="I323" s="436"/>
      <c r="J323" s="436"/>
      <c r="K323" s="436"/>
    </row>
    <row r="324" spans="1:11">
      <c r="A324" s="35" t="s">
        <v>2</v>
      </c>
      <c r="B324" s="37" t="s">
        <v>263</v>
      </c>
      <c r="C324" s="305" t="s">
        <v>156</v>
      </c>
      <c r="D324" s="36">
        <f>'footnote k tax'!C8</f>
        <v>0.21</v>
      </c>
      <c r="E324" s="305"/>
      <c r="F324" s="305"/>
      <c r="G324" s="305"/>
      <c r="H324" s="305"/>
      <c r="I324" s="305"/>
      <c r="J324" s="305"/>
      <c r="K324" s="305"/>
    </row>
    <row r="325" spans="1:11">
      <c r="A325" s="35"/>
      <c r="B325" s="305"/>
      <c r="C325" s="305" t="s">
        <v>157</v>
      </c>
      <c r="D325" s="36">
        <f>'footnote k tax'!C9</f>
        <v>9.6276615205992205E-2</v>
      </c>
      <c r="E325" s="436" t="s">
        <v>158</v>
      </c>
      <c r="F325" s="436"/>
      <c r="G325" s="436"/>
      <c r="H325" s="436"/>
      <c r="I325" s="436"/>
      <c r="J325" s="436"/>
      <c r="K325" s="436"/>
    </row>
    <row r="326" spans="1:11">
      <c r="A326" s="35"/>
      <c r="B326" s="305"/>
      <c r="C326" s="305" t="s">
        <v>159</v>
      </c>
      <c r="D326" s="36">
        <f>'footnote k tax'!C14</f>
        <v>9.6028799508889692E-2</v>
      </c>
      <c r="E326" s="436" t="s">
        <v>160</v>
      </c>
      <c r="F326" s="436"/>
      <c r="G326" s="436"/>
      <c r="H326" s="436"/>
      <c r="I326" s="436"/>
      <c r="J326" s="436"/>
      <c r="K326" s="436"/>
    </row>
    <row r="327" spans="1:11">
      <c r="A327" s="35" t="s">
        <v>130</v>
      </c>
      <c r="B327" s="436" t="s">
        <v>205</v>
      </c>
      <c r="C327" s="436"/>
      <c r="D327" s="436"/>
      <c r="E327" s="436"/>
      <c r="F327" s="436"/>
      <c r="G327" s="436"/>
      <c r="H327" s="436"/>
      <c r="I327" s="436"/>
      <c r="J327" s="436"/>
      <c r="K327" s="436"/>
    </row>
    <row r="328" spans="1:11" ht="32.25" customHeight="1">
      <c r="A328" s="35" t="s">
        <v>131</v>
      </c>
      <c r="B328" s="436" t="s">
        <v>267</v>
      </c>
      <c r="C328" s="436"/>
      <c r="D328" s="436"/>
      <c r="E328" s="436"/>
      <c r="F328" s="436"/>
      <c r="G328" s="436"/>
      <c r="H328" s="436"/>
      <c r="I328" s="436"/>
      <c r="J328" s="436"/>
      <c r="K328" s="436"/>
    </row>
    <row r="329" spans="1:11" ht="48" customHeight="1">
      <c r="A329" s="35" t="s">
        <v>132</v>
      </c>
      <c r="B329" s="436" t="s">
        <v>272</v>
      </c>
      <c r="C329" s="436"/>
      <c r="D329" s="436"/>
      <c r="E329" s="436"/>
      <c r="F329" s="436"/>
      <c r="G329" s="436"/>
      <c r="H329" s="436"/>
      <c r="I329" s="436"/>
      <c r="J329" s="436"/>
      <c r="K329" s="436"/>
    </row>
    <row r="330" spans="1:11">
      <c r="A330" s="35" t="s">
        <v>133</v>
      </c>
      <c r="B330" s="436" t="s">
        <v>178</v>
      </c>
      <c r="C330" s="436"/>
      <c r="D330" s="436"/>
      <c r="E330" s="436"/>
      <c r="F330" s="436"/>
      <c r="G330" s="436"/>
      <c r="H330" s="436"/>
      <c r="I330" s="436"/>
      <c r="J330" s="436"/>
      <c r="K330" s="436"/>
    </row>
    <row r="331" spans="1:11" ht="53.25" customHeight="1">
      <c r="A331" s="35" t="s">
        <v>134</v>
      </c>
      <c r="B331" s="436" t="s">
        <v>696</v>
      </c>
      <c r="C331" s="436"/>
      <c r="D331" s="436"/>
      <c r="E331" s="436"/>
      <c r="F331" s="436"/>
      <c r="G331" s="436"/>
      <c r="H331" s="436"/>
      <c r="I331" s="436"/>
      <c r="J331" s="436"/>
      <c r="K331" s="436"/>
    </row>
    <row r="332" spans="1:11" ht="32.25" customHeight="1">
      <c r="A332" s="35" t="s">
        <v>135</v>
      </c>
      <c r="B332" s="436" t="s">
        <v>268</v>
      </c>
      <c r="C332" s="436"/>
      <c r="D332" s="436"/>
      <c r="E332" s="436"/>
      <c r="F332" s="436"/>
      <c r="G332" s="436"/>
      <c r="H332" s="436"/>
      <c r="I332" s="436"/>
      <c r="J332" s="436"/>
      <c r="K332" s="436"/>
    </row>
    <row r="333" spans="1:11">
      <c r="A333" s="35" t="s">
        <v>136</v>
      </c>
      <c r="B333" s="436" t="s">
        <v>137</v>
      </c>
      <c r="C333" s="436"/>
      <c r="D333" s="436"/>
      <c r="E333" s="436"/>
      <c r="F333" s="436"/>
      <c r="G333" s="436"/>
      <c r="H333" s="436"/>
      <c r="I333" s="436"/>
      <c r="J333" s="436"/>
      <c r="K333" s="436"/>
    </row>
    <row r="334" spans="1:11" ht="48" customHeight="1">
      <c r="A334" s="35" t="s">
        <v>184</v>
      </c>
      <c r="B334" s="436" t="s">
        <v>275</v>
      </c>
      <c r="C334" s="436"/>
      <c r="D334" s="436"/>
      <c r="E334" s="436"/>
      <c r="F334" s="436"/>
      <c r="G334" s="436"/>
      <c r="H334" s="436"/>
      <c r="I334" s="436"/>
      <c r="J334" s="436"/>
      <c r="K334" s="436"/>
    </row>
    <row r="335" spans="1:11" ht="63.75" customHeight="1">
      <c r="A335" s="415" t="s">
        <v>186</v>
      </c>
      <c r="B335" s="436" t="s">
        <v>276</v>
      </c>
      <c r="C335" s="436"/>
      <c r="D335" s="436"/>
      <c r="E335" s="436"/>
      <c r="F335" s="436"/>
      <c r="G335" s="436"/>
      <c r="H335" s="436"/>
      <c r="I335" s="436"/>
      <c r="J335" s="436"/>
      <c r="K335" s="436"/>
    </row>
    <row r="336" spans="1:11">
      <c r="A336" s="415" t="s">
        <v>195</v>
      </c>
      <c r="B336" s="436" t="s">
        <v>206</v>
      </c>
      <c r="C336" s="436"/>
      <c r="D336" s="436"/>
      <c r="E336" s="436"/>
      <c r="F336" s="436"/>
      <c r="G336" s="436"/>
      <c r="H336" s="436"/>
      <c r="I336" s="436"/>
      <c r="J336" s="436"/>
      <c r="K336" s="436"/>
    </row>
    <row r="337" spans="1:12">
      <c r="A337" s="416" t="s">
        <v>207</v>
      </c>
      <c r="B337" s="436" t="s">
        <v>497</v>
      </c>
      <c r="C337" s="436"/>
      <c r="D337" s="436"/>
      <c r="E337" s="436"/>
      <c r="F337" s="436"/>
      <c r="G337" s="436"/>
      <c r="H337" s="436"/>
      <c r="I337" s="436"/>
      <c r="J337" s="436"/>
      <c r="K337" s="436"/>
      <c r="L337" s="335"/>
    </row>
    <row r="338" spans="1:12" s="335" customFormat="1">
      <c r="A338" s="416" t="s">
        <v>219</v>
      </c>
      <c r="B338" s="436" t="s">
        <v>604</v>
      </c>
      <c r="C338" s="436"/>
      <c r="D338" s="436"/>
      <c r="E338" s="436"/>
      <c r="F338" s="436"/>
      <c r="G338" s="436"/>
      <c r="H338" s="436"/>
      <c r="I338" s="436"/>
      <c r="J338" s="436"/>
      <c r="K338" s="436"/>
      <c r="L338" s="308"/>
    </row>
    <row r="339" spans="1:12" ht="32.25" customHeight="1">
      <c r="A339" s="416" t="s">
        <v>220</v>
      </c>
      <c r="B339" s="436" t="s">
        <v>605</v>
      </c>
      <c r="C339" s="436"/>
      <c r="D339" s="436"/>
      <c r="E339" s="436"/>
      <c r="F339" s="436"/>
      <c r="G339" s="436"/>
      <c r="H339" s="436"/>
      <c r="I339" s="436"/>
      <c r="J339" s="436"/>
      <c r="K339" s="436"/>
    </row>
    <row r="340" spans="1:12">
      <c r="A340" s="417" t="s">
        <v>375</v>
      </c>
      <c r="B340" s="251" t="s">
        <v>376</v>
      </c>
      <c r="C340" s="6"/>
      <c r="D340" s="6"/>
      <c r="E340" s="6"/>
      <c r="F340" s="6"/>
      <c r="G340" s="6"/>
      <c r="H340" s="6"/>
      <c r="I340" s="6"/>
      <c r="J340" s="6"/>
      <c r="K340" s="6"/>
    </row>
    <row r="341" spans="1:12">
      <c r="A341" s="417"/>
      <c r="B341" s="6" t="s">
        <v>377</v>
      </c>
      <c r="C341" s="6"/>
      <c r="D341" s="6"/>
      <c r="E341" s="6"/>
      <c r="F341" s="6"/>
      <c r="G341" s="6"/>
      <c r="H341" s="6"/>
      <c r="I341" s="6"/>
      <c r="J341" s="6"/>
      <c r="K341" s="6"/>
    </row>
    <row r="342" spans="1:12">
      <c r="A342" s="417"/>
      <c r="B342" s="6" t="s">
        <v>378</v>
      </c>
      <c r="C342" s="6"/>
      <c r="D342" s="6"/>
      <c r="E342" s="6"/>
      <c r="F342" s="6"/>
      <c r="G342" s="6"/>
      <c r="H342" s="6"/>
      <c r="I342" s="6"/>
      <c r="J342" s="6"/>
      <c r="K342" s="6"/>
    </row>
    <row r="343" spans="1:12">
      <c r="A343" s="417"/>
      <c r="B343" s="6" t="s">
        <v>379</v>
      </c>
      <c r="C343" s="6"/>
      <c r="D343" s="6"/>
      <c r="E343" s="6"/>
      <c r="F343" s="6"/>
      <c r="G343" s="6"/>
      <c r="H343" s="6"/>
      <c r="I343" s="6"/>
      <c r="J343" s="6"/>
      <c r="K343" s="6"/>
    </row>
    <row r="344" spans="1:12">
      <c r="A344" s="417" t="s">
        <v>439</v>
      </c>
      <c r="B344" s="335" t="s">
        <v>606</v>
      </c>
      <c r="C344" s="6"/>
      <c r="D344" s="6"/>
      <c r="E344" s="6"/>
      <c r="F344" s="6"/>
      <c r="G344" s="6"/>
      <c r="H344" s="6"/>
      <c r="I344" s="6"/>
      <c r="J344" s="6"/>
      <c r="K344" s="6"/>
    </row>
    <row r="345" spans="1:12">
      <c r="A345" s="417" t="s">
        <v>441</v>
      </c>
      <c r="B345" s="335" t="s">
        <v>607</v>
      </c>
      <c r="C345" s="6"/>
      <c r="D345" s="6"/>
      <c r="E345" s="6"/>
      <c r="F345" s="6"/>
      <c r="G345" s="6"/>
      <c r="H345" s="6"/>
      <c r="I345" s="6"/>
      <c r="J345" s="6"/>
      <c r="K345" s="6"/>
    </row>
    <row r="346" spans="1:12">
      <c r="A346" s="418"/>
      <c r="B346" s="335" t="s">
        <v>697</v>
      </c>
      <c r="C346" s="6"/>
      <c r="D346" s="6"/>
      <c r="E346" s="6"/>
      <c r="F346" s="6"/>
      <c r="G346" s="6"/>
      <c r="H346" s="6"/>
      <c r="I346" s="6"/>
      <c r="J346" s="6"/>
      <c r="K346" s="6"/>
    </row>
    <row r="347" spans="1:12">
      <c r="A347" s="417"/>
      <c r="B347" s="6"/>
      <c r="C347" s="6"/>
      <c r="D347" s="6"/>
      <c r="E347" s="6"/>
      <c r="F347" s="6"/>
      <c r="G347" s="6"/>
      <c r="H347" s="6"/>
      <c r="I347" s="6"/>
      <c r="J347" s="6"/>
      <c r="K347" s="6"/>
    </row>
    <row r="348" spans="1:12">
      <c r="A348" s="432"/>
      <c r="B348" s="432"/>
      <c r="C348" s="432"/>
      <c r="D348" s="15"/>
      <c r="E348" s="15"/>
      <c r="F348" s="347"/>
      <c r="G348" s="451" t="s">
        <v>722</v>
      </c>
      <c r="H348" s="451"/>
      <c r="I348" s="451"/>
      <c r="J348" s="451"/>
      <c r="K348" s="451"/>
    </row>
    <row r="349" spans="1:12">
      <c r="A349" s="335"/>
      <c r="B349" s="12"/>
      <c r="C349" s="12"/>
      <c r="D349" s="254"/>
      <c r="E349" s="12"/>
      <c r="F349" s="12"/>
      <c r="G349" s="452"/>
      <c r="H349" s="453"/>
      <c r="I349" s="454" t="s">
        <v>600</v>
      </c>
      <c r="J349" s="454"/>
      <c r="K349" s="454"/>
    </row>
    <row r="350" spans="1:12">
      <c r="A350" s="335"/>
      <c r="B350" s="12"/>
      <c r="C350" s="12"/>
      <c r="D350" s="254"/>
      <c r="E350" s="12"/>
      <c r="F350" s="12"/>
      <c r="G350" s="452"/>
      <c r="H350" s="453"/>
      <c r="I350" s="453"/>
      <c r="J350" s="454" t="s">
        <v>457</v>
      </c>
      <c r="K350" s="454"/>
    </row>
    <row r="351" spans="1:12">
      <c r="A351" s="306"/>
      <c r="B351" s="306"/>
      <c r="C351" s="306"/>
      <c r="D351" s="311"/>
      <c r="E351" s="311"/>
      <c r="F351" s="348"/>
      <c r="G351" s="311"/>
      <c r="H351" s="311"/>
      <c r="I351" s="347"/>
      <c r="J351" s="24"/>
      <c r="K351" s="308"/>
    </row>
    <row r="352" spans="1:12">
      <c r="A352" s="306"/>
      <c r="B352" s="306"/>
      <c r="C352" s="306"/>
      <c r="D352" s="311"/>
      <c r="E352" s="311"/>
      <c r="F352" s="348"/>
      <c r="G352" s="311"/>
      <c r="H352" s="311"/>
      <c r="I352" s="347"/>
      <c r="J352" s="24"/>
      <c r="K352" s="308"/>
    </row>
    <row r="353" spans="1:11">
      <c r="A353" s="306"/>
      <c r="B353" s="306"/>
      <c r="C353" s="306"/>
      <c r="D353" s="311"/>
      <c r="E353" s="311"/>
      <c r="F353" s="348"/>
      <c r="G353" s="311"/>
      <c r="H353" s="311"/>
      <c r="I353" s="347"/>
      <c r="J353" s="24"/>
      <c r="K353" s="308"/>
    </row>
    <row r="354" spans="1:11">
      <c r="A354" s="306"/>
      <c r="B354" s="306"/>
      <c r="C354" s="306"/>
      <c r="D354" s="311"/>
      <c r="E354" s="311"/>
      <c r="F354" s="348"/>
      <c r="G354" s="311"/>
      <c r="H354" s="311"/>
      <c r="I354" s="347"/>
      <c r="J354" s="24"/>
      <c r="K354" s="308"/>
    </row>
    <row r="355" spans="1:11">
      <c r="A355" s="3" t="s">
        <v>443</v>
      </c>
      <c r="B355" s="306" t="s">
        <v>498</v>
      </c>
      <c r="C355" s="306"/>
      <c r="D355" s="311"/>
      <c r="E355" s="311"/>
      <c r="F355" s="348"/>
      <c r="G355" s="311"/>
      <c r="H355" s="311"/>
      <c r="I355" s="347"/>
      <c r="J355" s="24"/>
      <c r="K355" s="308"/>
    </row>
    <row r="356" spans="1:11">
      <c r="A356" s="3"/>
      <c r="B356" s="306"/>
      <c r="C356" s="306"/>
      <c r="D356" s="311"/>
      <c r="E356" s="311"/>
      <c r="F356" s="348"/>
      <c r="G356" s="311"/>
      <c r="H356" s="311"/>
      <c r="I356" s="347"/>
      <c r="J356" s="24"/>
      <c r="K356" s="308"/>
    </row>
    <row r="357" spans="1:11">
      <c r="A357" s="3" t="s">
        <v>444</v>
      </c>
      <c r="B357" s="306" t="s">
        <v>608</v>
      </c>
      <c r="C357" s="306"/>
      <c r="D357" s="311"/>
      <c r="E357" s="311"/>
      <c r="F357" s="348"/>
      <c r="G357" s="311"/>
      <c r="H357" s="311"/>
      <c r="I357" s="347"/>
      <c r="J357" s="24"/>
      <c r="K357" s="308"/>
    </row>
    <row r="358" spans="1:11">
      <c r="A358" s="306"/>
      <c r="B358" s="306"/>
      <c r="C358" s="306"/>
      <c r="D358" s="311"/>
      <c r="E358" s="311"/>
      <c r="F358" s="348"/>
      <c r="G358" s="311"/>
      <c r="H358" s="311"/>
      <c r="I358" s="347"/>
      <c r="J358" s="24"/>
      <c r="K358" s="308"/>
    </row>
    <row r="359" spans="1:11">
      <c r="A359" s="331" t="s">
        <v>483</v>
      </c>
      <c r="B359" s="6" t="s">
        <v>698</v>
      </c>
      <c r="C359" s="306"/>
      <c r="D359" s="311"/>
      <c r="E359" s="311"/>
      <c r="F359" s="348"/>
      <c r="G359" s="311"/>
      <c r="H359" s="311"/>
      <c r="I359" s="347"/>
      <c r="J359" s="24"/>
      <c r="K359" s="308"/>
    </row>
    <row r="360" spans="1:11">
      <c r="A360" s="306"/>
      <c r="B360" s="6" t="s">
        <v>699</v>
      </c>
      <c r="C360" s="306"/>
      <c r="D360" s="311"/>
      <c r="E360" s="311"/>
      <c r="F360" s="348"/>
      <c r="G360" s="311"/>
      <c r="H360" s="311"/>
      <c r="I360" s="347"/>
      <c r="J360" s="24"/>
      <c r="K360" s="308"/>
    </row>
    <row r="361" spans="1:11">
      <c r="A361" s="306"/>
      <c r="B361" s="6" t="s">
        <v>700</v>
      </c>
      <c r="C361" s="306"/>
      <c r="D361" s="311"/>
      <c r="E361" s="311"/>
      <c r="F361" s="348"/>
      <c r="G361" s="311"/>
      <c r="H361" s="311"/>
      <c r="I361" s="347"/>
      <c r="J361" s="24"/>
      <c r="K361" s="308"/>
    </row>
    <row r="362" spans="1:11">
      <c r="A362" s="306"/>
      <c r="B362" s="6" t="s">
        <v>440</v>
      </c>
      <c r="C362" s="2"/>
      <c r="D362" s="2"/>
      <c r="E362" s="2"/>
      <c r="F362" s="2"/>
      <c r="G362" s="2"/>
      <c r="H362" s="2"/>
      <c r="I362" s="2"/>
      <c r="J362" s="2"/>
      <c r="K362" s="6"/>
    </row>
    <row r="363" spans="1:11">
      <c r="A363" s="331" t="s">
        <v>484</v>
      </c>
      <c r="B363" s="6" t="s">
        <v>442</v>
      </c>
      <c r="C363" s="2"/>
      <c r="D363" s="2"/>
      <c r="E363" s="2"/>
      <c r="F363" s="2"/>
      <c r="G363" s="2"/>
      <c r="H363" s="2"/>
      <c r="I363" s="6"/>
      <c r="J363" s="6"/>
      <c r="K363" s="6"/>
    </row>
    <row r="364" spans="1:11">
      <c r="A364" s="331" t="s">
        <v>499</v>
      </c>
      <c r="B364" s="6" t="s">
        <v>701</v>
      </c>
      <c r="C364" s="2"/>
      <c r="D364" s="2"/>
      <c r="E364" s="2"/>
      <c r="F364" s="2"/>
      <c r="G364" s="2"/>
      <c r="H364" s="2"/>
      <c r="I364" s="6"/>
      <c r="J364" s="6"/>
      <c r="K364" s="6"/>
    </row>
    <row r="365" spans="1:11">
      <c r="A365" s="331" t="s">
        <v>500</v>
      </c>
      <c r="B365" s="6" t="s">
        <v>445</v>
      </c>
      <c r="C365" s="2"/>
      <c r="D365" s="2"/>
      <c r="E365" s="2"/>
      <c r="F365" s="2"/>
      <c r="G365" s="2"/>
      <c r="H365" s="2"/>
      <c r="I365" s="6"/>
      <c r="J365" s="6"/>
      <c r="K365" s="6"/>
    </row>
    <row r="366" spans="1:11">
      <c r="A366" s="331"/>
      <c r="B366" s="6" t="s">
        <v>702</v>
      </c>
      <c r="C366" s="2" t="s">
        <v>446</v>
      </c>
      <c r="D366" s="420">
        <f>'2016 Attach O True-Up'!G16</f>
        <v>3953108</v>
      </c>
      <c r="E366" s="2"/>
      <c r="F366" s="2"/>
      <c r="G366" s="2"/>
      <c r="H366" s="2"/>
      <c r="I366" s="6"/>
      <c r="J366" s="6"/>
      <c r="K366" s="6"/>
    </row>
    <row r="367" spans="1:11">
      <c r="A367" s="331"/>
      <c r="B367" s="6" t="s">
        <v>448</v>
      </c>
      <c r="C367" s="2" t="s">
        <v>446</v>
      </c>
      <c r="D367" s="421">
        <f>'2016 Attach O True-Up'!G17</f>
        <v>4039698</v>
      </c>
      <c r="E367" s="2"/>
      <c r="F367" s="2"/>
      <c r="G367" s="2"/>
      <c r="H367" s="2"/>
      <c r="I367" s="6"/>
      <c r="J367" s="6"/>
      <c r="K367" s="6"/>
    </row>
    <row r="368" spans="1:11">
      <c r="A368" s="331"/>
      <c r="B368" s="6" t="s">
        <v>447</v>
      </c>
      <c r="C368" s="2"/>
      <c r="D368" s="328">
        <f>D367-D366</f>
        <v>86590</v>
      </c>
      <c r="E368" s="2"/>
      <c r="F368" s="2"/>
      <c r="G368" s="2"/>
      <c r="H368" s="2"/>
      <c r="I368" s="6"/>
      <c r="J368" s="6"/>
      <c r="K368" s="6"/>
    </row>
    <row r="369" spans="1:11">
      <c r="A369" s="331"/>
      <c r="B369" s="6" t="s">
        <v>449</v>
      </c>
      <c r="C369" s="2" t="s">
        <v>450</v>
      </c>
      <c r="D369" s="423">
        <f>'2016 Attach O True-Up'!G20</f>
        <v>28.351800000000001</v>
      </c>
      <c r="E369" s="2"/>
      <c r="F369" s="2"/>
      <c r="G369" s="2"/>
      <c r="H369" s="2"/>
      <c r="I369" s="6"/>
      <c r="J369" s="6"/>
      <c r="K369" s="6"/>
    </row>
    <row r="370" spans="1:11">
      <c r="A370" s="331"/>
      <c r="B370" s="6" t="s">
        <v>451</v>
      </c>
      <c r="C370" s="2"/>
      <c r="D370" s="422">
        <f>D368*D369</f>
        <v>2454982.3620000002</v>
      </c>
      <c r="E370" s="2"/>
      <c r="F370" s="2"/>
      <c r="G370" s="2"/>
      <c r="H370" s="2"/>
      <c r="I370" s="6"/>
      <c r="J370" s="6"/>
      <c r="K370" s="6"/>
    </row>
    <row r="371" spans="1:11">
      <c r="A371" s="331"/>
      <c r="B371" s="6"/>
      <c r="C371" s="2"/>
      <c r="D371" s="419"/>
      <c r="E371" s="2"/>
      <c r="F371" s="2"/>
      <c r="G371" s="2"/>
      <c r="H371" s="2"/>
      <c r="I371" s="6"/>
      <c r="J371" s="6"/>
      <c r="K371" s="6"/>
    </row>
    <row r="372" spans="1:11">
      <c r="A372" s="331"/>
      <c r="B372" s="6"/>
      <c r="C372" s="2"/>
      <c r="D372" s="419"/>
      <c r="E372" s="2"/>
      <c r="F372" s="2"/>
      <c r="G372" s="2"/>
      <c r="H372" s="2"/>
      <c r="I372" s="6"/>
      <c r="J372" s="6"/>
      <c r="K372" s="6"/>
    </row>
    <row r="373" spans="1:11">
      <c r="A373" s="331"/>
      <c r="B373" s="6"/>
      <c r="C373" s="2"/>
      <c r="D373" s="419"/>
      <c r="E373" s="2"/>
      <c r="F373" s="2"/>
      <c r="G373" s="2"/>
      <c r="H373" s="2"/>
      <c r="I373" s="6"/>
      <c r="J373" s="6"/>
      <c r="K373" s="6"/>
    </row>
    <row r="374" spans="1:11">
      <c r="A374" s="331"/>
      <c r="B374" s="6"/>
      <c r="C374" s="2"/>
      <c r="D374" s="419"/>
      <c r="E374" s="2"/>
      <c r="F374" s="2"/>
      <c r="G374" s="2"/>
      <c r="H374" s="2"/>
      <c r="I374" s="6"/>
      <c r="J374" s="6"/>
      <c r="K374" s="6"/>
    </row>
    <row r="375" spans="1:11">
      <c r="A375" s="331"/>
      <c r="B375" s="6"/>
      <c r="C375" s="2"/>
      <c r="D375" s="419"/>
      <c r="E375" s="2"/>
      <c r="F375" s="2"/>
      <c r="G375" s="2"/>
      <c r="H375" s="2"/>
      <c r="I375" s="6"/>
      <c r="J375" s="6"/>
      <c r="K375" s="6"/>
    </row>
    <row r="376" spans="1:11">
      <c r="A376" s="331"/>
      <c r="B376" s="6"/>
      <c r="C376" s="2"/>
      <c r="D376" s="419"/>
      <c r="E376" s="2"/>
      <c r="F376" s="2"/>
      <c r="G376" s="2"/>
      <c r="H376" s="2"/>
      <c r="I376" s="6"/>
      <c r="J376" s="6"/>
      <c r="K376" s="6"/>
    </row>
    <row r="377" spans="1:11">
      <c r="A377" s="331"/>
      <c r="B377" s="6"/>
      <c r="C377" s="2"/>
      <c r="D377" s="419"/>
      <c r="E377" s="2"/>
      <c r="F377" s="2"/>
      <c r="G377" s="2"/>
      <c r="H377" s="2"/>
      <c r="I377" s="6"/>
      <c r="J377" s="6"/>
      <c r="K377" s="6"/>
    </row>
    <row r="378" spans="1:11">
      <c r="A378" s="331"/>
      <c r="B378" s="6"/>
      <c r="C378" s="2"/>
      <c r="D378" s="419"/>
      <c r="E378" s="2"/>
      <c r="F378" s="2"/>
      <c r="G378" s="2"/>
      <c r="H378" s="2"/>
      <c r="I378" s="6"/>
      <c r="J378" s="6"/>
      <c r="K378" s="6"/>
    </row>
    <row r="379" spans="1:11">
      <c r="A379" s="331"/>
      <c r="B379" s="6"/>
      <c r="C379" s="2"/>
      <c r="D379" s="419"/>
      <c r="E379" s="2"/>
      <c r="F379" s="2"/>
      <c r="G379" s="2"/>
      <c r="H379" s="2"/>
      <c r="I379" s="6"/>
      <c r="J379" s="6"/>
      <c r="K379" s="6"/>
    </row>
    <row r="380" spans="1:11">
      <c r="A380" s="331"/>
      <c r="B380" s="6"/>
      <c r="C380" s="2"/>
      <c r="D380" s="419"/>
      <c r="E380" s="2"/>
      <c r="F380" s="2"/>
      <c r="G380" s="2"/>
      <c r="H380" s="2"/>
      <c r="I380" s="6"/>
      <c r="J380" s="6"/>
      <c r="K380" s="6"/>
    </row>
    <row r="381" spans="1:11">
      <c r="A381" s="331"/>
      <c r="B381" s="6"/>
      <c r="C381" s="2"/>
      <c r="D381" s="419"/>
      <c r="E381" s="2"/>
      <c r="F381" s="2"/>
      <c r="G381" s="2"/>
      <c r="H381" s="2"/>
      <c r="I381" s="6"/>
      <c r="J381" s="6"/>
      <c r="K381" s="6"/>
    </row>
    <row r="382" spans="1:11">
      <c r="A382" s="331"/>
      <c r="B382" s="6"/>
      <c r="C382" s="2"/>
      <c r="D382" s="419"/>
      <c r="E382" s="2"/>
      <c r="F382" s="2"/>
      <c r="G382" s="2"/>
      <c r="H382" s="2"/>
      <c r="I382" s="6"/>
      <c r="J382" s="6"/>
      <c r="K382" s="6"/>
    </row>
    <row r="383" spans="1:11">
      <c r="A383" s="331"/>
      <c r="B383" s="6"/>
      <c r="C383" s="2"/>
      <c r="D383" s="419"/>
      <c r="E383" s="2"/>
      <c r="F383" s="2"/>
      <c r="G383" s="2"/>
      <c r="H383" s="2"/>
      <c r="I383" s="6"/>
      <c r="J383" s="6"/>
      <c r="K383" s="6"/>
    </row>
    <row r="384" spans="1:11">
      <c r="A384" s="331"/>
      <c r="B384" s="6"/>
      <c r="C384" s="2"/>
      <c r="D384" s="419"/>
      <c r="E384" s="2"/>
      <c r="F384" s="2"/>
      <c r="G384" s="2"/>
      <c r="H384" s="2"/>
      <c r="I384" s="6"/>
      <c r="J384" s="6"/>
      <c r="K384" s="6"/>
    </row>
    <row r="385" spans="1:11">
      <c r="A385" s="331"/>
      <c r="B385" s="6"/>
      <c r="C385" s="2"/>
      <c r="D385" s="419"/>
      <c r="E385" s="2"/>
      <c r="F385" s="2"/>
      <c r="G385" s="2"/>
      <c r="H385" s="2"/>
      <c r="I385" s="6"/>
      <c r="J385" s="6"/>
      <c r="K385" s="6"/>
    </row>
    <row r="386" spans="1:11">
      <c r="A386" s="331"/>
      <c r="B386" s="6"/>
      <c r="C386" s="2"/>
      <c r="D386" s="419"/>
      <c r="E386" s="2"/>
      <c r="F386" s="2"/>
      <c r="G386" s="2"/>
      <c r="H386" s="2"/>
      <c r="I386" s="6"/>
      <c r="J386" s="6"/>
      <c r="K386" s="6"/>
    </row>
    <row r="387" spans="1:11">
      <c r="A387" s="331"/>
      <c r="B387" s="6"/>
      <c r="C387" s="2"/>
      <c r="D387" s="419"/>
      <c r="E387" s="2"/>
      <c r="F387" s="2"/>
      <c r="G387" s="2"/>
      <c r="H387" s="2"/>
      <c r="I387" s="6"/>
      <c r="J387" s="6"/>
      <c r="K387" s="6"/>
    </row>
    <row r="388" spans="1:11">
      <c r="A388" s="331"/>
      <c r="B388" s="6"/>
      <c r="C388" s="2"/>
      <c r="D388" s="419"/>
      <c r="E388" s="2"/>
      <c r="F388" s="2"/>
      <c r="G388" s="2"/>
      <c r="H388" s="2"/>
      <c r="I388" s="6"/>
      <c r="J388" s="6"/>
      <c r="K388" s="6"/>
    </row>
    <row r="389" spans="1:11">
      <c r="A389" s="331"/>
      <c r="B389" s="6"/>
      <c r="C389" s="2"/>
      <c r="D389" s="419"/>
      <c r="E389" s="2"/>
      <c r="F389" s="2"/>
      <c r="G389" s="2"/>
      <c r="H389" s="2"/>
      <c r="I389" s="6"/>
      <c r="J389" s="6"/>
      <c r="K389" s="6"/>
    </row>
    <row r="390" spans="1:11">
      <c r="A390" s="331"/>
      <c r="B390" s="6"/>
      <c r="C390" s="2"/>
      <c r="D390" s="419"/>
      <c r="E390" s="2"/>
      <c r="F390" s="2"/>
      <c r="G390" s="2"/>
      <c r="H390" s="2"/>
      <c r="I390" s="6"/>
      <c r="J390" s="6"/>
      <c r="K390" s="6"/>
    </row>
    <row r="391" spans="1:11">
      <c r="A391" s="331"/>
      <c r="B391" s="6"/>
      <c r="C391" s="2"/>
      <c r="D391" s="419"/>
      <c r="E391" s="2"/>
      <c r="F391" s="2"/>
      <c r="G391" s="2"/>
      <c r="H391" s="2"/>
      <c r="I391" s="6"/>
      <c r="J391" s="6"/>
      <c r="K391" s="6"/>
    </row>
    <row r="392" spans="1:11">
      <c r="A392" s="331"/>
      <c r="B392" s="6"/>
      <c r="C392" s="2"/>
      <c r="D392" s="419"/>
      <c r="E392" s="2"/>
      <c r="F392" s="2"/>
      <c r="G392" s="2"/>
      <c r="H392" s="2"/>
      <c r="I392" s="6"/>
      <c r="J392" s="6"/>
      <c r="K392" s="6"/>
    </row>
    <row r="393" spans="1:11">
      <c r="A393" s="331"/>
      <c r="B393" s="6"/>
      <c r="C393" s="2"/>
      <c r="D393" s="419"/>
      <c r="E393" s="2"/>
      <c r="F393" s="2"/>
      <c r="G393" s="2"/>
      <c r="H393" s="2"/>
      <c r="I393" s="6"/>
      <c r="J393" s="6"/>
      <c r="K393" s="6"/>
    </row>
    <row r="394" spans="1:11">
      <c r="A394" s="331"/>
      <c r="B394" s="6"/>
      <c r="C394" s="2"/>
      <c r="D394" s="419"/>
      <c r="E394" s="2"/>
      <c r="F394" s="2"/>
      <c r="G394" s="2"/>
      <c r="H394" s="2"/>
      <c r="I394" s="6"/>
      <c r="J394" s="6"/>
      <c r="K394" s="6"/>
    </row>
    <row r="395" spans="1:11">
      <c r="A395" s="331"/>
      <c r="B395" s="6"/>
      <c r="C395" s="2"/>
      <c r="D395" s="419"/>
      <c r="E395" s="2"/>
      <c r="F395" s="2"/>
      <c r="G395" s="2"/>
      <c r="H395" s="2"/>
      <c r="I395" s="6"/>
      <c r="J395" s="6"/>
      <c r="K395" s="6"/>
    </row>
    <row r="396" spans="1:11">
      <c r="A396" s="331"/>
      <c r="B396" s="6"/>
      <c r="C396" s="2"/>
      <c r="D396" s="419"/>
      <c r="E396" s="2"/>
      <c r="F396" s="2"/>
      <c r="G396" s="2"/>
      <c r="H396" s="2"/>
      <c r="I396" s="6"/>
      <c r="J396" s="6"/>
      <c r="K396" s="6"/>
    </row>
    <row r="397" spans="1:11">
      <c r="A397" s="331"/>
      <c r="B397" s="6"/>
      <c r="C397" s="2"/>
      <c r="D397" s="419"/>
      <c r="E397" s="2"/>
      <c r="F397" s="2"/>
      <c r="G397" s="2"/>
      <c r="H397" s="2"/>
      <c r="I397" s="6"/>
      <c r="J397" s="6"/>
      <c r="K397" s="6"/>
    </row>
    <row r="398" spans="1:11">
      <c r="A398" s="331"/>
      <c r="B398" s="6"/>
      <c r="C398" s="2"/>
      <c r="D398" s="419"/>
      <c r="E398" s="2"/>
      <c r="F398" s="2"/>
      <c r="G398" s="2"/>
      <c r="H398" s="2"/>
      <c r="I398" s="6"/>
      <c r="J398" s="6"/>
      <c r="K398" s="6"/>
    </row>
    <row r="399" spans="1:11">
      <c r="A399" s="331"/>
      <c r="B399" s="6"/>
      <c r="C399" s="2"/>
      <c r="D399" s="419"/>
      <c r="E399" s="2"/>
      <c r="F399" s="2"/>
      <c r="G399" s="2"/>
      <c r="H399" s="2"/>
      <c r="I399" s="6"/>
      <c r="J399" s="6"/>
      <c r="K399" s="6"/>
    </row>
    <row r="400" spans="1:11">
      <c r="A400" s="331"/>
      <c r="B400" s="6"/>
      <c r="C400" s="2"/>
      <c r="D400" s="419"/>
      <c r="E400" s="2"/>
      <c r="F400" s="2"/>
      <c r="G400" s="2"/>
      <c r="H400" s="2"/>
      <c r="I400" s="6"/>
      <c r="J400" s="6"/>
      <c r="K400" s="6"/>
    </row>
    <row r="401" spans="1:11">
      <c r="A401" s="331"/>
      <c r="B401" s="6"/>
      <c r="C401" s="2"/>
      <c r="D401" s="419"/>
      <c r="E401" s="2"/>
      <c r="F401" s="2"/>
      <c r="G401" s="2"/>
      <c r="H401" s="2"/>
      <c r="I401" s="6"/>
      <c r="J401" s="6"/>
      <c r="K401" s="6"/>
    </row>
    <row r="402" spans="1:11">
      <c r="A402" s="331"/>
      <c r="B402" s="6"/>
      <c r="C402" s="2"/>
      <c r="D402" s="419"/>
      <c r="E402" s="2"/>
      <c r="F402" s="2"/>
      <c r="G402" s="2"/>
      <c r="H402" s="2"/>
      <c r="I402" s="6"/>
      <c r="J402" s="6"/>
      <c r="K402" s="6"/>
    </row>
    <row r="403" spans="1:11">
      <c r="A403" s="331"/>
      <c r="B403" s="6"/>
      <c r="C403" s="2"/>
      <c r="D403" s="419"/>
      <c r="E403" s="2"/>
      <c r="F403" s="2"/>
      <c r="G403" s="2"/>
      <c r="H403" s="2"/>
      <c r="I403" s="6"/>
      <c r="J403" s="6"/>
      <c r="K403" s="6"/>
    </row>
    <row r="404" spans="1:11">
      <c r="A404" s="331"/>
      <c r="B404" s="6"/>
      <c r="C404" s="2"/>
      <c r="D404" s="419"/>
      <c r="E404" s="2"/>
      <c r="F404" s="2"/>
      <c r="G404" s="2"/>
      <c r="H404" s="2"/>
      <c r="I404" s="6"/>
      <c r="J404" s="6"/>
      <c r="K404" s="6"/>
    </row>
    <row r="405" spans="1:11">
      <c r="A405" s="331"/>
      <c r="B405" s="6"/>
      <c r="C405" s="2"/>
      <c r="D405" s="419"/>
      <c r="E405" s="2"/>
      <c r="F405" s="2"/>
      <c r="G405" s="2"/>
      <c r="H405" s="2"/>
      <c r="I405" s="6"/>
      <c r="J405" s="6"/>
      <c r="K405" s="6"/>
    </row>
    <row r="406" spans="1:11">
      <c r="A406" s="331"/>
      <c r="B406" s="6"/>
      <c r="C406" s="2"/>
      <c r="D406" s="419"/>
      <c r="E406" s="2"/>
      <c r="F406" s="2"/>
      <c r="G406" s="2"/>
      <c r="H406" s="2"/>
      <c r="I406" s="6"/>
      <c r="J406" s="6"/>
      <c r="K406" s="6"/>
    </row>
    <row r="407" spans="1:11">
      <c r="A407" s="331"/>
      <c r="B407" s="6"/>
      <c r="C407" s="2"/>
      <c r="D407" s="419"/>
      <c r="E407" s="2"/>
      <c r="F407" s="2"/>
      <c r="G407" s="2"/>
      <c r="H407" s="2"/>
      <c r="I407" s="6"/>
      <c r="J407" s="6"/>
      <c r="K407" s="6"/>
    </row>
    <row r="408" spans="1:11">
      <c r="A408" s="331"/>
      <c r="B408" s="6"/>
      <c r="C408" s="2"/>
      <c r="D408" s="419"/>
      <c r="E408" s="2"/>
      <c r="F408" s="2"/>
      <c r="G408" s="2"/>
      <c r="H408" s="2"/>
      <c r="I408" s="6"/>
      <c r="J408" s="6"/>
      <c r="K408" s="6"/>
    </row>
    <row r="409" spans="1:11">
      <c r="A409" s="331"/>
      <c r="B409" s="6"/>
      <c r="C409" s="2"/>
      <c r="D409" s="419"/>
      <c r="E409" s="2"/>
      <c r="F409" s="2"/>
      <c r="G409" s="2"/>
      <c r="H409" s="2"/>
      <c r="I409" s="6"/>
      <c r="J409" s="6"/>
      <c r="K409" s="6"/>
    </row>
    <row r="418" spans="1:11">
      <c r="A418" s="435"/>
      <c r="B418" s="435"/>
      <c r="C418" s="435"/>
      <c r="D418" s="311"/>
      <c r="E418" s="311"/>
      <c r="F418" s="348"/>
      <c r="G418" s="433"/>
      <c r="H418" s="433"/>
      <c r="I418" s="433"/>
      <c r="J418" s="433"/>
      <c r="K418" s="433"/>
    </row>
  </sheetData>
  <sheetProtection algorithmName="SHA-512" hashValue="SEflLmU1jmH4KQXRHmHGhrWRU0JbQ2lQq+YzjzGBa90LuZyuKruMvMV3o7kOsPvpMnf7SgKsF1xHIfwE/8jqgA==" saltValue="d0seHV9CaYbStEV7I/D61A==" spinCount="100000" sheet="1" objects="1" scenarios="1" formatCells="0" formatColumns="0"/>
  <mergeCells count="66">
    <mergeCell ref="A74:C74"/>
    <mergeCell ref="G1:K1"/>
    <mergeCell ref="G2:K2"/>
    <mergeCell ref="I4:K4"/>
    <mergeCell ref="A73:C73"/>
    <mergeCell ref="G73:K73"/>
    <mergeCell ref="G75:K75"/>
    <mergeCell ref="G76:K76"/>
    <mergeCell ref="I77:K77"/>
    <mergeCell ref="J78:K78"/>
    <mergeCell ref="A145:C145"/>
    <mergeCell ref="I145:K145"/>
    <mergeCell ref="F222:K222"/>
    <mergeCell ref="A146:B146"/>
    <mergeCell ref="A147:K147"/>
    <mergeCell ref="F148:K148"/>
    <mergeCell ref="D149:K149"/>
    <mergeCell ref="I151:K151"/>
    <mergeCell ref="J152:K152"/>
    <mergeCell ref="B209:C209"/>
    <mergeCell ref="A219:C219"/>
    <mergeCell ref="G219:K219"/>
    <mergeCell ref="A220:B220"/>
    <mergeCell ref="G221:K221"/>
    <mergeCell ref="B314:K314"/>
    <mergeCell ref="I223:K223"/>
    <mergeCell ref="J224:K224"/>
    <mergeCell ref="G226:K226"/>
    <mergeCell ref="N240:S240"/>
    <mergeCell ref="A298:C298"/>
    <mergeCell ref="G298:K298"/>
    <mergeCell ref="G299:K299"/>
    <mergeCell ref="G300:K300"/>
    <mergeCell ref="I301:K301"/>
    <mergeCell ref="J302:K302"/>
    <mergeCell ref="B313:K313"/>
    <mergeCell ref="B327:K327"/>
    <mergeCell ref="B315:K315"/>
    <mergeCell ref="B316:K316"/>
    <mergeCell ref="B317:K317"/>
    <mergeCell ref="B318:K318"/>
    <mergeCell ref="B319:K319"/>
    <mergeCell ref="B320:K320"/>
    <mergeCell ref="B321:K321"/>
    <mergeCell ref="B322:K322"/>
    <mergeCell ref="B323:K323"/>
    <mergeCell ref="E325:K325"/>
    <mergeCell ref="E326:K326"/>
    <mergeCell ref="B339:K339"/>
    <mergeCell ref="B328:K328"/>
    <mergeCell ref="B329:K329"/>
    <mergeCell ref="B330:K330"/>
    <mergeCell ref="B331:K331"/>
    <mergeCell ref="B332:K332"/>
    <mergeCell ref="B333:K333"/>
    <mergeCell ref="B334:K334"/>
    <mergeCell ref="B335:K335"/>
    <mergeCell ref="B336:K336"/>
    <mergeCell ref="B337:K337"/>
    <mergeCell ref="B338:K338"/>
    <mergeCell ref="A348:C348"/>
    <mergeCell ref="G348:K348"/>
    <mergeCell ref="I349:K349"/>
    <mergeCell ref="J350:K350"/>
    <mergeCell ref="A418:C418"/>
    <mergeCell ref="G418:K418"/>
  </mergeCells>
  <printOptions horizontalCentered="1" verticalCentered="1"/>
  <pageMargins left="0.75" right="0.75" top="1" bottom="1" header="0.5" footer="0.5"/>
  <pageSetup scale="54" fitToHeight="6" orientation="portrait" horizontalDpi="300" verticalDpi="300" r:id="rId1"/>
  <headerFooter alignWithMargins="0">
    <oddFooter>&amp;RV33
EFF 01.01.16</oddFooter>
  </headerFooter>
  <rowBreaks count="5" manualBreakCount="5">
    <brk id="74" max="16383" man="1"/>
    <brk id="147" max="16383" man="1"/>
    <brk id="220" max="16383" man="1"/>
    <brk id="298" max="16383" man="1"/>
    <brk id="348" max="10" man="1"/>
  </rowBreaks>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D22" sqref="D22"/>
    </sheetView>
  </sheetViews>
  <sheetFormatPr defaultRowHeight="15"/>
  <cols>
    <col min="1" max="1" width="6.77734375" customWidth="1"/>
    <col min="2" max="2" width="16.44140625" customWidth="1"/>
    <col min="3" max="3" width="16" bestFit="1" customWidth="1"/>
    <col min="4" max="4" width="16.44140625" customWidth="1"/>
  </cols>
  <sheetData>
    <row r="1" spans="1:4" ht="15.75">
      <c r="A1" s="68" t="s">
        <v>280</v>
      </c>
    </row>
    <row r="2" spans="1:4" ht="15.75">
      <c r="A2" s="68" t="s">
        <v>420</v>
      </c>
    </row>
    <row r="3" spans="1:4" ht="15.75">
      <c r="A3" s="68" t="str">
        <f>'Plant Balance'!A3</f>
        <v>For the 13 Months Ended December 31, 2018</v>
      </c>
    </row>
    <row r="5" spans="1:4">
      <c r="B5" s="74" t="s">
        <v>408</v>
      </c>
      <c r="C5" s="74" t="s">
        <v>409</v>
      </c>
      <c r="D5" s="74" t="s">
        <v>414</v>
      </c>
    </row>
    <row r="6" spans="1:4" ht="15.75">
      <c r="A6" s="94"/>
      <c r="B6" s="112"/>
      <c r="C6" s="86"/>
      <c r="D6" s="79" t="s">
        <v>422</v>
      </c>
    </row>
    <row r="7" spans="1:4" ht="15.75">
      <c r="A7" s="110" t="s">
        <v>4</v>
      </c>
      <c r="B7" s="108"/>
      <c r="C7" s="111"/>
      <c r="D7" s="113" t="s">
        <v>423</v>
      </c>
    </row>
    <row r="8" spans="1:4" ht="15.75">
      <c r="A8" s="76" t="s">
        <v>6</v>
      </c>
      <c r="B8" s="102" t="s">
        <v>402</v>
      </c>
      <c r="C8" s="81" t="s">
        <v>421</v>
      </c>
      <c r="D8" s="82" t="s">
        <v>424</v>
      </c>
    </row>
    <row r="9" spans="1:4">
      <c r="A9" s="95">
        <v>1</v>
      </c>
      <c r="B9" s="98">
        <f>'Plant Balance'!B9</f>
        <v>43070</v>
      </c>
      <c r="C9" s="103">
        <v>0</v>
      </c>
      <c r="D9" s="104">
        <v>10389590</v>
      </c>
    </row>
    <row r="10" spans="1:4">
      <c r="A10" s="96">
        <v>2</v>
      </c>
      <c r="B10" s="99">
        <f>'Plant Balance'!B10</f>
        <v>43101</v>
      </c>
      <c r="C10" s="105">
        <f>D10-D9</f>
        <v>19082297</v>
      </c>
      <c r="D10" s="106">
        <v>29471887</v>
      </c>
    </row>
    <row r="11" spans="1:4">
      <c r="A11" s="96">
        <v>3</v>
      </c>
      <c r="B11" s="99">
        <f>'Plant Balance'!B11</f>
        <v>43132</v>
      </c>
      <c r="C11" s="105">
        <f t="shared" ref="C11:C21" si="0">D11-D10</f>
        <v>-2230226</v>
      </c>
      <c r="D11" s="106">
        <v>27241661</v>
      </c>
    </row>
    <row r="12" spans="1:4">
      <c r="A12" s="96">
        <v>4</v>
      </c>
      <c r="B12" s="99">
        <f>'Plant Balance'!B12</f>
        <v>43160</v>
      </c>
      <c r="C12" s="105">
        <f t="shared" si="0"/>
        <v>-2251143</v>
      </c>
      <c r="D12" s="106">
        <v>24990518</v>
      </c>
    </row>
    <row r="13" spans="1:4">
      <c r="A13" s="96">
        <v>5</v>
      </c>
      <c r="B13" s="99">
        <f>'Plant Balance'!B13</f>
        <v>43191</v>
      </c>
      <c r="C13" s="105">
        <f t="shared" si="0"/>
        <v>-694977</v>
      </c>
      <c r="D13" s="106">
        <v>24295541</v>
      </c>
    </row>
    <row r="14" spans="1:4">
      <c r="A14" s="96">
        <v>6</v>
      </c>
      <c r="B14" s="99">
        <f>'Plant Balance'!B14</f>
        <v>43221</v>
      </c>
      <c r="C14" s="105">
        <f t="shared" si="0"/>
        <v>-2282977</v>
      </c>
      <c r="D14" s="106">
        <v>22012564</v>
      </c>
    </row>
    <row r="15" spans="1:4">
      <c r="A15" s="96">
        <v>7</v>
      </c>
      <c r="B15" s="99">
        <f>'Plant Balance'!B15</f>
        <v>43252</v>
      </c>
      <c r="C15" s="105">
        <f t="shared" si="0"/>
        <v>-1597143</v>
      </c>
      <c r="D15" s="106">
        <v>20415421</v>
      </c>
    </row>
    <row r="16" spans="1:4">
      <c r="A16" s="96">
        <v>8</v>
      </c>
      <c r="B16" s="99">
        <f>'Plant Balance'!B16</f>
        <v>43282</v>
      </c>
      <c r="C16" s="105">
        <f t="shared" si="0"/>
        <v>-2287143</v>
      </c>
      <c r="D16" s="106">
        <v>18128278</v>
      </c>
    </row>
    <row r="17" spans="1:4">
      <c r="A17" s="96">
        <v>9</v>
      </c>
      <c r="B17" s="99">
        <f>'Plant Balance'!B17</f>
        <v>43313</v>
      </c>
      <c r="C17" s="105">
        <f t="shared" si="0"/>
        <v>-2287143</v>
      </c>
      <c r="D17" s="106">
        <v>15841135</v>
      </c>
    </row>
    <row r="18" spans="1:4">
      <c r="A18" s="96">
        <v>10</v>
      </c>
      <c r="B18" s="99">
        <f>'Plant Balance'!B18</f>
        <v>43344</v>
      </c>
      <c r="C18" s="105">
        <f t="shared" si="0"/>
        <v>-1694143</v>
      </c>
      <c r="D18" s="106">
        <v>14146992</v>
      </c>
    </row>
    <row r="19" spans="1:4">
      <c r="A19" s="96">
        <v>11</v>
      </c>
      <c r="B19" s="99">
        <f>'Plant Balance'!B19</f>
        <v>43374</v>
      </c>
      <c r="C19" s="105">
        <f t="shared" si="0"/>
        <v>1136606</v>
      </c>
      <c r="D19" s="106">
        <v>15283598</v>
      </c>
    </row>
    <row r="20" spans="1:4">
      <c r="A20" s="96">
        <v>12</v>
      </c>
      <c r="B20" s="99">
        <f>'Plant Balance'!B20</f>
        <v>43405</v>
      </c>
      <c r="C20" s="105">
        <f t="shared" si="0"/>
        <v>-2257055</v>
      </c>
      <c r="D20" s="106">
        <v>13026543</v>
      </c>
    </row>
    <row r="21" spans="1:4">
      <c r="A21" s="96">
        <v>13</v>
      </c>
      <c r="B21" s="99">
        <f>'Plant Balance'!B21</f>
        <v>43435</v>
      </c>
      <c r="C21" s="105">
        <f t="shared" si="0"/>
        <v>-2700305</v>
      </c>
      <c r="D21" s="106">
        <v>10326238</v>
      </c>
    </row>
    <row r="22" spans="1:4" ht="15.75" thickBot="1">
      <c r="A22" s="96">
        <v>14</v>
      </c>
      <c r="B22" s="40"/>
      <c r="C22" s="43"/>
      <c r="D22" s="114"/>
    </row>
    <row r="23" spans="1:4" ht="15.75">
      <c r="A23" s="96">
        <v>15</v>
      </c>
      <c r="B23" s="108" t="s">
        <v>9</v>
      </c>
      <c r="C23" s="105"/>
      <c r="D23" s="106">
        <f t="shared" ref="D23" si="1">SUM(D9:D22)</f>
        <v>245569966</v>
      </c>
    </row>
    <row r="24" spans="1:4" ht="15.75">
      <c r="A24" s="96">
        <v>16</v>
      </c>
      <c r="B24" s="108" t="s">
        <v>407</v>
      </c>
      <c r="C24" s="105"/>
      <c r="D24" s="115">
        <f>AVERAGE(D9:D21)</f>
        <v>18889997.384615384</v>
      </c>
    </row>
    <row r="25" spans="1:4">
      <c r="A25" s="85"/>
      <c r="B25" s="91"/>
      <c r="C25" s="69"/>
      <c r="D25" s="92"/>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C21" sqref="C21"/>
    </sheetView>
  </sheetViews>
  <sheetFormatPr defaultRowHeight="15"/>
  <cols>
    <col min="1" max="1" width="6.77734375" customWidth="1"/>
    <col min="2" max="2" width="16.44140625" customWidth="1"/>
    <col min="3" max="3" width="15.77734375" customWidth="1"/>
  </cols>
  <sheetData>
    <row r="1" spans="1:3" ht="15.75">
      <c r="A1" s="68" t="s">
        <v>280</v>
      </c>
    </row>
    <row r="2" spans="1:3" ht="15.75">
      <c r="A2" s="68" t="s">
        <v>490</v>
      </c>
    </row>
    <row r="3" spans="1:3" ht="15.75">
      <c r="A3" s="68" t="s">
        <v>704</v>
      </c>
    </row>
    <row r="5" spans="1:3">
      <c r="B5" s="74" t="s">
        <v>408</v>
      </c>
      <c r="C5" s="74" t="s">
        <v>409</v>
      </c>
    </row>
    <row r="7" spans="1:3">
      <c r="A7" s="94" t="s">
        <v>4</v>
      </c>
      <c r="B7" s="112"/>
      <c r="C7" s="118"/>
    </row>
    <row r="8" spans="1:3" ht="15.75">
      <c r="A8" s="85" t="s">
        <v>6</v>
      </c>
      <c r="B8" s="108" t="s">
        <v>402</v>
      </c>
      <c r="C8" s="158" t="s">
        <v>491</v>
      </c>
    </row>
    <row r="9" spans="1:3">
      <c r="A9" s="138">
        <v>1</v>
      </c>
      <c r="B9" s="98">
        <v>43101</v>
      </c>
      <c r="C9" s="118">
        <f>4853193+1799875</f>
        <v>6653068</v>
      </c>
    </row>
    <row r="10" spans="1:3">
      <c r="A10" s="131">
        <v>2</v>
      </c>
      <c r="B10" s="99">
        <v>43132</v>
      </c>
      <c r="C10" s="42">
        <f>5044679+1799875</f>
        <v>6844554</v>
      </c>
    </row>
    <row r="11" spans="1:3">
      <c r="A11" s="131">
        <v>3</v>
      </c>
      <c r="B11" s="99">
        <v>43160</v>
      </c>
      <c r="C11" s="42">
        <f>5523377+1799875</f>
        <v>7323252</v>
      </c>
    </row>
    <row r="12" spans="1:3">
      <c r="A12" s="131">
        <v>4</v>
      </c>
      <c r="B12" s="99">
        <v>43191</v>
      </c>
      <c r="C12" s="42">
        <f>4828112+1799875</f>
        <v>6627987</v>
      </c>
    </row>
    <row r="13" spans="1:3">
      <c r="A13" s="131">
        <v>5</v>
      </c>
      <c r="B13" s="99">
        <v>43221</v>
      </c>
      <c r="C13" s="42">
        <f>4767509+1799875</f>
        <v>6567384</v>
      </c>
    </row>
    <row r="14" spans="1:3">
      <c r="A14" s="131">
        <v>6</v>
      </c>
      <c r="B14" s="99">
        <v>43252</v>
      </c>
      <c r="C14" s="42">
        <f>4820540+1799875</f>
        <v>6620415</v>
      </c>
    </row>
    <row r="15" spans="1:3">
      <c r="A15" s="131">
        <v>7</v>
      </c>
      <c r="B15" s="99">
        <v>43282</v>
      </c>
      <c r="C15" s="42">
        <f>4538633+1799875</f>
        <v>6338508</v>
      </c>
    </row>
    <row r="16" spans="1:3">
      <c r="A16" s="131">
        <v>8</v>
      </c>
      <c r="B16" s="99">
        <v>43313</v>
      </c>
      <c r="C16" s="42">
        <f>4592910+1799875</f>
        <v>6392785</v>
      </c>
    </row>
    <row r="17" spans="1:3">
      <c r="A17" s="131">
        <v>9</v>
      </c>
      <c r="B17" s="99">
        <v>43344</v>
      </c>
      <c r="C17" s="42">
        <f>5293601+1799875</f>
        <v>7093476</v>
      </c>
    </row>
    <row r="18" spans="1:3">
      <c r="A18" s="131">
        <v>10</v>
      </c>
      <c r="B18" s="99">
        <v>43374</v>
      </c>
      <c r="C18" s="42">
        <f>4500200+1799875</f>
        <v>6300075</v>
      </c>
    </row>
    <row r="19" spans="1:3">
      <c r="A19" s="131">
        <v>11</v>
      </c>
      <c r="B19" s="99">
        <v>43405</v>
      </c>
      <c r="C19" s="42">
        <f>4988168+1799875</f>
        <v>6788043</v>
      </c>
    </row>
    <row r="20" spans="1:3">
      <c r="A20" s="131">
        <v>12</v>
      </c>
      <c r="B20" s="99">
        <v>43435</v>
      </c>
      <c r="C20" s="42">
        <f>5546602+1799875</f>
        <v>7346477</v>
      </c>
    </row>
    <row r="21" spans="1:3" ht="15.75" thickBot="1">
      <c r="A21" s="131">
        <v>13</v>
      </c>
      <c r="B21" s="40"/>
      <c r="C21" s="114"/>
    </row>
    <row r="22" spans="1:3" ht="15.75">
      <c r="A22" s="131">
        <v>14</v>
      </c>
      <c r="B22" s="108" t="s">
        <v>9</v>
      </c>
      <c r="C22" s="113">
        <f>SUM(C9:C21)</f>
        <v>80896024</v>
      </c>
    </row>
    <row r="23" spans="1:3">
      <c r="A23" s="91"/>
      <c r="B23" s="91"/>
      <c r="C23" s="92"/>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C21" sqref="C21"/>
    </sheetView>
  </sheetViews>
  <sheetFormatPr defaultRowHeight="15"/>
  <cols>
    <col min="1" max="1" width="6.77734375" customWidth="1"/>
    <col min="2" max="2" width="16.44140625" customWidth="1"/>
    <col min="3" max="3" width="15.77734375" customWidth="1"/>
  </cols>
  <sheetData>
    <row r="1" spans="1:3" ht="15.75">
      <c r="A1" s="68" t="s">
        <v>280</v>
      </c>
    </row>
    <row r="2" spans="1:3" ht="15.75">
      <c r="A2" s="68" t="s">
        <v>492</v>
      </c>
    </row>
    <row r="3" spans="1:3" ht="15.75">
      <c r="A3" s="68" t="str">
        <f>'O&amp;M'!A3</f>
        <v>Budget Year Ending December 31, 2018</v>
      </c>
    </row>
    <row r="5" spans="1:3">
      <c r="B5" s="74" t="s">
        <v>408</v>
      </c>
      <c r="C5" s="74" t="s">
        <v>409</v>
      </c>
    </row>
    <row r="7" spans="1:3">
      <c r="A7" s="94" t="s">
        <v>4</v>
      </c>
      <c r="B7" s="112"/>
      <c r="C7" s="118"/>
    </row>
    <row r="8" spans="1:3" ht="15.75">
      <c r="A8" s="85" t="s">
        <v>6</v>
      </c>
      <c r="B8" s="108" t="s">
        <v>402</v>
      </c>
      <c r="C8" s="158" t="s">
        <v>491</v>
      </c>
    </row>
    <row r="9" spans="1:3">
      <c r="A9" s="138">
        <v>1</v>
      </c>
      <c r="B9" s="98">
        <f>'O&amp;M'!B9</f>
        <v>43101</v>
      </c>
      <c r="C9" s="118">
        <v>6949082</v>
      </c>
    </row>
    <row r="10" spans="1:3">
      <c r="A10" s="131">
        <v>2</v>
      </c>
      <c r="B10" s="99">
        <f>'O&amp;M'!B10</f>
        <v>43132</v>
      </c>
      <c r="C10" s="42">
        <v>6304038</v>
      </c>
    </row>
    <row r="11" spans="1:3">
      <c r="A11" s="131">
        <v>3</v>
      </c>
      <c r="B11" s="99">
        <f>'O&amp;M'!B11</f>
        <v>43160</v>
      </c>
      <c r="C11" s="42">
        <v>6587526</v>
      </c>
    </row>
    <row r="12" spans="1:3">
      <c r="A12" s="131">
        <v>4</v>
      </c>
      <c r="B12" s="99">
        <f>'O&amp;M'!B12</f>
        <v>43191</v>
      </c>
      <c r="C12" s="42">
        <v>6603637</v>
      </c>
    </row>
    <row r="13" spans="1:3">
      <c r="A13" s="131">
        <v>5</v>
      </c>
      <c r="B13" s="99">
        <f>'O&amp;M'!B13</f>
        <v>43221</v>
      </c>
      <c r="C13" s="42">
        <v>6707778</v>
      </c>
    </row>
    <row r="14" spans="1:3">
      <c r="A14" s="131">
        <v>6</v>
      </c>
      <c r="B14" s="99">
        <f>'O&amp;M'!B14</f>
        <v>43252</v>
      </c>
      <c r="C14" s="42">
        <v>6916525</v>
      </c>
    </row>
    <row r="15" spans="1:3">
      <c r="A15" s="131">
        <v>7</v>
      </c>
      <c r="B15" s="99">
        <f>'O&amp;M'!B15</f>
        <v>43282</v>
      </c>
      <c r="C15" s="42">
        <v>7231265</v>
      </c>
    </row>
    <row r="16" spans="1:3">
      <c r="A16" s="131">
        <v>8</v>
      </c>
      <c r="B16" s="99">
        <f>'O&amp;M'!B16</f>
        <v>43313</v>
      </c>
      <c r="C16" s="42">
        <v>7241879</v>
      </c>
    </row>
    <row r="17" spans="1:3">
      <c r="A17" s="131">
        <v>9</v>
      </c>
      <c r="B17" s="99">
        <f>'O&amp;M'!B17</f>
        <v>43344</v>
      </c>
      <c r="C17" s="42">
        <v>8984992</v>
      </c>
    </row>
    <row r="18" spans="1:3">
      <c r="A18" s="131">
        <v>10</v>
      </c>
      <c r="B18" s="99">
        <f>'O&amp;M'!B18</f>
        <v>43374</v>
      </c>
      <c r="C18" s="42">
        <v>6474633</v>
      </c>
    </row>
    <row r="19" spans="1:3">
      <c r="A19" s="131">
        <v>11</v>
      </c>
      <c r="B19" s="99">
        <f>'O&amp;M'!B19</f>
        <v>43405</v>
      </c>
      <c r="C19" s="42">
        <v>6076995</v>
      </c>
    </row>
    <row r="20" spans="1:3">
      <c r="A20" s="131">
        <v>12</v>
      </c>
      <c r="B20" s="99">
        <f>'O&amp;M'!B20</f>
        <v>43435</v>
      </c>
      <c r="C20" s="42">
        <v>7140567</v>
      </c>
    </row>
    <row r="21" spans="1:3" ht="15.75" thickBot="1">
      <c r="A21" s="131">
        <v>13</v>
      </c>
      <c r="B21" s="40"/>
      <c r="C21" s="114"/>
    </row>
    <row r="22" spans="1:3" ht="15.75">
      <c r="A22" s="131">
        <v>14</v>
      </c>
      <c r="B22" s="108" t="s">
        <v>9</v>
      </c>
      <c r="C22" s="113">
        <f>SUM(C9:C21)</f>
        <v>83218917</v>
      </c>
    </row>
    <row r="23" spans="1:3">
      <c r="A23" s="91"/>
      <c r="B23" s="91"/>
      <c r="C23" s="92"/>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C17" sqref="C17"/>
    </sheetView>
  </sheetViews>
  <sheetFormatPr defaultRowHeight="15"/>
  <cols>
    <col min="1" max="1" width="6.77734375" customWidth="1"/>
    <col min="2" max="2" width="19.6640625" customWidth="1"/>
    <col min="3" max="3" width="14.44140625" bestFit="1" customWidth="1"/>
  </cols>
  <sheetData>
    <row r="1" spans="1:3" ht="15.75">
      <c r="A1" s="68" t="s">
        <v>280</v>
      </c>
    </row>
    <row r="2" spans="1:3" ht="15.75">
      <c r="A2" s="68" t="s">
        <v>425</v>
      </c>
    </row>
    <row r="3" spans="1:3" ht="15.75">
      <c r="A3" s="68" t="str">
        <f>'O&amp;M'!A3</f>
        <v>Budget Year Ending December 31, 2018</v>
      </c>
    </row>
    <row r="5" spans="1:3">
      <c r="B5" s="74" t="s">
        <v>408</v>
      </c>
      <c r="C5" s="74" t="s">
        <v>409</v>
      </c>
    </row>
    <row r="7" spans="1:3">
      <c r="A7" s="75" t="s">
        <v>4</v>
      </c>
      <c r="B7" s="112"/>
      <c r="C7" s="118"/>
    </row>
    <row r="8" spans="1:3" ht="15.75">
      <c r="A8" s="76" t="s">
        <v>6</v>
      </c>
      <c r="B8" s="102" t="s">
        <v>425</v>
      </c>
      <c r="C8" s="92"/>
    </row>
    <row r="9" spans="1:3">
      <c r="A9" s="95">
        <v>1</v>
      </c>
      <c r="B9" s="112" t="s">
        <v>403</v>
      </c>
      <c r="C9" s="88">
        <v>391404435</v>
      </c>
    </row>
    <row r="10" spans="1:3">
      <c r="A10" s="96" t="s">
        <v>203</v>
      </c>
      <c r="B10" s="40" t="s">
        <v>691</v>
      </c>
      <c r="C10" s="90">
        <v>8464750</v>
      </c>
    </row>
    <row r="11" spans="1:3">
      <c r="A11" s="96"/>
      <c r="B11" s="40"/>
      <c r="C11" s="90"/>
    </row>
    <row r="12" spans="1:3">
      <c r="A12" s="96">
        <v>2</v>
      </c>
      <c r="B12" s="40" t="s">
        <v>38</v>
      </c>
      <c r="C12" s="90">
        <v>38660506</v>
      </c>
    </row>
    <row r="13" spans="1:3">
      <c r="A13" s="96" t="s">
        <v>690</v>
      </c>
      <c r="B13" s="40" t="s">
        <v>692</v>
      </c>
      <c r="C13" s="90">
        <v>1500</v>
      </c>
    </row>
    <row r="14" spans="1:3">
      <c r="A14" s="96"/>
      <c r="B14" s="40"/>
      <c r="C14" s="90"/>
    </row>
    <row r="15" spans="1:3">
      <c r="A15" s="96">
        <v>3</v>
      </c>
      <c r="B15" s="40" t="s">
        <v>404</v>
      </c>
      <c r="C15" s="90">
        <v>100374153</v>
      </c>
    </row>
    <row r="16" spans="1:3">
      <c r="A16" s="96"/>
      <c r="B16" s="40"/>
      <c r="C16" s="90"/>
    </row>
    <row r="17" spans="1:3" ht="15.75" thickBot="1">
      <c r="A17" s="96">
        <v>4</v>
      </c>
      <c r="B17" s="40" t="s">
        <v>426</v>
      </c>
      <c r="C17" s="119">
        <v>20495184</v>
      </c>
    </row>
    <row r="18" spans="1:3">
      <c r="A18" s="96"/>
      <c r="B18" s="40"/>
      <c r="C18" s="90"/>
    </row>
    <row r="19" spans="1:3" ht="15.75">
      <c r="A19" s="96">
        <v>5</v>
      </c>
      <c r="B19" s="108" t="s">
        <v>9</v>
      </c>
      <c r="C19" s="90">
        <f>SUM(C9:C18)</f>
        <v>559400528</v>
      </c>
    </row>
    <row r="20" spans="1:3">
      <c r="A20" s="85"/>
      <c r="B20" s="91"/>
      <c r="C20" s="92"/>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C22" sqref="C22"/>
    </sheetView>
  </sheetViews>
  <sheetFormatPr defaultRowHeight="15"/>
  <cols>
    <col min="1" max="1" width="6.77734375" customWidth="1"/>
    <col min="2" max="2" width="20.88671875" customWidth="1"/>
    <col min="3" max="3" width="14.44140625" bestFit="1" customWidth="1"/>
  </cols>
  <sheetData>
    <row r="1" spans="1:3" ht="15.75">
      <c r="A1" s="68" t="s">
        <v>280</v>
      </c>
    </row>
    <row r="2" spans="1:3" ht="15.75">
      <c r="A2" s="68" t="s">
        <v>512</v>
      </c>
    </row>
    <row r="3" spans="1:3" ht="15.75">
      <c r="A3" s="68" t="str">
        <f>'O&amp;M'!A3</f>
        <v>Budget Year Ending December 31, 2018</v>
      </c>
    </row>
    <row r="5" spans="1:3">
      <c r="B5" s="74" t="s">
        <v>408</v>
      </c>
      <c r="C5" s="74" t="s">
        <v>409</v>
      </c>
    </row>
    <row r="7" spans="1:3">
      <c r="A7" s="75" t="s">
        <v>4</v>
      </c>
      <c r="B7" s="112"/>
      <c r="C7" s="118"/>
    </row>
    <row r="8" spans="1:3" ht="15.75">
      <c r="A8" s="76" t="s">
        <v>6</v>
      </c>
      <c r="B8" s="102" t="s">
        <v>512</v>
      </c>
      <c r="C8" s="92"/>
    </row>
    <row r="9" spans="1:3">
      <c r="A9" s="95">
        <v>1</v>
      </c>
      <c r="B9" s="112" t="s">
        <v>513</v>
      </c>
      <c r="C9" s="88">
        <f>C21*0.08851960984</f>
        <v>9685146.1463639699</v>
      </c>
    </row>
    <row r="10" spans="1:3">
      <c r="A10" s="96"/>
      <c r="B10" s="40"/>
      <c r="C10" s="90"/>
    </row>
    <row r="11" spans="1:3">
      <c r="A11" s="96">
        <v>2</v>
      </c>
      <c r="B11" s="40" t="s">
        <v>514</v>
      </c>
      <c r="C11" s="90">
        <v>0</v>
      </c>
    </row>
    <row r="12" spans="1:3">
      <c r="A12" s="96"/>
      <c r="B12" s="40"/>
      <c r="C12" s="90"/>
    </row>
    <row r="13" spans="1:3">
      <c r="A13" s="96">
        <v>3</v>
      </c>
      <c r="B13" s="40" t="s">
        <v>515</v>
      </c>
      <c r="C13" s="90">
        <f>C21*0.9024321215</f>
        <v>98737296.737962976</v>
      </c>
    </row>
    <row r="14" spans="1:3">
      <c r="A14" s="96"/>
      <c r="B14" s="40"/>
      <c r="C14" s="90"/>
    </row>
    <row r="15" spans="1:3">
      <c r="A15" s="96">
        <v>4</v>
      </c>
      <c r="B15" s="40" t="s">
        <v>516</v>
      </c>
      <c r="C15" s="90">
        <v>0</v>
      </c>
    </row>
    <row r="16" spans="1:3">
      <c r="A16" s="96"/>
      <c r="B16" s="40"/>
      <c r="C16" s="90"/>
    </row>
    <row r="17" spans="1:3">
      <c r="A17" s="96">
        <v>5</v>
      </c>
      <c r="B17" s="40" t="s">
        <v>517</v>
      </c>
      <c r="C17" s="90">
        <f>C21*0.00904826862</f>
        <v>989993.11129655829</v>
      </c>
    </row>
    <row r="18" spans="1:3">
      <c r="A18" s="96"/>
      <c r="B18" s="40"/>
      <c r="C18" s="90"/>
    </row>
    <row r="19" spans="1:3" ht="15.75" thickBot="1">
      <c r="A19" s="96">
        <v>6</v>
      </c>
      <c r="B19" s="40" t="s">
        <v>518</v>
      </c>
      <c r="C19" s="119">
        <v>0</v>
      </c>
    </row>
    <row r="20" spans="1:3">
      <c r="A20" s="96"/>
      <c r="B20" s="40"/>
      <c r="C20" s="90"/>
    </row>
    <row r="21" spans="1:3" ht="15.75">
      <c r="A21" s="96">
        <v>7</v>
      </c>
      <c r="B21" s="108" t="s">
        <v>9</v>
      </c>
      <c r="C21" s="90">
        <v>109412436</v>
      </c>
    </row>
    <row r="22" spans="1:3">
      <c r="A22" s="85"/>
      <c r="B22" s="91"/>
      <c r="C22" s="92"/>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C9" sqref="C9"/>
    </sheetView>
  </sheetViews>
  <sheetFormatPr defaultRowHeight="15"/>
  <cols>
    <col min="1" max="1" width="6.77734375" customWidth="1"/>
    <col min="2" max="2" width="20.88671875" customWidth="1"/>
    <col min="3" max="3" width="14.44140625" bestFit="1" customWidth="1"/>
  </cols>
  <sheetData>
    <row r="1" spans="1:3" ht="15.75">
      <c r="A1" s="68" t="s">
        <v>280</v>
      </c>
    </row>
    <row r="2" spans="1:3" ht="15.75">
      <c r="A2" s="68" t="s">
        <v>521</v>
      </c>
    </row>
    <row r="3" spans="1:3" ht="15.75">
      <c r="A3" s="68" t="str">
        <f>'O&amp;M'!A3</f>
        <v>Budget Year Ending December 31, 2018</v>
      </c>
    </row>
    <row r="5" spans="1:3">
      <c r="B5" s="74" t="s">
        <v>408</v>
      </c>
      <c r="C5" s="74" t="s">
        <v>409</v>
      </c>
    </row>
    <row r="7" spans="1:3">
      <c r="A7" s="75" t="s">
        <v>4</v>
      </c>
      <c r="B7" s="112"/>
      <c r="C7" s="118"/>
    </row>
    <row r="8" spans="1:3" ht="15.75">
      <c r="A8" s="76" t="s">
        <v>6</v>
      </c>
      <c r="B8" s="102" t="s">
        <v>521</v>
      </c>
      <c r="C8" s="92"/>
    </row>
    <row r="9" spans="1:3" ht="15.75" thickBot="1">
      <c r="A9" s="95">
        <v>1</v>
      </c>
      <c r="B9" s="112" t="s">
        <v>522</v>
      </c>
      <c r="C9" s="160">
        <v>1285140</v>
      </c>
    </row>
    <row r="10" spans="1:3">
      <c r="A10" s="96"/>
      <c r="B10" s="40"/>
      <c r="C10" s="90"/>
    </row>
    <row r="11" spans="1:3" ht="15.75">
      <c r="A11" s="96">
        <v>2</v>
      </c>
      <c r="B11" s="108" t="s">
        <v>9</v>
      </c>
      <c r="C11" s="90">
        <f>SUM(C9:C10)</f>
        <v>1285140</v>
      </c>
    </row>
    <row r="12" spans="1:3">
      <c r="A12" s="85"/>
      <c r="B12" s="91"/>
      <c r="C12" s="92"/>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topLeftCell="A2" workbookViewId="0">
      <selection activeCell="C25" sqref="C25"/>
    </sheetView>
  </sheetViews>
  <sheetFormatPr defaultRowHeight="15"/>
  <cols>
    <col min="1" max="1" width="6.77734375" customWidth="1"/>
    <col min="2" max="2" width="14.88671875" customWidth="1"/>
    <col min="3" max="3" width="14.44140625" bestFit="1" customWidth="1"/>
    <col min="5" max="5" width="12.33203125" bestFit="1" customWidth="1"/>
  </cols>
  <sheetData>
    <row r="1" spans="1:3" ht="15.75">
      <c r="A1" s="68" t="s">
        <v>280</v>
      </c>
    </row>
    <row r="2" spans="1:3" ht="15.75">
      <c r="A2" s="68" t="s">
        <v>523</v>
      </c>
    </row>
    <row r="3" spans="1:3" ht="15.75">
      <c r="A3" s="68" t="str">
        <f>'O&amp;M'!A3</f>
        <v>Budget Year Ending December 31, 2018</v>
      </c>
    </row>
    <row r="5" spans="1:3">
      <c r="B5" s="74" t="s">
        <v>408</v>
      </c>
      <c r="C5" s="74" t="s">
        <v>409</v>
      </c>
    </row>
    <row r="7" spans="1:3">
      <c r="A7" s="75" t="s">
        <v>4</v>
      </c>
      <c r="B7" s="112"/>
      <c r="C7" s="118"/>
    </row>
    <row r="8" spans="1:3" ht="15.75">
      <c r="A8" s="76" t="s">
        <v>6</v>
      </c>
      <c r="B8" s="102" t="s">
        <v>523</v>
      </c>
      <c r="C8" s="92"/>
    </row>
    <row r="9" spans="1:3">
      <c r="A9" s="95">
        <v>1</v>
      </c>
      <c r="B9" s="163">
        <v>561.1</v>
      </c>
      <c r="C9" s="88">
        <v>521377</v>
      </c>
    </row>
    <row r="10" spans="1:3">
      <c r="A10" s="96"/>
      <c r="B10" s="164"/>
      <c r="C10" s="90"/>
    </row>
    <row r="11" spans="1:3">
      <c r="A11" s="96">
        <v>2</v>
      </c>
      <c r="B11" s="164">
        <v>561.20000000000005</v>
      </c>
      <c r="C11" s="90">
        <v>807152</v>
      </c>
    </row>
    <row r="12" spans="1:3">
      <c r="A12" s="96"/>
      <c r="B12" s="164"/>
      <c r="C12" s="90"/>
    </row>
    <row r="13" spans="1:3">
      <c r="A13" s="96">
        <v>3</v>
      </c>
      <c r="B13" s="164">
        <v>561.29999999999995</v>
      </c>
      <c r="C13" s="90">
        <v>208674</v>
      </c>
    </row>
    <row r="14" spans="1:3">
      <c r="A14" s="96"/>
      <c r="B14" s="164"/>
      <c r="C14" s="90"/>
    </row>
    <row r="15" spans="1:3">
      <c r="A15" s="96">
        <v>4</v>
      </c>
      <c r="B15" s="164">
        <v>561.4</v>
      </c>
      <c r="C15" s="90">
        <v>4475494</v>
      </c>
    </row>
    <row r="16" spans="1:3">
      <c r="A16" s="96"/>
      <c r="B16" s="164"/>
      <c r="C16" s="90"/>
    </row>
    <row r="17" spans="1:3">
      <c r="A17" s="96">
        <v>5</v>
      </c>
      <c r="B17" s="164">
        <v>561.5</v>
      </c>
      <c r="C17" s="90">
        <v>2153853</v>
      </c>
    </row>
    <row r="18" spans="1:3">
      <c r="A18" s="96"/>
      <c r="B18" s="164"/>
      <c r="C18" s="90"/>
    </row>
    <row r="19" spans="1:3">
      <c r="A19" s="96">
        <v>6</v>
      </c>
      <c r="B19" s="164">
        <v>561.6</v>
      </c>
      <c r="C19" s="90">
        <v>0</v>
      </c>
    </row>
    <row r="20" spans="1:3">
      <c r="A20" s="96"/>
      <c r="B20" s="164"/>
      <c r="C20" s="90"/>
    </row>
    <row r="21" spans="1:3">
      <c r="A21" s="96">
        <v>7</v>
      </c>
      <c r="B21" s="164">
        <v>561.70000000000005</v>
      </c>
      <c r="C21" s="90">
        <v>0</v>
      </c>
    </row>
    <row r="22" spans="1:3">
      <c r="A22" s="96"/>
      <c r="B22" s="164"/>
      <c r="C22" s="90"/>
    </row>
    <row r="23" spans="1:3" ht="15.75" thickBot="1">
      <c r="A23" s="96">
        <v>8</v>
      </c>
      <c r="B23" s="164">
        <v>561.79999999999995</v>
      </c>
      <c r="C23" s="119">
        <f>321800+1306323</f>
        <v>1628123</v>
      </c>
    </row>
    <row r="24" spans="1:3">
      <c r="A24" s="96"/>
      <c r="B24" s="40"/>
      <c r="C24" s="90"/>
    </row>
    <row r="25" spans="1:3" ht="15.75">
      <c r="A25" s="96">
        <v>9</v>
      </c>
      <c r="B25" s="108" t="s">
        <v>9</v>
      </c>
      <c r="C25" s="90">
        <f>SUM(C9:C24)</f>
        <v>9794673</v>
      </c>
    </row>
    <row r="26" spans="1:3">
      <c r="A26" s="85"/>
      <c r="B26" s="91"/>
      <c r="C26" s="92"/>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C11" sqref="C11"/>
    </sheetView>
  </sheetViews>
  <sheetFormatPr defaultRowHeight="15"/>
  <cols>
    <col min="1" max="1" width="6.77734375" customWidth="1"/>
    <col min="2" max="2" width="14.88671875" customWidth="1"/>
    <col min="3" max="3" width="14.44140625" bestFit="1" customWidth="1"/>
  </cols>
  <sheetData>
    <row r="1" spans="1:3" ht="15.75">
      <c r="A1" s="68" t="s">
        <v>280</v>
      </c>
    </row>
    <row r="2" spans="1:3" ht="15.75">
      <c r="A2" s="68" t="s">
        <v>532</v>
      </c>
    </row>
    <row r="3" spans="1:3" ht="15.75">
      <c r="A3" s="68" t="str">
        <f>'O&amp;M'!A3</f>
        <v>Budget Year Ending December 31, 2018</v>
      </c>
    </row>
    <row r="5" spans="1:3">
      <c r="B5" s="74" t="s">
        <v>408</v>
      </c>
      <c r="C5" s="74" t="s">
        <v>409</v>
      </c>
    </row>
    <row r="7" spans="1:3">
      <c r="A7" s="75" t="s">
        <v>4</v>
      </c>
      <c r="B7" s="112"/>
      <c r="C7" s="118"/>
    </row>
    <row r="8" spans="1:3" ht="15.75">
      <c r="A8" s="76" t="s">
        <v>6</v>
      </c>
      <c r="B8" s="102" t="s">
        <v>532</v>
      </c>
      <c r="C8" s="92"/>
    </row>
    <row r="9" spans="1:3">
      <c r="A9" s="95">
        <v>1</v>
      </c>
      <c r="B9" s="163">
        <v>565</v>
      </c>
      <c r="C9" s="88">
        <v>21598500</v>
      </c>
    </row>
    <row r="10" spans="1:3">
      <c r="A10" s="96"/>
      <c r="B10" s="164"/>
      <c r="C10" s="90"/>
    </row>
    <row r="11" spans="1:3" ht="15.75" thickBot="1">
      <c r="A11" s="96">
        <v>2</v>
      </c>
      <c r="B11" s="164">
        <v>565.5</v>
      </c>
      <c r="C11" s="119">
        <f>372141+38664394</f>
        <v>39036535</v>
      </c>
    </row>
    <row r="12" spans="1:3">
      <c r="A12" s="96"/>
      <c r="B12" s="40"/>
      <c r="C12" s="90"/>
    </row>
    <row r="13" spans="1:3" ht="15.75">
      <c r="A13" s="96">
        <v>3</v>
      </c>
      <c r="B13" s="108" t="s">
        <v>9</v>
      </c>
      <c r="C13" s="90">
        <f>SUM(C9:C12)</f>
        <v>60635035</v>
      </c>
    </row>
    <row r="14" spans="1:3">
      <c r="A14" s="85"/>
      <c r="B14" s="91"/>
      <c r="C14" s="92"/>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A3" sqref="A3"/>
    </sheetView>
  </sheetViews>
  <sheetFormatPr defaultRowHeight="15"/>
  <cols>
    <col min="1" max="1" width="6.77734375" customWidth="1"/>
    <col min="2" max="2" width="17.21875" customWidth="1"/>
    <col min="3" max="3" width="14.44140625" bestFit="1" customWidth="1"/>
  </cols>
  <sheetData>
    <row r="1" spans="1:3" ht="15.75">
      <c r="A1" s="68" t="s">
        <v>280</v>
      </c>
    </row>
    <row r="2" spans="1:3" ht="15.75">
      <c r="A2" s="68" t="s">
        <v>535</v>
      </c>
    </row>
    <row r="3" spans="1:3" ht="15.75">
      <c r="A3" s="68" t="str">
        <f>'O&amp;M'!A3</f>
        <v>Budget Year Ending December 31, 2018</v>
      </c>
    </row>
    <row r="5" spans="1:3">
      <c r="B5" s="74" t="s">
        <v>408</v>
      </c>
      <c r="C5" s="74" t="s">
        <v>409</v>
      </c>
    </row>
    <row r="7" spans="1:3">
      <c r="A7" s="75" t="s">
        <v>4</v>
      </c>
      <c r="B7" s="112"/>
      <c r="C7" s="118"/>
    </row>
    <row r="8" spans="1:3" ht="15.75">
      <c r="A8" s="76" t="s">
        <v>6</v>
      </c>
      <c r="B8" s="102" t="s">
        <v>536</v>
      </c>
      <c r="C8" s="92"/>
    </row>
    <row r="9" spans="1:3">
      <c r="A9" s="75"/>
      <c r="B9" s="112"/>
      <c r="C9" s="118"/>
    </row>
    <row r="10" spans="1:3">
      <c r="A10" s="96">
        <v>1</v>
      </c>
      <c r="B10" s="170" t="s">
        <v>534</v>
      </c>
      <c r="C10" s="90">
        <v>1810236</v>
      </c>
    </row>
    <row r="11" spans="1:3">
      <c r="A11" s="96"/>
      <c r="B11" s="170"/>
      <c r="C11" s="90"/>
    </row>
    <row r="12" spans="1:3">
      <c r="A12" s="169">
        <v>2</v>
      </c>
      <c r="B12" s="171" t="s">
        <v>533</v>
      </c>
      <c r="C12" s="172">
        <v>125024</v>
      </c>
    </row>
    <row r="13" spans="1:3">
      <c r="A13" s="44"/>
      <c r="C13" s="168"/>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C20" sqref="C20"/>
    </sheetView>
  </sheetViews>
  <sheetFormatPr defaultRowHeight="15"/>
  <cols>
    <col min="1" max="1" width="6.77734375" customWidth="1"/>
    <col min="2" max="2" width="19.33203125" customWidth="1"/>
    <col min="3" max="3" width="14.44140625" bestFit="1" customWidth="1"/>
    <col min="4" max="4" width="15.109375" customWidth="1"/>
  </cols>
  <sheetData>
    <row r="1" spans="1:4" ht="15.75">
      <c r="A1" s="68" t="s">
        <v>280</v>
      </c>
    </row>
    <row r="2" spans="1:4" ht="15.75">
      <c r="A2" s="68" t="s">
        <v>427</v>
      </c>
    </row>
    <row r="3" spans="1:4" ht="15.75">
      <c r="A3" s="68" t="str">
        <f>'O&amp;M'!A3</f>
        <v>Budget Year Ending December 31, 2018</v>
      </c>
    </row>
    <row r="5" spans="1:4">
      <c r="B5" s="74" t="s">
        <v>408</v>
      </c>
      <c r="C5" s="74" t="s">
        <v>409</v>
      </c>
      <c r="D5" s="74" t="s">
        <v>414</v>
      </c>
    </row>
    <row r="7" spans="1:4" ht="15.75">
      <c r="A7" s="94"/>
      <c r="B7" s="116"/>
      <c r="C7" s="445" t="s">
        <v>705</v>
      </c>
      <c r="D7" s="446"/>
    </row>
    <row r="8" spans="1:4" ht="15.75">
      <c r="A8" s="110" t="s">
        <v>4</v>
      </c>
      <c r="B8" s="120"/>
      <c r="C8" s="101"/>
      <c r="D8" s="79"/>
    </row>
    <row r="9" spans="1:4" ht="15.75">
      <c r="A9" s="76" t="s">
        <v>6</v>
      </c>
      <c r="B9" s="117" t="s">
        <v>428</v>
      </c>
      <c r="C9" s="80" t="s">
        <v>7</v>
      </c>
      <c r="D9" s="82" t="s">
        <v>431</v>
      </c>
    </row>
    <row r="10" spans="1:4">
      <c r="A10" s="94"/>
      <c r="B10" s="94"/>
      <c r="C10" s="94"/>
      <c r="D10" s="94"/>
    </row>
    <row r="11" spans="1:4">
      <c r="A11" s="96">
        <v>1</v>
      </c>
      <c r="B11" s="97" t="s">
        <v>403</v>
      </c>
      <c r="C11" s="121">
        <v>61219034</v>
      </c>
      <c r="D11" s="123">
        <f>C11/$C$22</f>
        <v>0.49209802059169316</v>
      </c>
    </row>
    <row r="12" spans="1:4">
      <c r="A12" s="96"/>
      <c r="B12" s="97"/>
      <c r="C12" s="121"/>
      <c r="D12" s="123"/>
    </row>
    <row r="13" spans="1:4">
      <c r="A13" s="96">
        <v>2</v>
      </c>
      <c r="B13" s="97" t="s">
        <v>38</v>
      </c>
      <c r="C13" s="121">
        <v>7438669</v>
      </c>
      <c r="D13" s="123">
        <f t="shared" ref="D13:D20" si="0">C13/$C$22</f>
        <v>5.9794381772453144E-2</v>
      </c>
    </row>
    <row r="14" spans="1:4">
      <c r="A14" s="96"/>
      <c r="B14" s="97"/>
      <c r="C14" s="121"/>
      <c r="D14" s="123"/>
    </row>
    <row r="15" spans="1:4">
      <c r="A15" s="96">
        <v>3</v>
      </c>
      <c r="B15" s="97" t="s">
        <v>404</v>
      </c>
      <c r="C15" s="121">
        <v>37202454</v>
      </c>
      <c r="D15" s="123">
        <f t="shared" si="0"/>
        <v>0.29904512989462584</v>
      </c>
    </row>
    <row r="16" spans="1:4">
      <c r="A16" s="96"/>
      <c r="B16" s="97"/>
      <c r="C16" s="121"/>
      <c r="D16" s="123"/>
    </row>
    <row r="17" spans="1:4">
      <c r="A17" s="96">
        <v>4</v>
      </c>
      <c r="B17" s="97" t="s">
        <v>429</v>
      </c>
      <c r="C17" s="121"/>
      <c r="D17" s="123"/>
    </row>
    <row r="18" spans="1:4">
      <c r="A18" s="96">
        <v>5</v>
      </c>
      <c r="B18" s="97" t="s">
        <v>432</v>
      </c>
      <c r="C18" s="121">
        <v>18533855</v>
      </c>
      <c r="D18" s="123">
        <f t="shared" si="0"/>
        <v>0.14898100743362686</v>
      </c>
    </row>
    <row r="19" spans="1:4">
      <c r="A19" s="96">
        <v>6</v>
      </c>
      <c r="B19" s="97" t="s">
        <v>433</v>
      </c>
      <c r="C19" s="122">
        <v>10134</v>
      </c>
      <c r="D19" s="124">
        <f t="shared" si="0"/>
        <v>8.1460307601002296E-5</v>
      </c>
    </row>
    <row r="20" spans="1:4">
      <c r="A20" s="96">
        <v>7</v>
      </c>
      <c r="B20" s="97" t="s">
        <v>430</v>
      </c>
      <c r="C20" s="121">
        <f>SUM(C18:C19)</f>
        <v>18543989</v>
      </c>
      <c r="D20" s="123">
        <f t="shared" si="0"/>
        <v>0.14906246774122786</v>
      </c>
    </row>
    <row r="21" spans="1:4">
      <c r="A21" s="96"/>
      <c r="B21" s="97"/>
      <c r="C21" s="121"/>
      <c r="D21" s="97"/>
    </row>
    <row r="22" spans="1:4" ht="15.75" thickBot="1">
      <c r="A22" s="96">
        <v>8</v>
      </c>
      <c r="B22" s="97" t="s">
        <v>9</v>
      </c>
      <c r="C22" s="125">
        <f>C11+C13+C15+C20</f>
        <v>124404146</v>
      </c>
      <c r="D22" s="126">
        <f>D11+D13+D15+D20</f>
        <v>1</v>
      </c>
    </row>
    <row r="23" spans="1:4" ht="15.75" thickTop="1">
      <c r="A23" s="85"/>
      <c r="B23" s="85"/>
      <c r="C23" s="85"/>
      <c r="D23" s="85"/>
    </row>
  </sheetData>
  <mergeCells count="1">
    <mergeCell ref="C7:D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workbookViewId="0">
      <selection activeCell="F22" sqref="F22"/>
    </sheetView>
  </sheetViews>
  <sheetFormatPr defaultRowHeight="15"/>
  <cols>
    <col min="1" max="1" width="6.77734375" customWidth="1"/>
    <col min="2" max="2" width="12.33203125" customWidth="1"/>
    <col min="3" max="3" width="4.77734375" customWidth="1"/>
    <col min="4" max="4" width="15.88671875" bestFit="1" customWidth="1"/>
    <col min="5" max="8" width="15.88671875" customWidth="1"/>
    <col min="9" max="9" width="16.88671875" bestFit="1" customWidth="1"/>
  </cols>
  <sheetData>
    <row r="1" spans="1:9" ht="15.75">
      <c r="A1" s="68" t="s">
        <v>280</v>
      </c>
    </row>
    <row r="2" spans="1:9" ht="15.75">
      <c r="A2" s="68" t="s">
        <v>401</v>
      </c>
    </row>
    <row r="3" spans="1:9" ht="15.75">
      <c r="A3" s="68" t="s">
        <v>703</v>
      </c>
    </row>
    <row r="5" spans="1:9">
      <c r="B5" s="74" t="s">
        <v>408</v>
      </c>
      <c r="C5" s="74"/>
      <c r="D5" s="74" t="s">
        <v>409</v>
      </c>
      <c r="E5" s="74" t="s">
        <v>414</v>
      </c>
      <c r="F5" s="74" t="s">
        <v>410</v>
      </c>
      <c r="G5" s="74" t="s">
        <v>411</v>
      </c>
      <c r="H5" s="74" t="s">
        <v>412</v>
      </c>
      <c r="I5" s="74" t="s">
        <v>480</v>
      </c>
    </row>
    <row r="7" spans="1:9" ht="15.75">
      <c r="A7" s="75" t="s">
        <v>4</v>
      </c>
      <c r="B7" s="77"/>
      <c r="C7" s="78"/>
      <c r="D7" s="78"/>
      <c r="E7" s="78"/>
      <c r="F7" s="78"/>
      <c r="G7" s="78" t="s">
        <v>405</v>
      </c>
      <c r="H7" s="159"/>
      <c r="I7" s="79"/>
    </row>
    <row r="8" spans="1:9" ht="15.75">
      <c r="A8" s="76" t="s">
        <v>6</v>
      </c>
      <c r="B8" s="80" t="s">
        <v>402</v>
      </c>
      <c r="C8" s="81"/>
      <c r="D8" s="81" t="s">
        <v>403</v>
      </c>
      <c r="E8" s="81" t="s">
        <v>38</v>
      </c>
      <c r="F8" s="81" t="s">
        <v>404</v>
      </c>
      <c r="G8" s="93" t="s">
        <v>406</v>
      </c>
      <c r="H8" s="93" t="s">
        <v>524</v>
      </c>
      <c r="I8" s="82" t="s">
        <v>9</v>
      </c>
    </row>
    <row r="9" spans="1:9">
      <c r="A9" s="83">
        <v>1</v>
      </c>
      <c r="B9" s="98">
        <v>43070</v>
      </c>
      <c r="C9" s="86"/>
      <c r="D9" s="87">
        <v>12013231405</v>
      </c>
      <c r="E9" s="87">
        <v>1852158059</v>
      </c>
      <c r="F9" s="87">
        <v>3437135062</v>
      </c>
      <c r="G9" s="87">
        <v>543050612</v>
      </c>
      <c r="H9" s="87">
        <v>1501996022</v>
      </c>
      <c r="I9" s="88">
        <f>SUM(D9:H9)</f>
        <v>19347571160</v>
      </c>
    </row>
    <row r="10" spans="1:9">
      <c r="A10" s="84">
        <v>2</v>
      </c>
      <c r="B10" s="99">
        <v>43101</v>
      </c>
      <c r="C10" s="43"/>
      <c r="D10" s="89">
        <v>12007821615</v>
      </c>
      <c r="E10" s="89">
        <v>1854010852</v>
      </c>
      <c r="F10" s="89">
        <v>3448578735</v>
      </c>
      <c r="G10" s="89">
        <v>543050612</v>
      </c>
      <c r="H10" s="89">
        <v>1501996022</v>
      </c>
      <c r="I10" s="90">
        <f>SUM(D10:H10)</f>
        <v>19355457836</v>
      </c>
    </row>
    <row r="11" spans="1:9">
      <c r="A11" s="84">
        <v>3</v>
      </c>
      <c r="B11" s="99">
        <v>43132</v>
      </c>
      <c r="C11" s="43"/>
      <c r="D11" s="89">
        <v>12011325333</v>
      </c>
      <c r="E11" s="89">
        <v>1855782923</v>
      </c>
      <c r="F11" s="89">
        <v>3460226476</v>
      </c>
      <c r="G11" s="89">
        <v>543050612</v>
      </c>
      <c r="H11" s="89">
        <v>1501996022</v>
      </c>
      <c r="I11" s="90">
        <f>SUM(D11:H11)</f>
        <v>19372381366</v>
      </c>
    </row>
    <row r="12" spans="1:9">
      <c r="A12" s="84">
        <v>4</v>
      </c>
      <c r="B12" s="99">
        <v>43160</v>
      </c>
      <c r="C12" s="43"/>
      <c r="D12" s="89">
        <v>12017455023</v>
      </c>
      <c r="E12" s="89">
        <v>1858351426</v>
      </c>
      <c r="F12" s="89">
        <v>3475137313</v>
      </c>
      <c r="G12" s="89">
        <v>543050612</v>
      </c>
      <c r="H12" s="89">
        <v>1501996022</v>
      </c>
      <c r="I12" s="90">
        <f t="shared" ref="I12:I21" si="0">SUM(D12:H12)</f>
        <v>19395990396</v>
      </c>
    </row>
    <row r="13" spans="1:9">
      <c r="A13" s="84">
        <v>5</v>
      </c>
      <c r="B13" s="99">
        <v>43191</v>
      </c>
      <c r="C13" s="43"/>
      <c r="D13" s="89">
        <v>12023398869</v>
      </c>
      <c r="E13" s="89">
        <v>1860268421</v>
      </c>
      <c r="F13" s="89">
        <v>3496613401</v>
      </c>
      <c r="G13" s="89">
        <v>543050612</v>
      </c>
      <c r="H13" s="89">
        <v>1501996022</v>
      </c>
      <c r="I13" s="90">
        <f t="shared" si="0"/>
        <v>19425327325</v>
      </c>
    </row>
    <row r="14" spans="1:9">
      <c r="A14" s="84">
        <v>6</v>
      </c>
      <c r="B14" s="99">
        <v>43221</v>
      </c>
      <c r="C14" s="43"/>
      <c r="D14" s="89">
        <v>12062895805</v>
      </c>
      <c r="E14" s="89">
        <v>1864307936</v>
      </c>
      <c r="F14" s="89">
        <v>3510411078</v>
      </c>
      <c r="G14" s="89">
        <v>543050612</v>
      </c>
      <c r="H14" s="89">
        <v>1501996022</v>
      </c>
      <c r="I14" s="90">
        <f t="shared" si="0"/>
        <v>19482661453</v>
      </c>
    </row>
    <row r="15" spans="1:9">
      <c r="A15" s="84">
        <v>7</v>
      </c>
      <c r="B15" s="99">
        <v>43252</v>
      </c>
      <c r="C15" s="43"/>
      <c r="D15" s="89">
        <v>12164139951</v>
      </c>
      <c r="E15" s="89">
        <v>1916197119</v>
      </c>
      <c r="F15" s="89">
        <v>3569795162</v>
      </c>
      <c r="G15" s="89">
        <v>543050612</v>
      </c>
      <c r="H15" s="89">
        <v>1501996022</v>
      </c>
      <c r="I15" s="90">
        <f t="shared" si="0"/>
        <v>19695178866</v>
      </c>
    </row>
    <row r="16" spans="1:9">
      <c r="A16" s="84">
        <v>8</v>
      </c>
      <c r="B16" s="99">
        <v>43282</v>
      </c>
      <c r="C16" s="43"/>
      <c r="D16" s="89">
        <v>12228226950</v>
      </c>
      <c r="E16" s="89">
        <v>1924992752</v>
      </c>
      <c r="F16" s="89">
        <v>3591778129</v>
      </c>
      <c r="G16" s="89">
        <v>543050612</v>
      </c>
      <c r="H16" s="89">
        <v>1501996022</v>
      </c>
      <c r="I16" s="90">
        <f t="shared" si="0"/>
        <v>19790044465</v>
      </c>
    </row>
    <row r="17" spans="1:9">
      <c r="A17" s="84">
        <v>9</v>
      </c>
      <c r="B17" s="99">
        <v>43313</v>
      </c>
      <c r="C17" s="43"/>
      <c r="D17" s="89">
        <v>12582271464</v>
      </c>
      <c r="E17" s="89">
        <v>1939362414</v>
      </c>
      <c r="F17" s="89">
        <v>3615310300</v>
      </c>
      <c r="G17" s="89">
        <v>543050612</v>
      </c>
      <c r="H17" s="89">
        <v>1501996022</v>
      </c>
      <c r="I17" s="90">
        <f t="shared" si="0"/>
        <v>20181990812</v>
      </c>
    </row>
    <row r="18" spans="1:9">
      <c r="A18" s="84">
        <v>10</v>
      </c>
      <c r="B18" s="99">
        <v>43344</v>
      </c>
      <c r="C18" s="43"/>
      <c r="D18" s="89">
        <v>12965218505</v>
      </c>
      <c r="E18" s="89">
        <v>1944480213</v>
      </c>
      <c r="F18" s="89">
        <v>3639868549</v>
      </c>
      <c r="G18" s="89">
        <v>543050612</v>
      </c>
      <c r="H18" s="89">
        <v>1501996022</v>
      </c>
      <c r="I18" s="90">
        <f t="shared" si="0"/>
        <v>20594613901</v>
      </c>
    </row>
    <row r="19" spans="1:9">
      <c r="A19" s="84">
        <v>11</v>
      </c>
      <c r="B19" s="99">
        <v>43374</v>
      </c>
      <c r="C19" s="43"/>
      <c r="D19" s="89">
        <v>13194360663</v>
      </c>
      <c r="E19" s="89">
        <v>1955569548</v>
      </c>
      <c r="F19" s="89">
        <v>3669309543</v>
      </c>
      <c r="G19" s="89">
        <v>543050612</v>
      </c>
      <c r="H19" s="89">
        <v>1501996022</v>
      </c>
      <c r="I19" s="90">
        <f t="shared" si="0"/>
        <v>20864286388</v>
      </c>
    </row>
    <row r="20" spans="1:9">
      <c r="A20" s="84">
        <v>12</v>
      </c>
      <c r="B20" s="99">
        <v>43405</v>
      </c>
      <c r="C20" s="43"/>
      <c r="D20" s="89">
        <v>13327289187</v>
      </c>
      <c r="E20" s="89">
        <v>1972547205</v>
      </c>
      <c r="F20" s="89">
        <v>3703173415</v>
      </c>
      <c r="G20" s="89">
        <v>543050612</v>
      </c>
      <c r="H20" s="89">
        <v>1501996022</v>
      </c>
      <c r="I20" s="90">
        <f t="shared" si="0"/>
        <v>21048056441</v>
      </c>
    </row>
    <row r="21" spans="1:9">
      <c r="A21" s="84">
        <v>13</v>
      </c>
      <c r="B21" s="99">
        <v>43435</v>
      </c>
      <c r="C21" s="43"/>
      <c r="D21" s="89">
        <v>13605378202</v>
      </c>
      <c r="E21" s="89">
        <v>1987085915</v>
      </c>
      <c r="F21" s="89">
        <v>3753845345</v>
      </c>
      <c r="G21" s="89">
        <v>543050612</v>
      </c>
      <c r="H21" s="89">
        <v>1501996022</v>
      </c>
      <c r="I21" s="90">
        <f t="shared" si="0"/>
        <v>21391356096</v>
      </c>
    </row>
    <row r="22" spans="1:9">
      <c r="A22" s="84">
        <v>14</v>
      </c>
      <c r="B22" s="40"/>
      <c r="C22" s="43"/>
      <c r="D22" s="43"/>
      <c r="E22" s="43"/>
      <c r="F22" s="43"/>
      <c r="G22" s="43"/>
      <c r="H22" s="43"/>
      <c r="I22" s="90"/>
    </row>
    <row r="23" spans="1:9" ht="15.75">
      <c r="A23" s="84">
        <v>15</v>
      </c>
      <c r="B23" s="40" t="s">
        <v>407</v>
      </c>
      <c r="C23" s="43"/>
      <c r="D23" s="129">
        <f>AVERAGE(D9:D21)</f>
        <v>12477154844</v>
      </c>
      <c r="E23" s="129">
        <f>AVERAGE(E9:E21)</f>
        <v>1906547291</v>
      </c>
      <c r="F23" s="129">
        <f>AVERAGE(F9:F21)</f>
        <v>3567014039.0769229</v>
      </c>
      <c r="G23" s="129">
        <f>AVERAGE(G9:G21)</f>
        <v>543050612</v>
      </c>
      <c r="H23" s="129">
        <f t="shared" ref="H23:I23" si="1">AVERAGE(H9:H21)</f>
        <v>1501996022</v>
      </c>
      <c r="I23" s="130">
        <f t="shared" si="1"/>
        <v>19995762808.076923</v>
      </c>
    </row>
    <row r="24" spans="1:9">
      <c r="A24" s="85"/>
      <c r="B24" s="91"/>
      <c r="C24" s="69"/>
      <c r="D24" s="69"/>
      <c r="E24" s="69"/>
      <c r="F24" s="69"/>
      <c r="G24" s="69"/>
      <c r="H24" s="69"/>
      <c r="I24" s="92"/>
    </row>
  </sheetData>
  <pageMargins left="0.7" right="0.7" top="0.75" bottom="0.75" header="0.3" footer="0.3"/>
  <pageSetup scale="8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A3" sqref="A3"/>
    </sheetView>
  </sheetViews>
  <sheetFormatPr defaultRowHeight="15"/>
  <cols>
    <col min="1" max="1" width="6.77734375" customWidth="1"/>
    <col min="2" max="2" width="21.6640625" customWidth="1"/>
    <col min="3" max="3" width="14.44140625" bestFit="1" customWidth="1"/>
  </cols>
  <sheetData>
    <row r="1" spans="1:3" ht="15.75">
      <c r="A1" s="68" t="s">
        <v>280</v>
      </c>
    </row>
    <row r="2" spans="1:3" ht="15.75">
      <c r="A2" s="68" t="s">
        <v>525</v>
      </c>
    </row>
    <row r="3" spans="1:3" ht="15.75">
      <c r="A3" s="68" t="str">
        <f>'O&amp;M'!A3</f>
        <v>Budget Year Ending December 31, 2018</v>
      </c>
    </row>
    <row r="5" spans="1:3">
      <c r="B5" s="74" t="s">
        <v>408</v>
      </c>
      <c r="C5" s="74" t="s">
        <v>409</v>
      </c>
    </row>
    <row r="7" spans="1:3">
      <c r="A7" s="75" t="s">
        <v>4</v>
      </c>
      <c r="B7" s="112"/>
      <c r="C7" s="118"/>
    </row>
    <row r="8" spans="1:3" ht="15.75">
      <c r="A8" s="76" t="s">
        <v>6</v>
      </c>
      <c r="B8" s="102" t="s">
        <v>525</v>
      </c>
      <c r="C8" s="92"/>
    </row>
    <row r="9" spans="1:3">
      <c r="A9" s="95">
        <v>1</v>
      </c>
      <c r="B9" s="161" t="s">
        <v>525</v>
      </c>
      <c r="C9" s="88">
        <v>0</v>
      </c>
    </row>
    <row r="10" spans="1:3">
      <c r="A10" s="96"/>
      <c r="B10" s="164"/>
      <c r="C10" s="90"/>
    </row>
    <row r="11" spans="1:3">
      <c r="A11" s="96">
        <v>2</v>
      </c>
      <c r="B11" s="162" t="s">
        <v>526</v>
      </c>
      <c r="C11" s="90">
        <v>0</v>
      </c>
    </row>
    <row r="12" spans="1:3">
      <c r="A12" s="96"/>
      <c r="B12" s="164"/>
      <c r="C12" s="90"/>
    </row>
    <row r="13" spans="1:3">
      <c r="A13" s="85"/>
      <c r="B13" s="91"/>
      <c r="C13" s="92"/>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C10" sqref="C10"/>
    </sheetView>
  </sheetViews>
  <sheetFormatPr defaultRowHeight="15"/>
  <cols>
    <col min="1" max="1" width="6.77734375" customWidth="1"/>
    <col min="2" max="3" width="16.44140625" customWidth="1"/>
  </cols>
  <sheetData>
    <row r="1" spans="1:3" ht="15.75">
      <c r="A1" s="68" t="s">
        <v>280</v>
      </c>
    </row>
    <row r="2" spans="1:3" ht="15.75">
      <c r="A2" s="68" t="s">
        <v>434</v>
      </c>
    </row>
    <row r="3" spans="1:3" ht="15.75">
      <c r="A3" s="68" t="str">
        <f>'O&amp;M'!A3</f>
        <v>Budget Year Ending December 31, 2018</v>
      </c>
    </row>
    <row r="5" spans="1:3">
      <c r="B5" s="74" t="s">
        <v>408</v>
      </c>
      <c r="C5" s="74" t="s">
        <v>409</v>
      </c>
    </row>
    <row r="7" spans="1:3" ht="15.75">
      <c r="A7" s="75" t="s">
        <v>4</v>
      </c>
      <c r="B7" s="101"/>
      <c r="C7" s="79"/>
    </row>
    <row r="8" spans="1:3" ht="15.75">
      <c r="A8" s="76" t="s">
        <v>6</v>
      </c>
      <c r="B8" s="102" t="s">
        <v>402</v>
      </c>
      <c r="C8" s="82" t="s">
        <v>434</v>
      </c>
    </row>
    <row r="9" spans="1:3">
      <c r="A9" s="96">
        <v>1</v>
      </c>
      <c r="B9" s="99">
        <f>'Plant Balance'!B21</f>
        <v>43435</v>
      </c>
      <c r="C9" s="106">
        <v>6417516159</v>
      </c>
    </row>
    <row r="10" spans="1:3" ht="15.75" thickBot="1">
      <c r="A10" s="96">
        <v>2</v>
      </c>
      <c r="B10" s="40"/>
      <c r="C10" s="114"/>
    </row>
    <row r="11" spans="1:3" ht="15.75">
      <c r="A11" s="96">
        <v>3</v>
      </c>
      <c r="B11" s="108" t="s">
        <v>434</v>
      </c>
      <c r="C11" s="115">
        <f>AVERAGE(C9:C9)</f>
        <v>6417516159</v>
      </c>
    </row>
    <row r="12" spans="1:3">
      <c r="A12" s="85"/>
      <c r="B12" s="91"/>
      <c r="C12" s="92"/>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A3" sqref="A3"/>
    </sheetView>
  </sheetViews>
  <sheetFormatPr defaultRowHeight="15"/>
  <cols>
    <col min="1" max="1" width="6.77734375" customWidth="1"/>
    <col min="2" max="2" width="21.6640625" customWidth="1"/>
    <col min="3" max="3" width="22.44140625" customWidth="1"/>
  </cols>
  <sheetData>
    <row r="1" spans="1:3" ht="15.75">
      <c r="A1" s="68" t="s">
        <v>280</v>
      </c>
    </row>
    <row r="2" spans="1:3" ht="15.75">
      <c r="A2" s="68" t="s">
        <v>537</v>
      </c>
    </row>
    <row r="3" spans="1:3" ht="15.75">
      <c r="A3" s="68" t="str">
        <f>'O&amp;M'!A3</f>
        <v>Budget Year Ending December 31, 2018</v>
      </c>
    </row>
    <row r="5" spans="1:3">
      <c r="B5" s="74" t="s">
        <v>408</v>
      </c>
      <c r="C5" s="74" t="s">
        <v>409</v>
      </c>
    </row>
    <row r="7" spans="1:3">
      <c r="A7" s="75" t="s">
        <v>4</v>
      </c>
      <c r="B7" s="112"/>
      <c r="C7" s="118"/>
    </row>
    <row r="8" spans="1:3" ht="15.75">
      <c r="A8" s="76" t="s">
        <v>6</v>
      </c>
      <c r="B8" s="102" t="s">
        <v>538</v>
      </c>
      <c r="C8" s="92"/>
    </row>
    <row r="9" spans="1:3" ht="15.75">
      <c r="A9" s="75"/>
      <c r="B9" s="116"/>
      <c r="C9" s="118"/>
    </row>
    <row r="10" spans="1:3">
      <c r="A10" s="96">
        <v>1</v>
      </c>
      <c r="B10" s="173">
        <v>216.1</v>
      </c>
      <c r="C10" s="90">
        <v>0</v>
      </c>
    </row>
    <row r="11" spans="1:3">
      <c r="A11" s="85"/>
      <c r="B11" s="85"/>
      <c r="C11" s="92"/>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D13" sqref="D13"/>
    </sheetView>
  </sheetViews>
  <sheetFormatPr defaultRowHeight="15"/>
  <cols>
    <col min="1" max="1" width="6.77734375" customWidth="1"/>
    <col min="2" max="3" width="16.44140625" customWidth="1"/>
    <col min="4" max="4" width="13.88671875" customWidth="1"/>
  </cols>
  <sheetData>
    <row r="1" spans="1:4" ht="15.75">
      <c r="A1" s="68" t="s">
        <v>280</v>
      </c>
    </row>
    <row r="2" spans="1:4" ht="15.75">
      <c r="A2" s="68" t="s">
        <v>435</v>
      </c>
    </row>
    <row r="3" spans="1:4" ht="15.75">
      <c r="A3" s="68" t="str">
        <f>'O&amp;M'!A3</f>
        <v>Budget Year Ending December 31, 2018</v>
      </c>
    </row>
    <row r="5" spans="1:4">
      <c r="B5" s="74" t="s">
        <v>408</v>
      </c>
      <c r="C5" s="74" t="s">
        <v>409</v>
      </c>
      <c r="D5" s="74" t="s">
        <v>414</v>
      </c>
    </row>
    <row r="7" spans="1:4" ht="15.75">
      <c r="A7" s="132" t="s">
        <v>4</v>
      </c>
      <c r="B7" s="101"/>
      <c r="C7" s="134"/>
      <c r="D7" s="307" t="s">
        <v>437</v>
      </c>
    </row>
    <row r="8" spans="1:4" ht="15.75">
      <c r="A8" s="133" t="s">
        <v>6</v>
      </c>
      <c r="B8" s="102" t="s">
        <v>402</v>
      </c>
      <c r="C8" s="81" t="s">
        <v>436</v>
      </c>
      <c r="D8" s="174">
        <v>2018</v>
      </c>
    </row>
    <row r="9" spans="1:4">
      <c r="A9" s="131">
        <v>1</v>
      </c>
      <c r="B9" s="99">
        <v>43435</v>
      </c>
      <c r="C9" s="105">
        <v>5629133121</v>
      </c>
      <c r="D9" s="90"/>
    </row>
    <row r="10" spans="1:4" ht="15.75" thickBot="1">
      <c r="A10" s="131">
        <v>2</v>
      </c>
      <c r="B10" s="99"/>
      <c r="C10" s="135"/>
      <c r="D10" s="114"/>
    </row>
    <row r="11" spans="1:4" ht="15.75">
      <c r="A11" s="131">
        <v>3</v>
      </c>
      <c r="B11" s="108" t="s">
        <v>436</v>
      </c>
      <c r="C11" s="109">
        <f>AVERAGE(C9:C9)</f>
        <v>5629133121</v>
      </c>
      <c r="D11" s="42"/>
    </row>
    <row r="12" spans="1:4" ht="15.75">
      <c r="A12" s="131">
        <v>4</v>
      </c>
      <c r="B12" s="108" t="s">
        <v>438</v>
      </c>
      <c r="C12" s="43"/>
      <c r="D12" s="130">
        <v>242610377</v>
      </c>
    </row>
    <row r="13" spans="1:4">
      <c r="A13" s="91"/>
      <c r="B13" s="91"/>
      <c r="C13" s="69"/>
      <c r="D13" s="92"/>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opLeftCell="A28" workbookViewId="0">
      <selection activeCell="K44" sqref="K44"/>
    </sheetView>
  </sheetViews>
  <sheetFormatPr defaultRowHeight="15"/>
  <cols>
    <col min="1" max="1" width="5.109375" customWidth="1"/>
    <col min="7" max="7" width="9.77734375" customWidth="1"/>
    <col min="8" max="8" width="11.77734375" customWidth="1"/>
    <col min="9" max="9" width="9.5546875" customWidth="1"/>
    <col min="10" max="11" width="13" customWidth="1"/>
  </cols>
  <sheetData>
    <row r="1" spans="1:11" ht="15.75">
      <c r="A1" s="45" t="s">
        <v>280</v>
      </c>
      <c r="B1" s="46"/>
      <c r="C1" s="46"/>
      <c r="D1" s="46"/>
      <c r="E1" s="46"/>
      <c r="F1" s="46"/>
      <c r="G1" s="46"/>
      <c r="H1" s="46"/>
      <c r="I1" s="46"/>
      <c r="J1" s="46"/>
      <c r="K1" s="47"/>
    </row>
    <row r="2" spans="1:11" ht="15.75">
      <c r="A2" s="45" t="s">
        <v>281</v>
      </c>
      <c r="B2" s="46"/>
      <c r="C2" s="46"/>
      <c r="D2" s="46"/>
      <c r="E2" s="46"/>
      <c r="F2" s="46"/>
      <c r="G2" s="46"/>
      <c r="H2" s="46"/>
      <c r="I2" s="46"/>
      <c r="J2" s="46"/>
      <c r="K2" s="48"/>
    </row>
    <row r="3" spans="1:11" ht="15.75">
      <c r="A3" s="45">
        <v>2018</v>
      </c>
      <c r="B3" s="46"/>
      <c r="C3" s="46"/>
      <c r="D3" s="46"/>
      <c r="E3" s="46"/>
      <c r="F3" s="46"/>
      <c r="G3" s="46"/>
      <c r="H3" s="46"/>
      <c r="I3" s="46"/>
      <c r="J3" s="46"/>
      <c r="K3" s="48"/>
    </row>
    <row r="4" spans="1:11">
      <c r="A4" s="48"/>
      <c r="B4" s="48"/>
      <c r="C4" s="48"/>
      <c r="D4" s="48"/>
      <c r="E4" s="48"/>
      <c r="F4" s="48"/>
      <c r="G4" s="48"/>
      <c r="H4" s="48"/>
      <c r="I4" s="48"/>
      <c r="J4" s="48"/>
      <c r="K4" s="48"/>
    </row>
    <row r="5" spans="1:11">
      <c r="A5" s="48"/>
      <c r="B5" s="48"/>
      <c r="C5" s="48"/>
      <c r="D5" s="48"/>
      <c r="E5" s="48"/>
      <c r="F5" s="48"/>
      <c r="G5" s="48"/>
      <c r="H5" s="48"/>
      <c r="I5" s="48"/>
      <c r="J5" s="48"/>
      <c r="K5" s="48"/>
    </row>
    <row r="6" spans="1:11">
      <c r="A6" s="49" t="s">
        <v>4</v>
      </c>
      <c r="B6" s="48"/>
      <c r="C6" s="48"/>
      <c r="D6" s="48"/>
      <c r="E6" s="48"/>
      <c r="F6" s="48"/>
      <c r="G6" s="48"/>
      <c r="H6" s="48"/>
      <c r="I6" s="48"/>
      <c r="J6" s="48"/>
      <c r="K6" s="48"/>
    </row>
    <row r="7" spans="1:11">
      <c r="A7" s="49">
        <v>1</v>
      </c>
      <c r="B7" s="48" t="s">
        <v>710</v>
      </c>
      <c r="C7" s="48"/>
      <c r="D7" s="48"/>
      <c r="E7" s="48"/>
      <c r="F7" s="48"/>
      <c r="G7" s="48"/>
      <c r="H7" s="48"/>
      <c r="I7" s="48"/>
      <c r="J7" s="50"/>
      <c r="K7" s="50">
        <f>22346737+258009+63043789</f>
        <v>85648535</v>
      </c>
    </row>
    <row r="8" spans="1:11">
      <c r="A8" s="48"/>
      <c r="B8" s="48"/>
      <c r="C8" s="48"/>
      <c r="D8" s="48"/>
      <c r="E8" s="48"/>
      <c r="F8" s="48"/>
      <c r="G8" s="48"/>
      <c r="H8" s="48"/>
      <c r="I8" s="48"/>
      <c r="J8" s="48"/>
      <c r="K8" s="48"/>
    </row>
    <row r="9" spans="1:11">
      <c r="A9" s="48"/>
      <c r="B9" s="48"/>
      <c r="C9" s="48"/>
      <c r="D9" s="48"/>
      <c r="E9" s="48"/>
      <c r="F9" s="48"/>
      <c r="G9" s="48"/>
      <c r="H9" s="48"/>
      <c r="I9" s="49" t="s">
        <v>282</v>
      </c>
      <c r="J9" s="48"/>
      <c r="K9" s="48"/>
    </row>
    <row r="10" spans="1:11" ht="15.75">
      <c r="A10" s="48"/>
      <c r="B10" s="51" t="s">
        <v>283</v>
      </c>
      <c r="C10" s="48"/>
      <c r="D10" s="48"/>
      <c r="E10" s="48"/>
      <c r="F10" s="48"/>
      <c r="G10" s="48"/>
      <c r="H10" s="48"/>
      <c r="I10" s="48"/>
      <c r="J10" s="49" t="s">
        <v>284</v>
      </c>
      <c r="K10" s="48"/>
    </row>
    <row r="11" spans="1:11" ht="15.75">
      <c r="A11" s="48"/>
      <c r="B11" s="51"/>
      <c r="C11" s="48"/>
      <c r="D11" s="48"/>
      <c r="E11" s="48"/>
      <c r="F11" s="48"/>
      <c r="G11" s="48"/>
      <c r="H11" s="48"/>
      <c r="I11" s="49" t="s">
        <v>285</v>
      </c>
      <c r="J11" s="49" t="s">
        <v>286</v>
      </c>
      <c r="K11" s="48"/>
    </row>
    <row r="12" spans="1:11">
      <c r="A12" s="49">
        <v>2</v>
      </c>
      <c r="B12" s="48" t="s">
        <v>287</v>
      </c>
      <c r="C12" s="48"/>
      <c r="D12" s="48"/>
      <c r="E12" s="48"/>
      <c r="F12" s="48"/>
      <c r="G12" s="48"/>
      <c r="H12" s="48"/>
      <c r="I12" s="52">
        <v>1151</v>
      </c>
      <c r="J12" s="53">
        <v>0</v>
      </c>
      <c r="K12" s="48"/>
    </row>
    <row r="13" spans="1:11">
      <c r="A13" s="49">
        <v>3</v>
      </c>
      <c r="B13" s="48" t="s">
        <v>712</v>
      </c>
      <c r="C13" s="48"/>
      <c r="D13" s="48"/>
      <c r="E13" s="48"/>
      <c r="F13" s="48"/>
      <c r="G13" s="48"/>
      <c r="H13" s="48"/>
      <c r="I13" s="52">
        <v>2168</v>
      </c>
      <c r="J13" s="53">
        <v>0</v>
      </c>
      <c r="K13" s="48"/>
    </row>
    <row r="14" spans="1:11">
      <c r="A14" s="49">
        <v>4</v>
      </c>
      <c r="B14" s="48" t="s">
        <v>713</v>
      </c>
      <c r="C14" s="48"/>
      <c r="D14" s="48"/>
      <c r="E14" s="48"/>
      <c r="F14" s="48"/>
      <c r="G14" s="48"/>
      <c r="H14" s="48"/>
      <c r="I14" s="52">
        <v>142</v>
      </c>
      <c r="J14" s="53">
        <v>0</v>
      </c>
      <c r="K14" s="48"/>
    </row>
    <row r="15" spans="1:11">
      <c r="A15" s="49">
        <v>5</v>
      </c>
      <c r="B15" s="48" t="s">
        <v>612</v>
      </c>
      <c r="C15" s="48"/>
      <c r="D15" s="48"/>
      <c r="E15" s="48"/>
      <c r="F15" s="48"/>
      <c r="G15" s="48"/>
      <c r="H15" s="48"/>
      <c r="I15" s="52">
        <v>107605</v>
      </c>
      <c r="J15" s="53">
        <v>0</v>
      </c>
      <c r="K15" s="48"/>
    </row>
    <row r="16" spans="1:11">
      <c r="A16" s="49">
        <v>6</v>
      </c>
      <c r="B16" s="48" t="s">
        <v>288</v>
      </c>
      <c r="C16" s="48"/>
      <c r="D16" s="48"/>
      <c r="E16" s="48" t="s">
        <v>489</v>
      </c>
      <c r="F16" s="48"/>
      <c r="G16" s="48"/>
      <c r="H16" s="48"/>
      <c r="I16" s="54">
        <v>19142</v>
      </c>
      <c r="J16" s="53">
        <v>0</v>
      </c>
      <c r="K16" s="48"/>
    </row>
    <row r="17" spans="1:11">
      <c r="A17" s="49">
        <v>7</v>
      </c>
      <c r="B17" s="48" t="s">
        <v>289</v>
      </c>
      <c r="C17" s="48"/>
      <c r="D17" s="48"/>
      <c r="E17" s="48" t="s">
        <v>489</v>
      </c>
      <c r="F17" s="48"/>
      <c r="G17" s="48"/>
      <c r="H17" s="48"/>
      <c r="I17" s="54">
        <v>83556</v>
      </c>
      <c r="J17" s="53">
        <v>0</v>
      </c>
      <c r="K17" s="48"/>
    </row>
    <row r="18" spans="1:11">
      <c r="A18" s="49">
        <v>8</v>
      </c>
      <c r="B18" s="48" t="s">
        <v>290</v>
      </c>
      <c r="C18" s="48"/>
      <c r="D18" s="48"/>
      <c r="E18" s="48"/>
      <c r="F18" s="48"/>
      <c r="G18" s="48"/>
      <c r="H18" s="48"/>
      <c r="I18" s="55">
        <v>796</v>
      </c>
      <c r="J18" s="53">
        <v>0</v>
      </c>
      <c r="K18" s="48"/>
    </row>
    <row r="19" spans="1:11">
      <c r="A19" s="49">
        <v>9</v>
      </c>
      <c r="B19" s="48" t="s">
        <v>291</v>
      </c>
      <c r="C19" s="48"/>
      <c r="D19" s="48"/>
      <c r="E19" s="48"/>
      <c r="F19" s="48"/>
      <c r="G19" s="48"/>
      <c r="H19" s="48"/>
      <c r="I19" s="55">
        <v>1087</v>
      </c>
      <c r="J19" s="53">
        <v>0</v>
      </c>
      <c r="K19" s="48"/>
    </row>
    <row r="20" spans="1:11">
      <c r="A20" s="49">
        <v>10</v>
      </c>
      <c r="B20" s="48" t="s">
        <v>292</v>
      </c>
      <c r="C20" s="48"/>
      <c r="D20" s="48"/>
      <c r="E20" s="48"/>
      <c r="F20" s="48"/>
      <c r="G20" s="48"/>
      <c r="H20" s="48"/>
      <c r="I20" s="55">
        <v>3601</v>
      </c>
      <c r="J20" s="53">
        <v>0</v>
      </c>
      <c r="K20" s="48"/>
    </row>
    <row r="21" spans="1:11">
      <c r="A21" s="49">
        <v>11</v>
      </c>
      <c r="B21" s="48" t="s">
        <v>293</v>
      </c>
      <c r="C21" s="48"/>
      <c r="D21" s="48"/>
      <c r="E21" s="48"/>
      <c r="F21" s="48"/>
      <c r="G21" s="48"/>
      <c r="H21" s="48"/>
      <c r="I21" s="55">
        <v>2301</v>
      </c>
      <c r="J21" s="53">
        <v>0</v>
      </c>
      <c r="K21" s="48"/>
    </row>
    <row r="22" spans="1:11">
      <c r="A22" s="49">
        <v>12</v>
      </c>
      <c r="B22" s="48" t="s">
        <v>294</v>
      </c>
      <c r="C22" s="48"/>
      <c r="D22" s="48"/>
      <c r="E22" s="48"/>
      <c r="F22" s="48"/>
      <c r="G22" s="48"/>
      <c r="H22" s="48"/>
      <c r="I22" s="55">
        <v>902</v>
      </c>
      <c r="J22" s="53">
        <v>0</v>
      </c>
      <c r="K22" s="48"/>
    </row>
    <row r="23" spans="1:11">
      <c r="A23" s="49">
        <v>13</v>
      </c>
      <c r="B23" s="48" t="s">
        <v>295</v>
      </c>
      <c r="C23" s="48"/>
      <c r="D23" s="48"/>
      <c r="E23" s="48"/>
      <c r="F23" s="48"/>
      <c r="G23" s="48"/>
      <c r="H23" s="48"/>
      <c r="I23" s="55">
        <v>12248</v>
      </c>
      <c r="J23" s="53">
        <v>0</v>
      </c>
      <c r="K23" s="48"/>
    </row>
    <row r="24" spans="1:11">
      <c r="A24" s="49">
        <v>14</v>
      </c>
      <c r="B24" s="48" t="s">
        <v>296</v>
      </c>
      <c r="C24" s="48"/>
      <c r="D24" s="48"/>
      <c r="E24" s="48"/>
      <c r="F24" s="48"/>
      <c r="G24" s="48"/>
      <c r="H24" s="48"/>
      <c r="I24" s="55">
        <v>3385</v>
      </c>
      <c r="J24" s="53">
        <v>0</v>
      </c>
      <c r="K24" s="48"/>
    </row>
    <row r="25" spans="1:11">
      <c r="A25" s="49">
        <v>15</v>
      </c>
      <c r="B25" s="48" t="s">
        <v>297</v>
      </c>
      <c r="C25" s="48"/>
      <c r="D25" s="48"/>
      <c r="E25" s="48" t="s">
        <v>489</v>
      </c>
      <c r="F25" s="48"/>
      <c r="G25" s="48"/>
      <c r="H25" s="48"/>
      <c r="I25" s="55">
        <v>4598</v>
      </c>
      <c r="J25" s="53">
        <v>0</v>
      </c>
      <c r="K25" s="48"/>
    </row>
    <row r="26" spans="1:11">
      <c r="A26" s="49">
        <v>16</v>
      </c>
      <c r="B26" s="48" t="s">
        <v>298</v>
      </c>
      <c r="C26" s="48"/>
      <c r="D26" s="48"/>
      <c r="F26" s="48"/>
      <c r="G26" s="48"/>
      <c r="H26" s="48"/>
      <c r="I26" s="55">
        <v>5876</v>
      </c>
      <c r="J26" s="53">
        <v>0</v>
      </c>
      <c r="K26" s="48"/>
    </row>
    <row r="27" spans="1:11">
      <c r="A27" s="49">
        <v>17</v>
      </c>
      <c r="B27" s="48" t="s">
        <v>299</v>
      </c>
      <c r="C27" s="48"/>
      <c r="D27" s="48"/>
      <c r="E27" s="48"/>
      <c r="F27" s="48"/>
      <c r="G27" s="48"/>
      <c r="H27" s="48"/>
      <c r="I27" s="55">
        <v>1601</v>
      </c>
      <c r="J27" s="53">
        <v>0</v>
      </c>
      <c r="K27" s="48"/>
    </row>
    <row r="28" spans="1:11">
      <c r="A28" s="49">
        <v>18</v>
      </c>
      <c r="B28" s="48" t="s">
        <v>300</v>
      </c>
      <c r="C28" s="48"/>
      <c r="D28" s="48"/>
      <c r="E28" s="48"/>
      <c r="F28" s="48"/>
      <c r="G28" s="48"/>
      <c r="H28" s="48"/>
      <c r="I28" s="55">
        <v>2415</v>
      </c>
      <c r="J28" s="53">
        <v>0</v>
      </c>
      <c r="K28" s="48"/>
    </row>
    <row r="29" spans="1:11">
      <c r="A29" s="49">
        <v>19</v>
      </c>
      <c r="B29" s="48" t="s">
        <v>686</v>
      </c>
      <c r="C29" s="48"/>
      <c r="D29" s="48"/>
      <c r="E29" s="48"/>
      <c r="F29" s="48"/>
      <c r="G29" s="48"/>
      <c r="H29" s="48"/>
      <c r="I29" s="55">
        <v>367</v>
      </c>
      <c r="J29" s="53">
        <v>0</v>
      </c>
      <c r="K29" s="48"/>
    </row>
    <row r="30" spans="1:11">
      <c r="A30" s="49">
        <v>20</v>
      </c>
      <c r="B30" s="48" t="s">
        <v>301</v>
      </c>
      <c r="C30" s="48"/>
      <c r="D30" s="48"/>
      <c r="E30" s="48" t="s">
        <v>489</v>
      </c>
      <c r="F30" s="48"/>
      <c r="G30" s="48"/>
      <c r="H30" s="48"/>
      <c r="I30" s="55">
        <v>7413</v>
      </c>
      <c r="J30" s="53">
        <v>0</v>
      </c>
      <c r="K30" s="48"/>
    </row>
    <row r="31" spans="1:11">
      <c r="A31" s="49">
        <v>21</v>
      </c>
      <c r="B31" s="48" t="s">
        <v>302</v>
      </c>
      <c r="C31" s="48"/>
      <c r="D31" s="48"/>
      <c r="E31" s="48"/>
      <c r="F31" s="48"/>
      <c r="G31" s="48"/>
      <c r="H31" s="48"/>
      <c r="I31" s="55">
        <v>22763</v>
      </c>
      <c r="J31" s="53">
        <v>0</v>
      </c>
      <c r="K31" s="48"/>
    </row>
    <row r="32" spans="1:11">
      <c r="A32" s="49">
        <v>22</v>
      </c>
      <c r="B32" s="48" t="s">
        <v>303</v>
      </c>
      <c r="C32" s="48"/>
      <c r="D32" s="48"/>
      <c r="E32" s="48" t="s">
        <v>489</v>
      </c>
      <c r="F32" s="48"/>
      <c r="G32" s="48"/>
      <c r="H32" s="48"/>
      <c r="I32" s="55">
        <v>31600</v>
      </c>
      <c r="J32" s="53">
        <v>0</v>
      </c>
      <c r="K32" s="48"/>
    </row>
    <row r="33" spans="1:11">
      <c r="A33" s="49">
        <v>23</v>
      </c>
      <c r="B33" s="48" t="s">
        <v>304</v>
      </c>
      <c r="C33" s="48"/>
      <c r="D33" s="48"/>
      <c r="E33" s="48"/>
      <c r="F33" s="48"/>
      <c r="G33" s="48"/>
      <c r="H33" s="48"/>
      <c r="I33" s="55">
        <v>2396</v>
      </c>
      <c r="J33" s="53">
        <v>0</v>
      </c>
      <c r="K33" s="48"/>
    </row>
    <row r="34" spans="1:11">
      <c r="A34" s="49">
        <v>24</v>
      </c>
      <c r="B34" s="48" t="s">
        <v>714</v>
      </c>
      <c r="C34" s="48"/>
      <c r="D34" s="48"/>
      <c r="E34" s="48"/>
      <c r="F34" s="48"/>
      <c r="G34" s="48"/>
      <c r="H34" s="48"/>
      <c r="I34" s="55">
        <v>9445</v>
      </c>
      <c r="J34" s="53">
        <v>0</v>
      </c>
      <c r="K34" s="48"/>
    </row>
    <row r="35" spans="1:11">
      <c r="A35" s="49">
        <v>25</v>
      </c>
      <c r="B35" s="48" t="s">
        <v>305</v>
      </c>
      <c r="C35" s="48"/>
      <c r="D35" s="48"/>
      <c r="E35" s="48"/>
      <c r="F35" s="48"/>
      <c r="G35" s="48"/>
      <c r="H35" s="48"/>
      <c r="I35" s="56">
        <v>22858</v>
      </c>
      <c r="J35" s="53">
        <v>0</v>
      </c>
      <c r="K35" s="48"/>
    </row>
    <row r="36" spans="1:11">
      <c r="A36" s="49">
        <v>26</v>
      </c>
      <c r="B36" s="48" t="s">
        <v>397</v>
      </c>
      <c r="C36" s="48"/>
      <c r="D36" s="48"/>
      <c r="E36" s="48"/>
      <c r="F36" s="48"/>
      <c r="G36" s="48"/>
      <c r="H36" s="48"/>
      <c r="I36" s="57"/>
      <c r="J36" s="58">
        <v>1697098</v>
      </c>
      <c r="K36" s="48"/>
    </row>
    <row r="37" spans="1:11" ht="15.75">
      <c r="A37" s="49">
        <v>27</v>
      </c>
      <c r="B37" s="48"/>
      <c r="C37" s="48" t="s">
        <v>613</v>
      </c>
      <c r="D37" s="48"/>
      <c r="E37" s="48"/>
      <c r="F37" s="48"/>
      <c r="G37" s="48"/>
      <c r="H37" s="48"/>
      <c r="I37" s="55">
        <f>SUM(I12:I35)</f>
        <v>349416</v>
      </c>
      <c r="J37" s="59">
        <f>SUM(J12:J36)</f>
        <v>1697098</v>
      </c>
      <c r="K37" s="48"/>
    </row>
    <row r="38" spans="1:11">
      <c r="A38" s="49"/>
      <c r="B38" s="48"/>
      <c r="C38" s="48"/>
      <c r="D38" s="48"/>
      <c r="E38" s="48"/>
      <c r="F38" s="48"/>
      <c r="G38" s="48"/>
      <c r="H38" s="48"/>
      <c r="I38" s="60"/>
      <c r="J38" s="61"/>
      <c r="K38" s="48"/>
    </row>
    <row r="39" spans="1:11" ht="15.75">
      <c r="A39" s="49">
        <v>28</v>
      </c>
      <c r="B39" s="48" t="s">
        <v>609</v>
      </c>
      <c r="C39" s="48"/>
      <c r="D39" s="48"/>
      <c r="E39" s="48"/>
      <c r="F39" s="48"/>
      <c r="G39" s="48"/>
      <c r="H39" s="48"/>
      <c r="I39" s="55"/>
      <c r="J39" s="61"/>
      <c r="K39" s="255">
        <f>J37</f>
        <v>1697098</v>
      </c>
    </row>
    <row r="40" spans="1:11" ht="15.75">
      <c r="A40" s="48"/>
      <c r="B40" s="51"/>
      <c r="C40" s="48" t="s">
        <v>717</v>
      </c>
      <c r="D40" s="48"/>
      <c r="E40" s="48"/>
      <c r="F40" s="48"/>
      <c r="G40" s="48"/>
      <c r="H40" s="48"/>
      <c r="I40" s="48"/>
      <c r="J40" s="48"/>
      <c r="K40" s="48"/>
    </row>
    <row r="41" spans="1:11" ht="15.75">
      <c r="A41" s="49">
        <v>29</v>
      </c>
      <c r="B41" s="48" t="s">
        <v>610</v>
      </c>
      <c r="C41" s="48"/>
      <c r="D41" s="48"/>
      <c r="E41" s="48"/>
      <c r="F41" s="48"/>
      <c r="G41" s="48"/>
      <c r="H41" s="48"/>
      <c r="I41" s="48"/>
      <c r="J41" s="48"/>
      <c r="K41" s="256">
        <v>258009</v>
      </c>
    </row>
    <row r="42" spans="1:11" ht="15.75">
      <c r="A42" s="49"/>
      <c r="B42" s="51"/>
      <c r="C42" s="48"/>
      <c r="D42" s="48"/>
      <c r="E42" s="48"/>
      <c r="F42" s="48"/>
      <c r="G42" s="48"/>
      <c r="H42" s="48"/>
      <c r="I42" s="48"/>
      <c r="J42" s="48"/>
      <c r="K42" s="48"/>
    </row>
    <row r="43" spans="1:11" ht="15.75">
      <c r="A43" s="49">
        <v>30</v>
      </c>
      <c r="B43" s="48" t="s">
        <v>611</v>
      </c>
      <c r="C43" s="48"/>
      <c r="D43" s="48"/>
      <c r="E43" s="48"/>
      <c r="F43" s="48"/>
      <c r="G43" s="48"/>
      <c r="H43" s="48"/>
      <c r="I43" s="48"/>
      <c r="J43" s="48"/>
      <c r="K43" s="257">
        <v>63043789</v>
      </c>
    </row>
    <row r="44" spans="1:11" ht="15.75">
      <c r="A44" s="48"/>
      <c r="B44" s="51"/>
      <c r="C44" s="48"/>
      <c r="D44" s="48"/>
      <c r="E44" s="48"/>
      <c r="F44" s="48"/>
      <c r="G44" s="48"/>
      <c r="H44" s="48"/>
      <c r="I44" s="48"/>
      <c r="J44" s="48"/>
      <c r="K44" s="48"/>
    </row>
    <row r="45" spans="1:11" ht="16.5" thickBot="1">
      <c r="A45" s="49">
        <v>31</v>
      </c>
      <c r="B45" s="48" t="s">
        <v>306</v>
      </c>
      <c r="C45" s="48"/>
      <c r="D45" s="48"/>
      <c r="E45" s="48"/>
      <c r="F45" s="48"/>
      <c r="G45" s="48"/>
      <c r="H45" s="48"/>
      <c r="I45" s="48"/>
      <c r="J45" s="62"/>
      <c r="K45" s="63">
        <f>K7-K39-K41-K43</f>
        <v>20649639</v>
      </c>
    </row>
    <row r="46" spans="1:11" ht="15.75" thickTop="1">
      <c r="A46" s="48"/>
      <c r="B46" s="48"/>
      <c r="C46" s="48" t="s">
        <v>716</v>
      </c>
      <c r="D46" s="48"/>
      <c r="E46" s="48"/>
      <c r="F46" s="48"/>
      <c r="G46" s="48"/>
      <c r="H46" s="48"/>
      <c r="I46" s="48"/>
      <c r="J46" s="48"/>
      <c r="K46" s="48"/>
    </row>
  </sheetData>
  <pageMargins left="0.7" right="0.7" top="0.75" bottom="0.75" header="0.3" footer="0.3"/>
  <pageSetup scale="7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
  <sheetViews>
    <sheetView zoomScale="80" zoomScaleNormal="80" workbookViewId="0">
      <selection activeCell="C6" sqref="C6"/>
    </sheetView>
  </sheetViews>
  <sheetFormatPr defaultRowHeight="15"/>
  <cols>
    <col min="2" max="2" width="4.77734375" customWidth="1"/>
    <col min="3" max="3" width="10.21875" customWidth="1"/>
    <col min="4" max="4" width="9.88671875" customWidth="1"/>
    <col min="5" max="5" width="10" bestFit="1" customWidth="1"/>
    <col min="6" max="6" width="11" bestFit="1" customWidth="1"/>
    <col min="7" max="8" width="10" bestFit="1" customWidth="1"/>
    <col min="9" max="9" width="11" bestFit="1" customWidth="1"/>
    <col min="10" max="13" width="10" bestFit="1" customWidth="1"/>
    <col min="14" max="14" width="9" bestFit="1" customWidth="1"/>
    <col min="15" max="15" width="4.77734375" customWidth="1"/>
    <col min="16" max="16" width="11.109375" customWidth="1"/>
    <col min="17" max="17" width="9.77734375" customWidth="1"/>
  </cols>
  <sheetData>
    <row r="1" spans="1:18" ht="15.75">
      <c r="A1" s="45" t="s">
        <v>280</v>
      </c>
    </row>
    <row r="2" spans="1:18" ht="15.75">
      <c r="A2" s="45" t="s">
        <v>307</v>
      </c>
    </row>
    <row r="3" spans="1:18" ht="15.75">
      <c r="A3" s="45" t="s">
        <v>715</v>
      </c>
    </row>
    <row r="6" spans="1:18">
      <c r="A6" s="44"/>
      <c r="B6" s="44"/>
      <c r="C6" s="66">
        <v>43101</v>
      </c>
      <c r="D6" s="66">
        <v>43132</v>
      </c>
      <c r="E6" s="66">
        <v>43160</v>
      </c>
      <c r="F6" s="66">
        <v>43191</v>
      </c>
      <c r="G6" s="66">
        <v>43221</v>
      </c>
      <c r="H6" s="66">
        <v>43252</v>
      </c>
      <c r="I6" s="66">
        <v>43282</v>
      </c>
      <c r="J6" s="66">
        <v>43313</v>
      </c>
      <c r="K6" s="66">
        <v>43344</v>
      </c>
      <c r="L6" s="66">
        <v>43374</v>
      </c>
      <c r="M6" s="66">
        <v>43405</v>
      </c>
      <c r="N6" s="66">
        <v>43435</v>
      </c>
      <c r="O6" s="44"/>
      <c r="P6" s="67" t="s">
        <v>9</v>
      </c>
      <c r="Q6" s="67"/>
      <c r="R6" s="44"/>
    </row>
    <row r="7" spans="1:18">
      <c r="A7" s="44"/>
      <c r="B7" s="44"/>
      <c r="C7" s="64"/>
      <c r="D7" s="64"/>
      <c r="E7" s="64"/>
      <c r="F7" s="64"/>
      <c r="G7" s="64"/>
      <c r="H7" s="64"/>
      <c r="I7" s="64"/>
      <c r="J7" s="64"/>
      <c r="K7" s="64"/>
      <c r="L7" s="64"/>
      <c r="M7" s="64"/>
      <c r="N7" s="64"/>
      <c r="O7" s="44"/>
      <c r="P7" s="44"/>
      <c r="Q7" s="44"/>
      <c r="R7" s="44"/>
    </row>
    <row r="8" spans="1:18">
      <c r="A8" s="44">
        <v>454042</v>
      </c>
      <c r="B8" s="44"/>
      <c r="C8" s="165">
        <v>2507.375</v>
      </c>
      <c r="D8" s="165">
        <v>2507.375</v>
      </c>
      <c r="E8" s="165">
        <v>2507.375</v>
      </c>
      <c r="F8" s="165">
        <v>179507.375</v>
      </c>
      <c r="G8" s="165">
        <v>2507.375</v>
      </c>
      <c r="H8" s="165">
        <v>2507.375</v>
      </c>
      <c r="I8" s="165">
        <v>2507.375</v>
      </c>
      <c r="J8" s="165">
        <v>2507.375</v>
      </c>
      <c r="K8" s="165">
        <v>2507.375</v>
      </c>
      <c r="L8" s="165">
        <v>2507.375</v>
      </c>
      <c r="M8" s="165">
        <v>2507.375</v>
      </c>
      <c r="N8" s="165">
        <v>2507.375</v>
      </c>
      <c r="O8" s="44"/>
      <c r="P8" s="165">
        <f>SUM(C8:O8)</f>
        <v>207088.5</v>
      </c>
      <c r="Q8" s="44"/>
      <c r="R8" s="44"/>
    </row>
    <row r="9" spans="1:18">
      <c r="A9" s="44"/>
      <c r="B9" s="44"/>
      <c r="C9" s="65"/>
      <c r="D9" s="65"/>
      <c r="E9" s="65"/>
      <c r="F9" s="65"/>
      <c r="G9" s="65"/>
      <c r="H9" s="65"/>
      <c r="I9" s="65"/>
      <c r="J9" s="65"/>
      <c r="K9" s="65"/>
      <c r="L9" s="65"/>
      <c r="M9" s="65"/>
      <c r="N9" s="65"/>
      <c r="O9" s="44"/>
      <c r="P9" s="65"/>
      <c r="Q9" s="44"/>
      <c r="R9" s="44"/>
    </row>
    <row r="10" spans="1:18">
      <c r="A10" s="44">
        <v>454011</v>
      </c>
      <c r="B10" s="44"/>
      <c r="C10" s="166">
        <v>1250</v>
      </c>
      <c r="D10" s="166">
        <v>1250</v>
      </c>
      <c r="E10" s="166">
        <v>1250</v>
      </c>
      <c r="F10" s="166">
        <v>1250</v>
      </c>
      <c r="G10" s="166">
        <v>1250</v>
      </c>
      <c r="H10" s="166">
        <v>1250</v>
      </c>
      <c r="I10" s="166">
        <v>1250</v>
      </c>
      <c r="J10" s="166">
        <v>1250</v>
      </c>
      <c r="K10" s="166">
        <v>1250</v>
      </c>
      <c r="L10" s="166">
        <v>1250</v>
      </c>
      <c r="M10" s="166">
        <v>1250</v>
      </c>
      <c r="N10" s="166">
        <v>1250</v>
      </c>
      <c r="O10" s="166"/>
      <c r="P10" s="166">
        <f t="shared" ref="P10" si="0">SUM(C10:O10)</f>
        <v>15000</v>
      </c>
      <c r="Q10" s="44"/>
      <c r="R10" s="44"/>
    </row>
    <row r="11" spans="1:18">
      <c r="A11" s="44"/>
      <c r="B11" s="44"/>
      <c r="C11" s="65"/>
      <c r="D11" s="65"/>
      <c r="E11" s="65"/>
      <c r="F11" s="65"/>
      <c r="G11" s="65"/>
      <c r="H11" s="65"/>
      <c r="I11" s="65"/>
      <c r="J11" s="65"/>
      <c r="K11" s="65"/>
      <c r="L11" s="65"/>
      <c r="M11" s="65"/>
      <c r="N11" s="65"/>
      <c r="O11" s="44"/>
      <c r="P11" s="44"/>
      <c r="Q11" s="44"/>
      <c r="R11" s="44"/>
    </row>
    <row r="12" spans="1:18" ht="15.75" thickBot="1">
      <c r="A12" s="67" t="s">
        <v>9</v>
      </c>
      <c r="B12" s="44"/>
      <c r="C12" s="167">
        <f>SUM(C8:C11)</f>
        <v>3757.375</v>
      </c>
      <c r="D12" s="167">
        <f t="shared" ref="D12:N12" si="1">SUM(D8:D11)</f>
        <v>3757.375</v>
      </c>
      <c r="E12" s="167">
        <f t="shared" si="1"/>
        <v>3757.375</v>
      </c>
      <c r="F12" s="167">
        <f t="shared" si="1"/>
        <v>180757.375</v>
      </c>
      <c r="G12" s="167">
        <f t="shared" si="1"/>
        <v>3757.375</v>
      </c>
      <c r="H12" s="167">
        <f t="shared" si="1"/>
        <v>3757.375</v>
      </c>
      <c r="I12" s="167">
        <f t="shared" si="1"/>
        <v>3757.375</v>
      </c>
      <c r="J12" s="167">
        <f t="shared" si="1"/>
        <v>3757.375</v>
      </c>
      <c r="K12" s="167">
        <f t="shared" si="1"/>
        <v>3757.375</v>
      </c>
      <c r="L12" s="167">
        <f t="shared" si="1"/>
        <v>3757.375</v>
      </c>
      <c r="M12" s="167">
        <f t="shared" si="1"/>
        <v>3757.375</v>
      </c>
      <c r="N12" s="167">
        <f t="shared" si="1"/>
        <v>3757.375</v>
      </c>
      <c r="O12" s="166"/>
      <c r="P12" s="167">
        <f>SUM(C12:O12)</f>
        <v>222088.5</v>
      </c>
      <c r="Q12" s="44"/>
      <c r="R12" s="44"/>
    </row>
    <row r="13" spans="1:18" ht="15.75" thickTop="1"/>
  </sheetData>
  <pageMargins left="0.7" right="0.7" top="0.75" bottom="0.75" header="0.3" footer="0.3"/>
  <pageSetup scale="68"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zoomScale="90" zoomScaleNormal="90" workbookViewId="0">
      <selection activeCell="C23" sqref="C23"/>
    </sheetView>
  </sheetViews>
  <sheetFormatPr defaultRowHeight="15"/>
  <cols>
    <col min="1" max="1" width="6.77734375" customWidth="1"/>
    <col min="2" max="2" width="12.77734375" customWidth="1"/>
    <col min="3" max="3" width="13.6640625" customWidth="1"/>
    <col min="4" max="4" width="10.77734375" customWidth="1"/>
    <col min="5" max="5" width="11.21875" customWidth="1"/>
    <col min="6" max="7" width="11.33203125" customWidth="1"/>
    <col min="8" max="8" width="13.21875" customWidth="1"/>
    <col min="9" max="9" width="12.77734375" customWidth="1"/>
    <col min="10" max="10" width="12.33203125" bestFit="1" customWidth="1"/>
  </cols>
  <sheetData>
    <row r="1" spans="1:10" ht="15.75">
      <c r="A1" s="68" t="s">
        <v>280</v>
      </c>
    </row>
    <row r="2" spans="1:10" ht="15.75">
      <c r="A2" s="68" t="s">
        <v>479</v>
      </c>
    </row>
    <row r="3" spans="1:10" ht="15.75">
      <c r="A3" s="68" t="s">
        <v>711</v>
      </c>
    </row>
    <row r="5" spans="1:10">
      <c r="C5" s="74" t="s">
        <v>408</v>
      </c>
      <c r="D5" s="74" t="s">
        <v>409</v>
      </c>
      <c r="E5" s="74" t="s">
        <v>414</v>
      </c>
      <c r="F5" s="74" t="s">
        <v>410</v>
      </c>
      <c r="G5" s="74" t="s">
        <v>411</v>
      </c>
      <c r="H5" s="74" t="s">
        <v>412</v>
      </c>
      <c r="I5" s="74" t="s">
        <v>480</v>
      </c>
      <c r="J5" s="74" t="s">
        <v>481</v>
      </c>
    </row>
    <row r="6" spans="1:10">
      <c r="C6" s="74"/>
      <c r="D6" s="74"/>
      <c r="E6" s="74"/>
    </row>
    <row r="7" spans="1:10" ht="15.75">
      <c r="A7" s="94"/>
      <c r="B7" s="112"/>
      <c r="C7" s="147"/>
      <c r="D7" s="137"/>
      <c r="E7" s="137"/>
      <c r="F7" s="137"/>
      <c r="G7" s="137" t="s">
        <v>469</v>
      </c>
      <c r="H7" s="137" t="s">
        <v>472</v>
      </c>
      <c r="I7" s="137" t="s">
        <v>472</v>
      </c>
      <c r="J7" s="118"/>
    </row>
    <row r="8" spans="1:10" ht="15.75">
      <c r="A8" s="97"/>
      <c r="B8" s="40"/>
      <c r="C8" s="43"/>
      <c r="D8" s="93" t="s">
        <v>469</v>
      </c>
      <c r="E8" s="93" t="s">
        <v>469</v>
      </c>
      <c r="F8" s="93" t="s">
        <v>472</v>
      </c>
      <c r="G8" s="93" t="s">
        <v>470</v>
      </c>
      <c r="H8" s="93" t="s">
        <v>473</v>
      </c>
      <c r="I8" s="93" t="s">
        <v>476</v>
      </c>
      <c r="J8" s="42"/>
    </row>
    <row r="9" spans="1:10" ht="15.75">
      <c r="A9" s="110" t="s">
        <v>4</v>
      </c>
      <c r="B9" s="108"/>
      <c r="C9" s="93" t="s">
        <v>465</v>
      </c>
      <c r="D9" s="93" t="s">
        <v>478</v>
      </c>
      <c r="E9" s="93" t="s">
        <v>284</v>
      </c>
      <c r="F9" s="145" t="s">
        <v>467</v>
      </c>
      <c r="G9" s="145" t="s">
        <v>471</v>
      </c>
      <c r="H9" s="145" t="s">
        <v>474</v>
      </c>
      <c r="I9" s="145" t="s">
        <v>477</v>
      </c>
      <c r="J9" s="42"/>
    </row>
    <row r="10" spans="1:10" ht="15.75">
      <c r="A10" s="76" t="s">
        <v>6</v>
      </c>
      <c r="B10" s="102" t="s">
        <v>464</v>
      </c>
      <c r="C10" s="81" t="s">
        <v>466</v>
      </c>
      <c r="D10" s="81" t="s">
        <v>468</v>
      </c>
      <c r="E10" s="81" t="s">
        <v>151</v>
      </c>
      <c r="F10" s="148" t="s">
        <v>468</v>
      </c>
      <c r="G10" s="148" t="s">
        <v>467</v>
      </c>
      <c r="H10" s="148" t="s">
        <v>475</v>
      </c>
      <c r="I10" s="148" t="s">
        <v>468</v>
      </c>
      <c r="J10" s="149" t="s">
        <v>479</v>
      </c>
    </row>
    <row r="11" spans="1:10">
      <c r="A11" s="139">
        <v>1</v>
      </c>
      <c r="B11" s="98">
        <f>'O&amp;M'!B9</f>
        <v>43101</v>
      </c>
      <c r="C11" s="141">
        <v>3847000</v>
      </c>
      <c r="D11" s="141">
        <v>0</v>
      </c>
      <c r="E11" s="141">
        <v>89086</v>
      </c>
      <c r="F11" s="150">
        <v>0</v>
      </c>
      <c r="G11" s="150">
        <v>0</v>
      </c>
      <c r="H11" s="150">
        <v>0</v>
      </c>
      <c r="I11" s="150">
        <v>0</v>
      </c>
      <c r="J11" s="142">
        <f>C11+D11+E11-F11+G11-H11-I11</f>
        <v>3936086</v>
      </c>
    </row>
    <row r="12" spans="1:10">
      <c r="A12" s="140">
        <v>2</v>
      </c>
      <c r="B12" s="99">
        <f>'O&amp;M'!B10</f>
        <v>43132</v>
      </c>
      <c r="C12" s="143">
        <v>3699000</v>
      </c>
      <c r="D12" s="143">
        <v>0</v>
      </c>
      <c r="E12" s="143">
        <v>81163</v>
      </c>
      <c r="F12" s="146">
        <v>0</v>
      </c>
      <c r="G12" s="146">
        <v>0</v>
      </c>
      <c r="H12" s="146">
        <v>0</v>
      </c>
      <c r="I12" s="146">
        <v>0</v>
      </c>
      <c r="J12" s="144">
        <f t="shared" ref="J12:J22" si="0">C12+D12+E12-F12+G12-H12-I12</f>
        <v>3780163</v>
      </c>
    </row>
    <row r="13" spans="1:10">
      <c r="A13" s="140">
        <v>3</v>
      </c>
      <c r="B13" s="99">
        <f>'O&amp;M'!B11</f>
        <v>43160</v>
      </c>
      <c r="C13" s="143">
        <v>3402000</v>
      </c>
      <c r="D13" s="143">
        <v>0</v>
      </c>
      <c r="E13" s="143">
        <v>73935</v>
      </c>
      <c r="F13" s="146">
        <v>0</v>
      </c>
      <c r="G13" s="146">
        <v>0</v>
      </c>
      <c r="H13" s="146">
        <v>0</v>
      </c>
      <c r="I13" s="146">
        <v>0</v>
      </c>
      <c r="J13" s="144">
        <f t="shared" si="0"/>
        <v>3475935</v>
      </c>
    </row>
    <row r="14" spans="1:10">
      <c r="A14" s="140">
        <v>4</v>
      </c>
      <c r="B14" s="99">
        <f>'O&amp;M'!B12</f>
        <v>43191</v>
      </c>
      <c r="C14" s="143">
        <v>3130000</v>
      </c>
      <c r="D14" s="143">
        <v>0</v>
      </c>
      <c r="E14" s="143">
        <v>69306</v>
      </c>
      <c r="F14" s="146">
        <v>0</v>
      </c>
      <c r="G14" s="146">
        <v>0</v>
      </c>
      <c r="H14" s="146">
        <v>0</v>
      </c>
      <c r="I14" s="146">
        <v>0</v>
      </c>
      <c r="J14" s="144">
        <f t="shared" si="0"/>
        <v>3199306</v>
      </c>
    </row>
    <row r="15" spans="1:10">
      <c r="A15" s="140">
        <v>5</v>
      </c>
      <c r="B15" s="99">
        <f>'O&amp;M'!B13</f>
        <v>43221</v>
      </c>
      <c r="C15" s="143">
        <v>3841000</v>
      </c>
      <c r="D15" s="143">
        <v>0</v>
      </c>
      <c r="E15" s="143">
        <v>88805</v>
      </c>
      <c r="F15" s="146">
        <v>0</v>
      </c>
      <c r="G15" s="146">
        <v>0</v>
      </c>
      <c r="H15" s="146">
        <v>0</v>
      </c>
      <c r="I15" s="146">
        <v>0</v>
      </c>
      <c r="J15" s="144">
        <f t="shared" si="0"/>
        <v>3929805</v>
      </c>
    </row>
    <row r="16" spans="1:10">
      <c r="A16" s="140">
        <v>6</v>
      </c>
      <c r="B16" s="99">
        <f>'O&amp;M'!B14</f>
        <v>43252</v>
      </c>
      <c r="C16" s="143">
        <v>4565000</v>
      </c>
      <c r="D16" s="143">
        <v>0</v>
      </c>
      <c r="E16" s="143">
        <v>119033</v>
      </c>
      <c r="F16" s="146">
        <v>0</v>
      </c>
      <c r="G16" s="146">
        <v>0</v>
      </c>
      <c r="H16" s="146">
        <v>0</v>
      </c>
      <c r="I16" s="146">
        <v>0</v>
      </c>
      <c r="J16" s="144">
        <f t="shared" si="0"/>
        <v>4684033</v>
      </c>
    </row>
    <row r="17" spans="1:10">
      <c r="A17" s="140">
        <v>7</v>
      </c>
      <c r="B17" s="99">
        <f>'O&amp;M'!B15</f>
        <v>43282</v>
      </c>
      <c r="C17" s="143">
        <v>4873000</v>
      </c>
      <c r="D17" s="143">
        <v>0</v>
      </c>
      <c r="E17" s="143">
        <v>128460</v>
      </c>
      <c r="F17" s="146">
        <v>0</v>
      </c>
      <c r="G17" s="146">
        <v>0</v>
      </c>
      <c r="H17" s="146">
        <v>0</v>
      </c>
      <c r="I17" s="146">
        <v>0</v>
      </c>
      <c r="J17" s="144">
        <f t="shared" si="0"/>
        <v>5001460</v>
      </c>
    </row>
    <row r="18" spans="1:10">
      <c r="A18" s="140">
        <v>8</v>
      </c>
      <c r="B18" s="99">
        <f>'O&amp;M'!B16</f>
        <v>43313</v>
      </c>
      <c r="C18" s="143">
        <v>4704000</v>
      </c>
      <c r="D18" s="143">
        <v>0</v>
      </c>
      <c r="E18" s="143">
        <v>123758</v>
      </c>
      <c r="F18" s="146">
        <v>0</v>
      </c>
      <c r="G18" s="146">
        <v>0</v>
      </c>
      <c r="H18" s="146">
        <v>0</v>
      </c>
      <c r="I18" s="146">
        <v>0</v>
      </c>
      <c r="J18" s="144">
        <f t="shared" si="0"/>
        <v>4827758</v>
      </c>
    </row>
    <row r="19" spans="1:10">
      <c r="A19" s="140">
        <v>9</v>
      </c>
      <c r="B19" s="99">
        <f>'O&amp;M'!B17</f>
        <v>43344</v>
      </c>
      <c r="C19" s="143">
        <v>4366000</v>
      </c>
      <c r="D19" s="143">
        <v>0</v>
      </c>
      <c r="E19" s="143">
        <v>119018</v>
      </c>
      <c r="F19" s="146">
        <v>0</v>
      </c>
      <c r="G19" s="146">
        <v>0</v>
      </c>
      <c r="H19" s="146">
        <v>0</v>
      </c>
      <c r="I19" s="146">
        <v>0</v>
      </c>
      <c r="J19" s="144">
        <f t="shared" si="0"/>
        <v>4485018</v>
      </c>
    </row>
    <row r="20" spans="1:10">
      <c r="A20" s="140">
        <v>10</v>
      </c>
      <c r="B20" s="99">
        <f>'O&amp;M'!B18</f>
        <v>43374</v>
      </c>
      <c r="C20" s="143">
        <v>3342000</v>
      </c>
      <c r="D20" s="143">
        <v>0</v>
      </c>
      <c r="E20" s="143">
        <v>83023</v>
      </c>
      <c r="F20" s="146">
        <v>0</v>
      </c>
      <c r="G20" s="146">
        <v>0</v>
      </c>
      <c r="H20" s="146">
        <v>0</v>
      </c>
      <c r="I20" s="146">
        <v>0</v>
      </c>
      <c r="J20" s="144">
        <f t="shared" si="0"/>
        <v>3425023</v>
      </c>
    </row>
    <row r="21" spans="1:10">
      <c r="A21" s="140">
        <v>11</v>
      </c>
      <c r="B21" s="99">
        <f>'O&amp;M'!B19</f>
        <v>43405</v>
      </c>
      <c r="C21" s="143">
        <v>3498000</v>
      </c>
      <c r="D21" s="143">
        <v>0</v>
      </c>
      <c r="E21" s="143">
        <v>78243</v>
      </c>
      <c r="F21" s="146">
        <v>0</v>
      </c>
      <c r="G21" s="146">
        <v>0</v>
      </c>
      <c r="H21" s="146">
        <v>0</v>
      </c>
      <c r="I21" s="146">
        <v>0</v>
      </c>
      <c r="J21" s="144">
        <f t="shared" si="0"/>
        <v>3576243</v>
      </c>
    </row>
    <row r="22" spans="1:10">
      <c r="A22" s="140">
        <v>12</v>
      </c>
      <c r="B22" s="99">
        <f>'O&amp;M'!B20</f>
        <v>43435</v>
      </c>
      <c r="C22" s="151">
        <v>3742000</v>
      </c>
      <c r="D22" s="151">
        <v>0</v>
      </c>
      <c r="E22" s="151">
        <v>92183</v>
      </c>
      <c r="F22" s="152">
        <v>0</v>
      </c>
      <c r="G22" s="152">
        <v>0</v>
      </c>
      <c r="H22" s="152">
        <v>0</v>
      </c>
      <c r="I22" s="152">
        <v>0</v>
      </c>
      <c r="J22" s="153">
        <f t="shared" si="0"/>
        <v>3834183</v>
      </c>
    </row>
    <row r="23" spans="1:10">
      <c r="A23" s="140">
        <v>13</v>
      </c>
      <c r="B23" s="40"/>
      <c r="C23" s="43"/>
      <c r="D23" s="43"/>
      <c r="E23" s="43"/>
      <c r="F23" s="43"/>
      <c r="G23" s="43"/>
      <c r="H23" s="43"/>
      <c r="I23" s="43"/>
      <c r="J23" s="42"/>
    </row>
    <row r="24" spans="1:10" ht="16.5" thickBot="1">
      <c r="A24" s="140">
        <v>14</v>
      </c>
      <c r="B24" s="108" t="s">
        <v>308</v>
      </c>
      <c r="C24" s="154">
        <f>AVERAGE(C11:C22)</f>
        <v>3917416.6666666665</v>
      </c>
      <c r="D24" s="154">
        <f t="shared" ref="D24:J24" si="1">AVERAGE(D11:D22)</f>
        <v>0</v>
      </c>
      <c r="E24" s="154">
        <f t="shared" si="1"/>
        <v>95501.083333333328</v>
      </c>
      <c r="F24" s="154">
        <f t="shared" si="1"/>
        <v>0</v>
      </c>
      <c r="G24" s="154">
        <f t="shared" si="1"/>
        <v>0</v>
      </c>
      <c r="H24" s="154">
        <f t="shared" si="1"/>
        <v>0</v>
      </c>
      <c r="I24" s="154">
        <f t="shared" si="1"/>
        <v>0</v>
      </c>
      <c r="J24" s="155">
        <f t="shared" si="1"/>
        <v>4012917.75</v>
      </c>
    </row>
    <row r="25" spans="1:10" ht="15.75" thickTop="1">
      <c r="A25" s="85"/>
      <c r="B25" s="91"/>
      <c r="C25" s="69"/>
      <c r="D25" s="69"/>
      <c r="E25" s="69"/>
      <c r="F25" s="69"/>
      <c r="G25" s="69"/>
      <c r="H25" s="69"/>
      <c r="I25" s="69"/>
      <c r="J25" s="92"/>
    </row>
  </sheetData>
  <pageMargins left="0.7" right="0.7" top="0.75" bottom="0.75" header="0.3" footer="0.3"/>
  <pageSetup scale="8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5"/>
  <sheetViews>
    <sheetView zoomScale="80" zoomScaleNormal="80" workbookViewId="0">
      <selection activeCell="M75" sqref="M75"/>
    </sheetView>
  </sheetViews>
  <sheetFormatPr defaultRowHeight="15"/>
  <cols>
    <col min="1" max="1" width="3.6640625" customWidth="1"/>
    <col min="2" max="2" width="25.44140625" customWidth="1"/>
    <col min="3" max="3" width="12.109375" customWidth="1"/>
    <col min="4" max="4" width="14" customWidth="1"/>
    <col min="5" max="5" width="14.33203125" customWidth="1"/>
    <col min="6" max="6" width="14.88671875" customWidth="1"/>
    <col min="7" max="9" width="14.5546875" customWidth="1"/>
    <col min="10" max="10" width="1" customWidth="1"/>
    <col min="11" max="11" width="13.6640625" customWidth="1"/>
    <col min="12" max="12" width="1.44140625" customWidth="1"/>
    <col min="13" max="13" width="15" customWidth="1"/>
    <col min="14" max="14" width="20.44140625" bestFit="1" customWidth="1"/>
    <col min="15" max="15" width="2.77734375" customWidth="1"/>
    <col min="16" max="16" width="9.77734375" customWidth="1"/>
  </cols>
  <sheetData>
    <row r="1" spans="1:16" s="41" customFormat="1" ht="20.25">
      <c r="A1" s="175" t="s">
        <v>280</v>
      </c>
      <c r="B1" s="176"/>
      <c r="C1" s="177"/>
      <c r="D1" s="176"/>
      <c r="E1" s="178" t="s">
        <v>719</v>
      </c>
      <c r="F1" s="179"/>
      <c r="G1" s="177"/>
      <c r="H1" s="177"/>
      <c r="I1" s="177"/>
      <c r="J1" s="180"/>
      <c r="K1" s="177"/>
      <c r="L1" s="180"/>
      <c r="M1" s="181"/>
      <c r="N1" s="181"/>
      <c r="O1" s="177"/>
      <c r="P1" s="177"/>
    </row>
    <row r="2" spans="1:16" s="41" customFormat="1" ht="15.75">
      <c r="A2" s="180"/>
      <c r="B2" s="176"/>
      <c r="C2" s="176"/>
      <c r="D2" s="176"/>
      <c r="E2" s="176"/>
      <c r="F2" s="179"/>
      <c r="G2" s="180"/>
      <c r="H2" s="180"/>
      <c r="I2" s="180"/>
      <c r="J2" s="180"/>
      <c r="K2" s="180"/>
      <c r="L2" s="180"/>
      <c r="M2" s="182"/>
      <c r="N2" s="183" t="s">
        <v>309</v>
      </c>
      <c r="O2" s="177"/>
      <c r="P2" s="177" t="s">
        <v>528</v>
      </c>
    </row>
    <row r="3" spans="1:16" s="41" customFormat="1" ht="16.5" thickBot="1">
      <c r="A3" s="184"/>
      <c r="B3" s="176"/>
      <c r="C3" s="176"/>
      <c r="D3" s="185" t="s">
        <v>310</v>
      </c>
      <c r="E3" s="186"/>
      <c r="F3" s="186"/>
      <c r="G3" s="186"/>
      <c r="H3" s="186"/>
      <c r="I3" s="186"/>
      <c r="J3" s="186"/>
      <c r="K3" s="186"/>
      <c r="L3" s="180"/>
      <c r="M3" s="182" t="s">
        <v>311</v>
      </c>
      <c r="N3" s="182" t="s">
        <v>312</v>
      </c>
      <c r="O3" s="177"/>
      <c r="P3" s="177"/>
    </row>
    <row r="4" spans="1:16" s="41" customFormat="1" ht="15.75">
      <c r="A4" s="187" t="s">
        <v>313</v>
      </c>
      <c r="B4" s="188"/>
      <c r="C4" s="189" t="s">
        <v>314</v>
      </c>
      <c r="D4" s="190" t="s">
        <v>315</v>
      </c>
      <c r="E4" s="191" t="s">
        <v>316</v>
      </c>
      <c r="F4" s="190" t="s">
        <v>539</v>
      </c>
      <c r="G4" s="190" t="s">
        <v>317</v>
      </c>
      <c r="H4" s="190" t="s">
        <v>540</v>
      </c>
      <c r="I4" s="190" t="s">
        <v>675</v>
      </c>
      <c r="J4" s="190"/>
      <c r="K4" s="190" t="s">
        <v>318</v>
      </c>
      <c r="L4" s="180"/>
      <c r="M4" s="192" t="s">
        <v>319</v>
      </c>
      <c r="N4" s="184" t="s">
        <v>320</v>
      </c>
      <c r="O4" s="177"/>
      <c r="P4" s="177"/>
    </row>
    <row r="5" spans="1:16" s="41" customFormat="1" ht="15.75">
      <c r="A5" s="179"/>
      <c r="B5" s="179"/>
      <c r="C5" s="193" t="s">
        <v>321</v>
      </c>
      <c r="D5" s="190" t="s">
        <v>322</v>
      </c>
      <c r="E5" s="190" t="s">
        <v>322</v>
      </c>
      <c r="F5" s="190" t="s">
        <v>322</v>
      </c>
      <c r="G5" s="190" t="s">
        <v>322</v>
      </c>
      <c r="H5" s="190" t="s">
        <v>322</v>
      </c>
      <c r="I5" s="190" t="s">
        <v>322</v>
      </c>
      <c r="J5" s="190"/>
      <c r="K5" s="190" t="s">
        <v>323</v>
      </c>
      <c r="L5" s="180"/>
      <c r="M5" s="182" t="s">
        <v>324</v>
      </c>
      <c r="N5" s="194" t="s">
        <v>720</v>
      </c>
      <c r="O5" s="177"/>
      <c r="P5" s="177"/>
    </row>
    <row r="6" spans="1:16" s="41" customFormat="1" ht="15.75">
      <c r="A6" s="179"/>
      <c r="B6" s="179"/>
      <c r="C6" s="193"/>
      <c r="D6" s="195">
        <v>0.80179299999999998</v>
      </c>
      <c r="E6" s="195">
        <v>9.6935999999999994E-2</v>
      </c>
      <c r="F6" s="195">
        <v>3.6120000000000002E-3</v>
      </c>
      <c r="G6" s="195">
        <v>6.8250000000000003E-3</v>
      </c>
      <c r="H6" s="195">
        <v>9.3799999999999994E-3</v>
      </c>
      <c r="I6" s="195">
        <v>4.7679999999999997E-3</v>
      </c>
      <c r="J6" s="196"/>
      <c r="K6" s="197">
        <f>SUM(D6:J6)</f>
        <v>0.92331399999999986</v>
      </c>
      <c r="L6" s="180"/>
      <c r="M6" s="182"/>
      <c r="N6" s="176"/>
      <c r="O6" s="198"/>
      <c r="P6" s="177"/>
    </row>
    <row r="7" spans="1:16" s="41" customFormat="1" ht="15.75">
      <c r="A7" s="179"/>
      <c r="B7" s="179"/>
      <c r="C7" s="193"/>
      <c r="D7" s="195" t="s">
        <v>541</v>
      </c>
      <c r="E7" s="199" t="s">
        <v>542</v>
      </c>
      <c r="F7" s="199" t="s">
        <v>542</v>
      </c>
      <c r="G7" s="199" t="s">
        <v>542</v>
      </c>
      <c r="H7" s="199" t="s">
        <v>542</v>
      </c>
      <c r="I7" s="199" t="s">
        <v>541</v>
      </c>
      <c r="J7" s="196"/>
      <c r="K7" s="200"/>
      <c r="L7" s="180"/>
      <c r="M7" s="182"/>
      <c r="N7" s="176"/>
      <c r="O7" s="177"/>
      <c r="P7" s="177"/>
    </row>
    <row r="8" spans="1:16" s="41" customFormat="1">
      <c r="A8" s="177"/>
      <c r="B8" s="177"/>
      <c r="C8" s="177" t="s">
        <v>721</v>
      </c>
      <c r="D8" s="202">
        <v>0.12</v>
      </c>
      <c r="E8" s="202">
        <v>9.5000000000000001E-2</v>
      </c>
      <c r="F8" s="202">
        <v>6.25E-2</v>
      </c>
      <c r="G8" s="202">
        <v>7.8100000000000003E-2</v>
      </c>
      <c r="H8" s="202">
        <v>0.06</v>
      </c>
      <c r="I8" s="202">
        <v>7.0000000000000007E-2</v>
      </c>
      <c r="J8" s="177"/>
      <c r="K8" s="177"/>
      <c r="L8" s="180"/>
      <c r="M8" s="177"/>
      <c r="N8" s="176"/>
      <c r="O8" s="177"/>
      <c r="P8" s="177"/>
    </row>
    <row r="9" spans="1:16" s="41" customFormat="1" ht="15.75">
      <c r="A9" s="201" t="s">
        <v>325</v>
      </c>
      <c r="B9" s="177"/>
      <c r="C9" s="67"/>
      <c r="D9" s="177"/>
      <c r="E9" s="177"/>
      <c r="F9" s="177"/>
      <c r="G9" s="177"/>
      <c r="H9" s="177"/>
      <c r="I9" s="177"/>
      <c r="J9" s="177"/>
      <c r="K9" s="177"/>
      <c r="L9" s="180"/>
      <c r="M9" s="177"/>
      <c r="N9" s="176"/>
      <c r="O9" s="177"/>
      <c r="P9" s="177"/>
    </row>
    <row r="10" spans="1:16" s="41" customFormat="1">
      <c r="A10" s="177" t="s">
        <v>326</v>
      </c>
      <c r="B10" s="177"/>
      <c r="C10" s="177"/>
      <c r="D10" s="202"/>
      <c r="E10" s="202"/>
      <c r="F10" s="202"/>
      <c r="G10" s="202"/>
      <c r="H10" s="202"/>
      <c r="I10" s="202"/>
      <c r="J10" s="202"/>
      <c r="K10" s="202"/>
      <c r="L10" s="180"/>
      <c r="M10" s="177"/>
      <c r="N10" s="177"/>
      <c r="O10" s="177"/>
      <c r="P10" s="177"/>
    </row>
    <row r="11" spans="1:16" s="41" customFormat="1">
      <c r="A11" s="177"/>
      <c r="B11" s="177" t="s">
        <v>327</v>
      </c>
      <c r="C11" s="203">
        <v>100000000</v>
      </c>
      <c r="D11" s="204">
        <f>$C$11*D6</f>
        <v>80179300</v>
      </c>
      <c r="E11" s="204">
        <f t="shared" ref="E11:H11" si="0">$C$11*E6</f>
        <v>9693600</v>
      </c>
      <c r="F11" s="204">
        <f t="shared" si="0"/>
        <v>361200</v>
      </c>
      <c r="G11" s="204">
        <f t="shared" si="0"/>
        <v>682500</v>
      </c>
      <c r="H11" s="204">
        <f t="shared" si="0"/>
        <v>938000</v>
      </c>
      <c r="I11" s="204">
        <f>$C$11*I6</f>
        <v>476799.99999999994</v>
      </c>
      <c r="J11" s="204"/>
      <c r="K11" s="204">
        <f>SUM(D11:J11)</f>
        <v>92331400</v>
      </c>
      <c r="L11" s="177"/>
      <c r="M11" s="204">
        <v>100000000</v>
      </c>
      <c r="N11" s="177"/>
      <c r="O11" s="177"/>
      <c r="P11" s="177"/>
    </row>
    <row r="12" spans="1:16" s="41" customFormat="1">
      <c r="A12" s="177"/>
      <c r="B12" s="177" t="s">
        <v>328</v>
      </c>
      <c r="C12" s="177"/>
      <c r="D12" s="205">
        <f>ROUND(D11*D8,0)</f>
        <v>9621516</v>
      </c>
      <c r="E12" s="204" t="s">
        <v>2</v>
      </c>
      <c r="F12" s="204" t="s">
        <v>2</v>
      </c>
      <c r="G12" s="204" t="s">
        <v>2</v>
      </c>
      <c r="H12" s="204"/>
      <c r="I12" s="204"/>
      <c r="J12" s="204"/>
      <c r="K12" s="204">
        <f t="shared" ref="K12:K18" si="1">SUM(D12:J12)</f>
        <v>9621516</v>
      </c>
      <c r="L12" s="177"/>
      <c r="M12" s="204">
        <v>7714283</v>
      </c>
      <c r="N12" s="206"/>
      <c r="O12" s="177"/>
      <c r="P12" s="177"/>
    </row>
    <row r="13" spans="1:16" s="41" customFormat="1">
      <c r="A13" s="177"/>
      <c r="B13" s="177" t="s">
        <v>329</v>
      </c>
      <c r="C13" s="177"/>
      <c r="D13" s="204" t="s">
        <v>2</v>
      </c>
      <c r="E13" s="205">
        <f>ROUND(E11*E8,0)</f>
        <v>920892</v>
      </c>
      <c r="F13" s="204" t="s">
        <v>2</v>
      </c>
      <c r="G13" s="204" t="s">
        <v>2</v>
      </c>
      <c r="H13" s="204"/>
      <c r="I13" s="204"/>
      <c r="J13" s="204"/>
      <c r="K13" s="204">
        <f t="shared" si="1"/>
        <v>920892</v>
      </c>
      <c r="L13" s="177"/>
      <c r="M13" s="204">
        <v>730655.40402200003</v>
      </c>
      <c r="N13" s="177"/>
      <c r="O13" s="177"/>
      <c r="P13" s="177"/>
    </row>
    <row r="14" spans="1:16" s="41" customFormat="1">
      <c r="A14" s="177"/>
      <c r="B14" s="177" t="s">
        <v>543</v>
      </c>
      <c r="C14" s="177"/>
      <c r="D14" s="204" t="s">
        <v>2</v>
      </c>
      <c r="E14" s="204" t="s">
        <v>2</v>
      </c>
      <c r="F14" s="205">
        <f>ROUND(F11*F8,0)</f>
        <v>22575</v>
      </c>
      <c r="G14" s="204" t="s">
        <v>2</v>
      </c>
      <c r="H14" s="204"/>
      <c r="I14" s="204"/>
      <c r="J14" s="204"/>
      <c r="K14" s="204">
        <f t="shared" si="1"/>
        <v>22575</v>
      </c>
      <c r="L14" s="177"/>
      <c r="M14" s="204">
        <v>1000</v>
      </c>
      <c r="N14" s="177"/>
      <c r="O14" s="177"/>
      <c r="P14" s="177"/>
    </row>
    <row r="15" spans="1:16" s="41" customFormat="1">
      <c r="A15" s="177"/>
      <c r="B15" s="177" t="s">
        <v>330</v>
      </c>
      <c r="C15" s="177"/>
      <c r="D15" s="207" t="s">
        <v>2</v>
      </c>
      <c r="E15" s="207" t="s">
        <v>2</v>
      </c>
      <c r="F15" s="207" t="s">
        <v>2</v>
      </c>
      <c r="G15" s="205">
        <f>ROUND(G11*G8,0)</f>
        <v>53303</v>
      </c>
      <c r="H15" s="207"/>
      <c r="I15" s="207"/>
      <c r="J15" s="207"/>
      <c r="K15" s="204">
        <f t="shared" si="1"/>
        <v>53303</v>
      </c>
      <c r="L15" s="177"/>
      <c r="M15" s="207">
        <v>16046.0637021</v>
      </c>
      <c r="N15" s="177"/>
      <c r="O15" s="177"/>
      <c r="P15" s="177"/>
    </row>
    <row r="16" spans="1:16" s="41" customFormat="1">
      <c r="A16" s="177"/>
      <c r="B16" s="177" t="s">
        <v>544</v>
      </c>
      <c r="C16" s="177"/>
      <c r="D16" s="207"/>
      <c r="E16" s="207"/>
      <c r="F16" s="207"/>
      <c r="G16" s="207"/>
      <c r="H16" s="205">
        <f>ROUND(H11*H8,0)</f>
        <v>56280</v>
      </c>
      <c r="I16" s="207"/>
      <c r="J16" s="207"/>
      <c r="K16" s="204">
        <f t="shared" si="1"/>
        <v>56280</v>
      </c>
      <c r="L16" s="177"/>
      <c r="M16" s="207">
        <v>75954</v>
      </c>
      <c r="N16" s="177"/>
      <c r="O16" s="177"/>
      <c r="P16" s="177"/>
    </row>
    <row r="17" spans="1:16" s="41" customFormat="1">
      <c r="A17" s="177"/>
      <c r="B17" s="177" t="s">
        <v>545</v>
      </c>
      <c r="C17" s="177"/>
      <c r="D17" s="207"/>
      <c r="E17" s="207"/>
      <c r="F17" s="207"/>
      <c r="G17" s="207"/>
      <c r="H17" s="207"/>
      <c r="I17" s="205">
        <f>ROUND(I11*I8,0)</f>
        <v>33376</v>
      </c>
      <c r="J17" s="207"/>
      <c r="K17" s="208">
        <f t="shared" si="1"/>
        <v>33376</v>
      </c>
      <c r="L17" s="177"/>
      <c r="M17" s="207">
        <v>6062</v>
      </c>
      <c r="N17" s="177"/>
      <c r="O17" s="177"/>
      <c r="P17" s="177"/>
    </row>
    <row r="18" spans="1:16" s="41" customFormat="1">
      <c r="A18" s="177" t="s">
        <v>331</v>
      </c>
      <c r="B18" s="177"/>
      <c r="C18" s="177"/>
      <c r="D18" s="209">
        <f>D11-D12</f>
        <v>70557784</v>
      </c>
      <c r="E18" s="209">
        <f>E11-E13</f>
        <v>8772708</v>
      </c>
      <c r="F18" s="209">
        <f>F11-F14</f>
        <v>338625</v>
      </c>
      <c r="G18" s="209">
        <f>G11-G15</f>
        <v>629197</v>
      </c>
      <c r="H18" s="209">
        <f>H11-H16</f>
        <v>881720</v>
      </c>
      <c r="I18" s="209">
        <f>I11-I17</f>
        <v>443423.99999999994</v>
      </c>
      <c r="J18" s="204"/>
      <c r="K18" s="207">
        <f t="shared" si="1"/>
        <v>81623458</v>
      </c>
      <c r="L18" s="177"/>
      <c r="M18" s="209">
        <f>M11-M12-M13-M14-M15-M16-M17</f>
        <v>91455999.5322759</v>
      </c>
      <c r="N18" s="177"/>
      <c r="O18" s="177"/>
      <c r="P18" s="177"/>
    </row>
    <row r="19" spans="1:16" s="41" customFormat="1" ht="15.75">
      <c r="A19" s="177" t="s">
        <v>332</v>
      </c>
      <c r="B19" s="177"/>
      <c r="C19" s="177"/>
      <c r="D19" s="210">
        <v>0.21</v>
      </c>
      <c r="E19" s="210">
        <v>0.21</v>
      </c>
      <c r="F19" s="210">
        <v>0.21</v>
      </c>
      <c r="G19" s="210">
        <v>0.21</v>
      </c>
      <c r="H19" s="210">
        <v>0.21</v>
      </c>
      <c r="I19" s="210">
        <v>0.21</v>
      </c>
      <c r="J19" s="211"/>
      <c r="K19" s="177"/>
      <c r="L19" s="177"/>
      <c r="M19" s="210">
        <v>0.21</v>
      </c>
      <c r="N19" s="177"/>
      <c r="O19" s="177"/>
      <c r="P19" s="177"/>
    </row>
    <row r="20" spans="1:16" s="41" customFormat="1" ht="15.75" thickBot="1">
      <c r="A20" s="177" t="s">
        <v>333</v>
      </c>
      <c r="B20" s="177"/>
      <c r="C20" s="177"/>
      <c r="D20" s="212">
        <f t="shared" ref="D20:I20" si="2">D18*D19</f>
        <v>14817134.639999999</v>
      </c>
      <c r="E20" s="212">
        <f t="shared" si="2"/>
        <v>1842268.68</v>
      </c>
      <c r="F20" s="212">
        <f t="shared" si="2"/>
        <v>71111.25</v>
      </c>
      <c r="G20" s="212">
        <f t="shared" si="2"/>
        <v>132131.37</v>
      </c>
      <c r="H20" s="212">
        <f t="shared" si="2"/>
        <v>185161.19999999998</v>
      </c>
      <c r="I20" s="212">
        <f t="shared" si="2"/>
        <v>93119.039999999979</v>
      </c>
      <c r="J20" s="207"/>
      <c r="K20" s="204">
        <f>SUM(D20:J20)</f>
        <v>17140926.179999996</v>
      </c>
      <c r="L20" s="177"/>
      <c r="M20" s="212">
        <f>M18*M19</f>
        <v>19205759.901777938</v>
      </c>
      <c r="N20" s="177"/>
      <c r="O20" s="177"/>
      <c r="P20" s="177"/>
    </row>
    <row r="21" spans="1:16" s="41" customFormat="1" ht="16.5" thickTop="1">
      <c r="A21" s="177"/>
      <c r="B21" s="177"/>
      <c r="C21" s="177"/>
      <c r="D21" s="213">
        <f t="shared" ref="D21:I21" si="3">D20/D11</f>
        <v>0.18479999999999999</v>
      </c>
      <c r="E21" s="213">
        <f t="shared" si="3"/>
        <v>0.19005</v>
      </c>
      <c r="F21" s="213">
        <f t="shared" si="3"/>
        <v>0.19687499999999999</v>
      </c>
      <c r="G21" s="213">
        <f t="shared" si="3"/>
        <v>0.19359907692307693</v>
      </c>
      <c r="H21" s="213">
        <f t="shared" si="3"/>
        <v>0.19739999999999999</v>
      </c>
      <c r="I21" s="213">
        <f t="shared" si="3"/>
        <v>0.19529999999999997</v>
      </c>
      <c r="J21" s="213"/>
      <c r="K21" s="213">
        <f>K20/K11</f>
        <v>0.18564568694940178</v>
      </c>
      <c r="L21" s="177"/>
      <c r="M21" s="235">
        <f>M20/M11</f>
        <v>0.19205759901777938</v>
      </c>
      <c r="N21" s="214">
        <v>0.21</v>
      </c>
      <c r="O21" s="177"/>
      <c r="P21" s="215">
        <f>M21</f>
        <v>0.19205759901777938</v>
      </c>
    </row>
    <row r="22" spans="1:16" s="41" customFormat="1" ht="15.75">
      <c r="A22" s="201" t="s">
        <v>334</v>
      </c>
      <c r="B22" s="177"/>
      <c r="C22" s="177"/>
      <c r="D22" s="177"/>
      <c r="E22" s="177"/>
      <c r="F22" s="177"/>
      <c r="G22" s="177"/>
      <c r="H22" s="177"/>
      <c r="I22" s="177"/>
      <c r="J22" s="177"/>
      <c r="K22" s="177"/>
      <c r="L22" s="177"/>
      <c r="M22" s="177"/>
      <c r="N22" s="177"/>
      <c r="O22" s="177"/>
      <c r="P22" s="177"/>
    </row>
    <row r="23" spans="1:16" s="41" customFormat="1">
      <c r="A23" s="177" t="s">
        <v>331</v>
      </c>
      <c r="B23" s="177"/>
      <c r="C23" s="177"/>
      <c r="D23" s="204">
        <f>D18</f>
        <v>70557784</v>
      </c>
      <c r="E23" s="207"/>
      <c r="F23" s="207"/>
      <c r="G23" s="207"/>
      <c r="H23" s="207"/>
      <c r="I23" s="207"/>
      <c r="J23" s="207"/>
      <c r="K23" s="177"/>
      <c r="L23" s="177"/>
      <c r="M23" s="204">
        <f>M18</f>
        <v>91455999.5322759</v>
      </c>
      <c r="N23" s="177"/>
      <c r="O23" s="177"/>
      <c r="P23" s="177"/>
    </row>
    <row r="24" spans="1:16" s="41" customFormat="1">
      <c r="A24" s="177"/>
      <c r="B24" s="177" t="s">
        <v>335</v>
      </c>
      <c r="C24" s="177"/>
      <c r="D24" s="204">
        <f>D12</f>
        <v>9621516</v>
      </c>
      <c r="E24" s="207"/>
      <c r="F24" s="207"/>
      <c r="G24" s="207"/>
      <c r="H24" s="207"/>
      <c r="I24" s="207"/>
      <c r="J24" s="207"/>
      <c r="K24" s="177"/>
      <c r="L24" s="177"/>
      <c r="M24" s="204">
        <f>M12</f>
        <v>7714283</v>
      </c>
      <c r="N24" s="177"/>
      <c r="O24" s="177"/>
      <c r="P24" s="177"/>
    </row>
    <row r="25" spans="1:16" s="41" customFormat="1">
      <c r="A25" s="177"/>
      <c r="B25" s="177" t="s">
        <v>336</v>
      </c>
      <c r="C25" s="177"/>
      <c r="D25" s="216">
        <f>D20*0.5</f>
        <v>7408567.3199999994</v>
      </c>
      <c r="E25" s="207"/>
      <c r="F25" s="207"/>
      <c r="G25" s="207"/>
      <c r="H25" s="207"/>
      <c r="I25" s="207"/>
      <c r="J25" s="207"/>
      <c r="K25" s="177"/>
      <c r="L25" s="177"/>
      <c r="M25" s="216">
        <f>M20*0.5</f>
        <v>9602879.950888969</v>
      </c>
      <c r="N25" s="177"/>
      <c r="O25" s="177"/>
      <c r="P25" s="177"/>
    </row>
    <row r="26" spans="1:16" s="41" customFormat="1">
      <c r="A26" s="177" t="s">
        <v>337</v>
      </c>
      <c r="B26" s="177"/>
      <c r="C26" s="177"/>
      <c r="D26" s="204">
        <f>D23+D24-D25</f>
        <v>72770732.680000007</v>
      </c>
      <c r="E26" s="207"/>
      <c r="F26" s="207"/>
      <c r="G26" s="207"/>
      <c r="H26" s="207"/>
      <c r="I26" s="207"/>
      <c r="J26" s="207"/>
      <c r="K26" s="177"/>
      <c r="L26" s="177"/>
      <c r="M26" s="204">
        <f>M23+M24-M25</f>
        <v>89567402.581386924</v>
      </c>
      <c r="N26" s="177"/>
      <c r="O26" s="177"/>
      <c r="P26" s="177"/>
    </row>
    <row r="27" spans="1:16" s="41" customFormat="1">
      <c r="A27" s="217" t="s">
        <v>338</v>
      </c>
      <c r="B27" s="217"/>
      <c r="C27" s="217"/>
      <c r="D27" s="218">
        <v>1</v>
      </c>
      <c r="E27" s="219"/>
      <c r="F27" s="219"/>
      <c r="G27" s="219"/>
      <c r="H27" s="219"/>
      <c r="I27" s="219"/>
      <c r="J27" s="219"/>
      <c r="K27" s="217"/>
      <c r="L27" s="217"/>
      <c r="M27" s="220">
        <f>D6</f>
        <v>0.80179299999999998</v>
      </c>
      <c r="N27" s="217"/>
      <c r="O27" s="217"/>
      <c r="P27" s="217"/>
    </row>
    <row r="28" spans="1:16" s="41" customFormat="1">
      <c r="A28" s="177" t="s">
        <v>339</v>
      </c>
      <c r="B28" s="177"/>
      <c r="C28" s="177"/>
      <c r="D28" s="204">
        <f>D26*D27</f>
        <v>72770732.680000007</v>
      </c>
      <c r="E28" s="207"/>
      <c r="F28" s="207"/>
      <c r="G28" s="207"/>
      <c r="H28" s="207"/>
      <c r="I28" s="207"/>
      <c r="J28" s="207"/>
      <c r="K28" s="177"/>
      <c r="L28" s="177"/>
      <c r="M28" s="205">
        <f>M26*M27</f>
        <v>71814516.417937964</v>
      </c>
      <c r="N28" s="177"/>
      <c r="O28" s="177"/>
      <c r="P28" s="177"/>
    </row>
    <row r="29" spans="1:16" s="41" customFormat="1" ht="15.75">
      <c r="A29" s="177" t="s">
        <v>340</v>
      </c>
      <c r="B29" s="177"/>
      <c r="C29" s="177"/>
      <c r="D29" s="210">
        <f>D8</f>
        <v>0.12</v>
      </c>
      <c r="E29" s="221"/>
      <c r="F29" s="221"/>
      <c r="G29" s="221"/>
      <c r="H29" s="221"/>
      <c r="I29" s="221"/>
      <c r="J29" s="221"/>
      <c r="K29" s="177"/>
      <c r="L29" s="177"/>
      <c r="M29" s="210">
        <f>D29</f>
        <v>0.12</v>
      </c>
      <c r="N29" s="177"/>
      <c r="O29" s="177"/>
      <c r="P29" s="177"/>
    </row>
    <row r="30" spans="1:16" s="41" customFormat="1" ht="15.75" thickBot="1">
      <c r="A30" s="177" t="s">
        <v>341</v>
      </c>
      <c r="B30" s="177"/>
      <c r="C30" s="177"/>
      <c r="D30" s="212">
        <f>D28*D29</f>
        <v>8732487.9216000009</v>
      </c>
      <c r="E30" s="207"/>
      <c r="F30" s="207"/>
      <c r="G30" s="207"/>
      <c r="H30" s="207"/>
      <c r="I30" s="207"/>
      <c r="J30" s="207"/>
      <c r="K30" s="204">
        <f>D30</f>
        <v>8732487.9216000009</v>
      </c>
      <c r="L30" s="177"/>
      <c r="M30" s="212">
        <f>M28*M29</f>
        <v>8617741.970152555</v>
      </c>
      <c r="N30" s="177"/>
      <c r="O30" s="177"/>
      <c r="P30" s="177"/>
    </row>
    <row r="31" spans="1:16" s="41" customFormat="1" ht="16.5" thickTop="1">
      <c r="A31" s="177"/>
      <c r="B31" s="177"/>
      <c r="C31" s="177"/>
      <c r="D31" s="213">
        <f>D30/D11</f>
        <v>0.10891200000000001</v>
      </c>
      <c r="E31" s="213"/>
      <c r="F31" s="213"/>
      <c r="G31" s="213"/>
      <c r="H31" s="213"/>
      <c r="I31" s="213"/>
      <c r="J31" s="213"/>
      <c r="K31" s="222">
        <f>K30/K11</f>
        <v>9.4577661787864156E-2</v>
      </c>
      <c r="L31" s="177"/>
      <c r="M31" s="213">
        <f>M30/M11</f>
        <v>8.6177419701525551E-2</v>
      </c>
      <c r="N31" s="222">
        <f>M31*(N83/M83)</f>
        <v>7.0117135315856241E-2</v>
      </c>
      <c r="O31" s="177"/>
      <c r="P31" s="215">
        <f>M31+M58</f>
        <v>8.6664909902232426E-2</v>
      </c>
    </row>
    <row r="32" spans="1:16" s="41" customFormat="1" ht="15.75">
      <c r="A32" s="201" t="s">
        <v>342</v>
      </c>
      <c r="B32" s="177"/>
      <c r="C32" s="177"/>
      <c r="D32" s="177"/>
      <c r="E32" s="223"/>
      <c r="F32" s="223"/>
      <c r="G32" s="223"/>
      <c r="H32" s="223"/>
      <c r="I32" s="223"/>
      <c r="J32" s="177"/>
      <c r="K32" s="177"/>
      <c r="L32" s="177"/>
      <c r="M32" s="177"/>
      <c r="N32" s="177"/>
      <c r="O32" s="177"/>
      <c r="P32" s="177"/>
    </row>
    <row r="33" spans="1:16" s="41" customFormat="1">
      <c r="A33" s="177" t="s">
        <v>331</v>
      </c>
      <c r="B33" s="177"/>
      <c r="C33" s="177"/>
      <c r="D33" s="207"/>
      <c r="E33" s="204">
        <f>E18</f>
        <v>8772708</v>
      </c>
      <c r="F33" s="207"/>
      <c r="G33" s="207"/>
      <c r="H33" s="207"/>
      <c r="I33" s="207"/>
      <c r="J33" s="207"/>
      <c r="K33" s="177"/>
      <c r="L33" s="177"/>
      <c r="M33" s="204">
        <f>M18</f>
        <v>91455999.5322759</v>
      </c>
      <c r="N33" s="177"/>
      <c r="O33" s="177"/>
      <c r="P33" s="177"/>
    </row>
    <row r="34" spans="1:16" s="41" customFormat="1">
      <c r="A34" s="177"/>
      <c r="B34" s="177" t="s">
        <v>343</v>
      </c>
      <c r="C34" s="177"/>
      <c r="D34" s="207"/>
      <c r="E34" s="216">
        <f>E13</f>
        <v>920892</v>
      </c>
      <c r="F34" s="207"/>
      <c r="G34" s="207"/>
      <c r="H34" s="207"/>
      <c r="I34" s="207"/>
      <c r="J34" s="207"/>
      <c r="K34" s="177"/>
      <c r="L34" s="177"/>
      <c r="M34" s="216">
        <f>M13</f>
        <v>730655.40402200003</v>
      </c>
      <c r="N34" s="177"/>
      <c r="O34" s="177"/>
      <c r="P34" s="177"/>
    </row>
    <row r="35" spans="1:16" s="41" customFormat="1">
      <c r="A35" s="177" t="s">
        <v>344</v>
      </c>
      <c r="B35" s="177"/>
      <c r="C35" s="177"/>
      <c r="D35" s="207"/>
      <c r="E35" s="204">
        <f>E33+E34</f>
        <v>9693600</v>
      </c>
      <c r="F35" s="207"/>
      <c r="G35" s="207"/>
      <c r="H35" s="207"/>
      <c r="I35" s="207"/>
      <c r="J35" s="207"/>
      <c r="K35" s="177"/>
      <c r="L35" s="177"/>
      <c r="M35" s="204">
        <f>M33+M34</f>
        <v>92186654.936297894</v>
      </c>
      <c r="N35" s="177"/>
      <c r="O35" s="177"/>
      <c r="P35" s="177"/>
    </row>
    <row r="36" spans="1:16" s="41" customFormat="1">
      <c r="A36" s="217" t="s">
        <v>345</v>
      </c>
      <c r="B36" s="217"/>
      <c r="C36" s="217"/>
      <c r="D36" s="219"/>
      <c r="E36" s="218">
        <v>1</v>
      </c>
      <c r="F36" s="219"/>
      <c r="G36" s="219"/>
      <c r="H36" s="219"/>
      <c r="I36" s="219"/>
      <c r="J36" s="219"/>
      <c r="K36" s="217"/>
      <c r="L36" s="217"/>
      <c r="M36" s="220">
        <f>E6</f>
        <v>9.6935999999999994E-2</v>
      </c>
      <c r="N36" s="217"/>
      <c r="O36" s="217"/>
      <c r="P36" s="217"/>
    </row>
    <row r="37" spans="1:16" s="41" customFormat="1">
      <c r="A37" s="177" t="s">
        <v>346</v>
      </c>
      <c r="B37" s="177"/>
      <c r="C37" s="177"/>
      <c r="D37" s="207"/>
      <c r="E37" s="204">
        <f>E35*E36</f>
        <v>9693600</v>
      </c>
      <c r="F37" s="207"/>
      <c r="G37" s="207"/>
      <c r="H37" s="207"/>
      <c r="I37" s="207"/>
      <c r="J37" s="207"/>
      <c r="K37" s="177"/>
      <c r="L37" s="177"/>
      <c r="M37" s="204">
        <f>M35*M36</f>
        <v>8936205.5829049721</v>
      </c>
      <c r="N37" s="177"/>
      <c r="O37" s="177"/>
      <c r="P37" s="177"/>
    </row>
    <row r="38" spans="1:16" s="41" customFormat="1" ht="15.75">
      <c r="A38" s="177" t="s">
        <v>347</v>
      </c>
      <c r="B38" s="177"/>
      <c r="C38" s="177"/>
      <c r="D38" s="221"/>
      <c r="E38" s="210">
        <f>E8</f>
        <v>9.5000000000000001E-2</v>
      </c>
      <c r="F38" s="221"/>
      <c r="G38" s="221"/>
      <c r="H38" s="221"/>
      <c r="I38" s="221"/>
      <c r="J38" s="221"/>
      <c r="K38" s="177"/>
      <c r="L38" s="177"/>
      <c r="M38" s="210">
        <f>E38</f>
        <v>9.5000000000000001E-2</v>
      </c>
      <c r="N38" s="177"/>
      <c r="O38" s="177"/>
      <c r="P38" s="177"/>
    </row>
    <row r="39" spans="1:16" s="41" customFormat="1" ht="15.75" thickBot="1">
      <c r="A39" s="177" t="s">
        <v>348</v>
      </c>
      <c r="B39" s="177"/>
      <c r="C39" s="177"/>
      <c r="D39" s="207"/>
      <c r="E39" s="212">
        <f>E37*E38</f>
        <v>920892</v>
      </c>
      <c r="F39" s="207"/>
      <c r="G39" s="207"/>
      <c r="H39" s="207"/>
      <c r="I39" s="207"/>
      <c r="J39" s="207"/>
      <c r="K39" s="204">
        <f>E39</f>
        <v>920892</v>
      </c>
      <c r="L39" s="177"/>
      <c r="M39" s="212">
        <f>M37*M38</f>
        <v>848939.53037597239</v>
      </c>
      <c r="N39" s="177"/>
      <c r="O39" s="177"/>
      <c r="P39" s="177"/>
    </row>
    <row r="40" spans="1:16" s="41" customFormat="1" ht="16.5" thickTop="1">
      <c r="A40" s="177"/>
      <c r="B40" s="177"/>
      <c r="C40" s="177"/>
      <c r="D40" s="213"/>
      <c r="E40" s="213">
        <f>E39/E11</f>
        <v>9.5000000000000001E-2</v>
      </c>
      <c r="F40" s="213"/>
      <c r="G40" s="213"/>
      <c r="H40" s="213"/>
      <c r="I40" s="213"/>
      <c r="J40" s="213"/>
      <c r="K40" s="222">
        <f>K39/K11</f>
        <v>9.9737684038149529E-3</v>
      </c>
      <c r="L40" s="177"/>
      <c r="M40" s="213">
        <f>M39/M11</f>
        <v>8.4893953037597242E-3</v>
      </c>
      <c r="N40" s="222">
        <f>M40*(N83/M83)</f>
        <v>6.9072859378380485E-3</v>
      </c>
      <c r="O40" s="177"/>
      <c r="P40" s="215">
        <f>M40</f>
        <v>8.4893953037597242E-3</v>
      </c>
    </row>
    <row r="41" spans="1:16" s="41" customFormat="1" ht="15.75">
      <c r="A41" s="201" t="s">
        <v>546</v>
      </c>
      <c r="B41" s="177"/>
      <c r="C41" s="177"/>
      <c r="D41" s="204"/>
      <c r="E41" s="204"/>
      <c r="F41" s="204"/>
      <c r="G41" s="204"/>
      <c r="H41" s="204"/>
      <c r="I41" s="204"/>
      <c r="J41" s="204"/>
      <c r="K41" s="177"/>
      <c r="L41" s="177"/>
      <c r="M41" s="204"/>
      <c r="N41" s="177"/>
      <c r="O41" s="177"/>
      <c r="P41" s="177"/>
    </row>
    <row r="42" spans="1:16" s="41" customFormat="1">
      <c r="A42" s="177" t="s">
        <v>331</v>
      </c>
      <c r="B42" s="177"/>
      <c r="C42" s="177"/>
      <c r="D42" s="207"/>
      <c r="E42" s="207"/>
      <c r="F42" s="204">
        <f>F18</f>
        <v>338625</v>
      </c>
      <c r="G42" s="207"/>
      <c r="H42" s="207"/>
      <c r="I42" s="207"/>
      <c r="J42" s="207"/>
      <c r="K42" s="177"/>
      <c r="L42" s="177"/>
      <c r="M42" s="204">
        <f>M18</f>
        <v>91455999.5322759</v>
      </c>
      <c r="N42" s="177"/>
      <c r="O42" s="177"/>
      <c r="P42" s="177"/>
    </row>
    <row r="43" spans="1:16" s="41" customFormat="1">
      <c r="A43" s="177"/>
      <c r="B43" s="177" t="s">
        <v>547</v>
      </c>
      <c r="C43" s="177"/>
      <c r="D43" s="224"/>
      <c r="E43" s="224"/>
      <c r="F43" s="216">
        <f>F14</f>
        <v>22575</v>
      </c>
      <c r="G43" s="224"/>
      <c r="H43" s="224"/>
      <c r="I43" s="224"/>
      <c r="J43" s="224"/>
      <c r="K43" s="177"/>
      <c r="L43" s="177"/>
      <c r="M43" s="216">
        <f>SUM(M12:M17)</f>
        <v>8544000.4677241016</v>
      </c>
      <c r="N43" s="177"/>
      <c r="O43" s="177"/>
      <c r="P43" s="177"/>
    </row>
    <row r="44" spans="1:16" s="41" customFormat="1">
      <c r="A44" s="177" t="s">
        <v>548</v>
      </c>
      <c r="B44" s="177"/>
      <c r="C44" s="177"/>
      <c r="D44" s="207"/>
      <c r="E44" s="207"/>
      <c r="F44" s="204">
        <f>F42+F43</f>
        <v>361200</v>
      </c>
      <c r="G44" s="207"/>
      <c r="H44" s="207"/>
      <c r="I44" s="207"/>
      <c r="J44" s="207"/>
      <c r="K44" s="177"/>
      <c r="L44" s="177"/>
      <c r="M44" s="204">
        <f>M42+M43</f>
        <v>100000000</v>
      </c>
      <c r="N44" s="177"/>
      <c r="O44" s="177"/>
      <c r="P44" s="177"/>
    </row>
    <row r="45" spans="1:16" s="41" customFormat="1">
      <c r="A45" s="217" t="s">
        <v>549</v>
      </c>
      <c r="B45" s="217"/>
      <c r="C45" s="217"/>
      <c r="D45" s="219"/>
      <c r="E45" s="219"/>
      <c r="F45" s="218">
        <v>1</v>
      </c>
      <c r="G45" s="219"/>
      <c r="H45" s="219"/>
      <c r="I45" s="219"/>
      <c r="J45" s="219"/>
      <c r="K45" s="217"/>
      <c r="L45" s="217"/>
      <c r="M45" s="220">
        <f>F6</f>
        <v>3.6120000000000002E-3</v>
      </c>
      <c r="N45" s="217"/>
      <c r="O45" s="217"/>
      <c r="P45" s="217"/>
    </row>
    <row r="46" spans="1:16" s="41" customFormat="1">
      <c r="A46" s="177" t="s">
        <v>550</v>
      </c>
      <c r="B46" s="177"/>
      <c r="C46" s="177"/>
      <c r="D46" s="207"/>
      <c r="E46" s="207"/>
      <c r="F46" s="204">
        <f>F44*F45</f>
        <v>361200</v>
      </c>
      <c r="G46" s="207"/>
      <c r="H46" s="207"/>
      <c r="I46" s="207"/>
      <c r="J46" s="207"/>
      <c r="K46" s="177"/>
      <c r="L46" s="177"/>
      <c r="M46" s="204">
        <f>M44*M45</f>
        <v>361200</v>
      </c>
      <c r="N46" s="177"/>
      <c r="O46" s="177"/>
      <c r="P46" s="177"/>
    </row>
    <row r="47" spans="1:16" s="41" customFormat="1" ht="15.75">
      <c r="A47" s="177" t="s">
        <v>551</v>
      </c>
      <c r="B47" s="177"/>
      <c r="C47" s="177"/>
      <c r="D47" s="221"/>
      <c r="E47" s="221"/>
      <c r="F47" s="210">
        <f>F8</f>
        <v>6.25E-2</v>
      </c>
      <c r="G47" s="221"/>
      <c r="H47" s="221"/>
      <c r="I47" s="221"/>
      <c r="J47" s="221"/>
      <c r="K47" s="177"/>
      <c r="L47" s="177"/>
      <c r="M47" s="210">
        <f>F47</f>
        <v>6.25E-2</v>
      </c>
      <c r="N47" s="177"/>
      <c r="O47" s="177"/>
      <c r="P47" s="177"/>
    </row>
    <row r="48" spans="1:16" s="41" customFormat="1" ht="15.75" thickBot="1">
      <c r="A48" s="177" t="s">
        <v>552</v>
      </c>
      <c r="B48" s="177"/>
      <c r="C48" s="177"/>
      <c r="D48" s="224"/>
      <c r="E48" s="224"/>
      <c r="F48" s="212">
        <f>F46*F47</f>
        <v>22575</v>
      </c>
      <c r="G48" s="224"/>
      <c r="H48" s="224"/>
      <c r="I48" s="224"/>
      <c r="J48" s="224"/>
      <c r="K48" s="204">
        <f>F48</f>
        <v>22575</v>
      </c>
      <c r="L48" s="177"/>
      <c r="M48" s="212">
        <f>M46*M47</f>
        <v>22575</v>
      </c>
      <c r="N48" s="177"/>
      <c r="O48" s="177"/>
      <c r="P48" s="177"/>
    </row>
    <row r="49" spans="1:16" s="41" customFormat="1" ht="16.5" thickTop="1">
      <c r="A49" s="177"/>
      <c r="B49" s="177"/>
      <c r="C49" s="177"/>
      <c r="D49" s="213"/>
      <c r="E49" s="213"/>
      <c r="F49" s="213">
        <f>F48/F11</f>
        <v>6.25E-2</v>
      </c>
      <c r="G49" s="213"/>
      <c r="H49" s="213"/>
      <c r="I49" s="213"/>
      <c r="J49" s="213"/>
      <c r="K49" s="222">
        <f>K48/K11</f>
        <v>2.4449970432593895E-4</v>
      </c>
      <c r="L49" s="177"/>
      <c r="M49" s="213">
        <f>M48/M11</f>
        <v>2.2575000000000001E-4</v>
      </c>
      <c r="N49" s="222">
        <f>M49*(N83/M83)</f>
        <v>1.8367854772605049E-4</v>
      </c>
      <c r="O49" s="177"/>
      <c r="P49" s="215">
        <f>M49</f>
        <v>2.2575000000000001E-4</v>
      </c>
    </row>
    <row r="50" spans="1:16" s="41" customFormat="1" ht="15.75">
      <c r="A50" s="201" t="s">
        <v>349</v>
      </c>
      <c r="B50" s="177"/>
      <c r="C50" s="177"/>
      <c r="D50" s="177"/>
      <c r="E50" s="177"/>
      <c r="F50" s="177"/>
      <c r="G50" s="177"/>
      <c r="H50" s="177"/>
      <c r="I50" s="177"/>
      <c r="J50" s="177"/>
      <c r="K50" s="177"/>
      <c r="L50" s="177"/>
      <c r="M50" s="177"/>
      <c r="N50" s="177"/>
      <c r="O50" s="177"/>
      <c r="P50" s="177"/>
    </row>
    <row r="51" spans="1:16" s="41" customFormat="1">
      <c r="A51" s="177" t="s">
        <v>331</v>
      </c>
      <c r="B51" s="177"/>
      <c r="C51" s="177"/>
      <c r="D51" s="207"/>
      <c r="E51" s="207"/>
      <c r="F51" s="207"/>
      <c r="G51" s="204">
        <f>G18</f>
        <v>629197</v>
      </c>
      <c r="H51" s="204"/>
      <c r="I51" s="204"/>
      <c r="J51" s="204"/>
      <c r="K51" s="177"/>
      <c r="L51" s="177"/>
      <c r="M51" s="204">
        <f>M18</f>
        <v>91455999.5322759</v>
      </c>
      <c r="N51" s="177"/>
      <c r="O51" s="177"/>
      <c r="P51" s="177"/>
    </row>
    <row r="52" spans="1:16" s="41" customFormat="1">
      <c r="A52" s="177"/>
      <c r="B52" s="177" t="s">
        <v>553</v>
      </c>
      <c r="C52" s="177"/>
      <c r="D52" s="225"/>
      <c r="E52" s="225"/>
      <c r="F52" s="225"/>
      <c r="G52" s="226" t="s">
        <v>350</v>
      </c>
      <c r="H52" s="225"/>
      <c r="I52" s="225"/>
      <c r="J52" s="225"/>
      <c r="K52" s="177"/>
      <c r="L52" s="177"/>
      <c r="M52" s="226" t="s">
        <v>350</v>
      </c>
      <c r="N52" s="177"/>
      <c r="O52" s="177"/>
      <c r="P52" s="177"/>
    </row>
    <row r="53" spans="1:16" s="41" customFormat="1">
      <c r="A53" s="177" t="s">
        <v>351</v>
      </c>
      <c r="B53" s="177"/>
      <c r="C53" s="177"/>
      <c r="D53" s="207"/>
      <c r="E53" s="207"/>
      <c r="F53" s="207"/>
      <c r="G53" s="204">
        <f>G51</f>
        <v>629197</v>
      </c>
      <c r="H53" s="204"/>
      <c r="I53" s="204"/>
      <c r="J53" s="204"/>
      <c r="K53" s="177"/>
      <c r="L53" s="177"/>
      <c r="M53" s="204">
        <f>M51</f>
        <v>91455999.5322759</v>
      </c>
      <c r="N53" s="177"/>
      <c r="O53" s="177"/>
      <c r="P53" s="177"/>
    </row>
    <row r="54" spans="1:16" s="41" customFormat="1">
      <c r="A54" s="217" t="s">
        <v>352</v>
      </c>
      <c r="B54" s="217"/>
      <c r="C54" s="217"/>
      <c r="D54" s="219"/>
      <c r="E54" s="219"/>
      <c r="F54" s="219"/>
      <c r="G54" s="218">
        <v>1</v>
      </c>
      <c r="H54" s="219"/>
      <c r="I54" s="219"/>
      <c r="J54" s="219"/>
      <c r="K54" s="217"/>
      <c r="L54" s="217"/>
      <c r="M54" s="220">
        <f>G6</f>
        <v>6.8250000000000003E-3</v>
      </c>
      <c r="N54" s="217"/>
      <c r="O54" s="217"/>
      <c r="P54" s="217"/>
    </row>
    <row r="55" spans="1:16" s="41" customFormat="1">
      <c r="A55" s="177" t="s">
        <v>353</v>
      </c>
      <c r="B55" s="177"/>
      <c r="C55" s="177"/>
      <c r="D55" s="207"/>
      <c r="E55" s="207"/>
      <c r="F55" s="207"/>
      <c r="G55" s="204">
        <f>G53*G54</f>
        <v>629197</v>
      </c>
      <c r="H55" s="204"/>
      <c r="I55" s="204"/>
      <c r="J55" s="204"/>
      <c r="K55" s="177"/>
      <c r="L55" s="177"/>
      <c r="M55" s="204">
        <f>M53*M54</f>
        <v>624187.1968077831</v>
      </c>
      <c r="N55" s="177"/>
      <c r="O55" s="177"/>
      <c r="P55" s="177"/>
    </row>
    <row r="56" spans="1:16" s="41" customFormat="1" ht="15.75">
      <c r="A56" s="177" t="s">
        <v>354</v>
      </c>
      <c r="B56" s="177"/>
      <c r="C56" s="177"/>
      <c r="D56" s="221"/>
      <c r="E56" s="221"/>
      <c r="F56" s="221"/>
      <c r="G56" s="210">
        <f>G8</f>
        <v>7.8100000000000003E-2</v>
      </c>
      <c r="H56" s="211"/>
      <c r="I56" s="211"/>
      <c r="J56" s="211"/>
      <c r="K56" s="227"/>
      <c r="L56" s="227"/>
      <c r="M56" s="210">
        <f>G56</f>
        <v>7.8100000000000003E-2</v>
      </c>
      <c r="N56" s="177"/>
      <c r="O56" s="177"/>
      <c r="P56" s="177"/>
    </row>
    <row r="57" spans="1:16" s="41" customFormat="1" ht="15.75" thickBot="1">
      <c r="A57" s="177" t="s">
        <v>355</v>
      </c>
      <c r="B57" s="177"/>
      <c r="C57" s="177"/>
      <c r="D57" s="207"/>
      <c r="E57" s="207"/>
      <c r="F57" s="207"/>
      <c r="G57" s="212">
        <f>G55*G56</f>
        <v>49140.2857</v>
      </c>
      <c r="H57" s="207"/>
      <c r="I57" s="207"/>
      <c r="J57" s="207"/>
      <c r="K57" s="204">
        <f>G57</f>
        <v>49140.2857</v>
      </c>
      <c r="L57" s="177"/>
      <c r="M57" s="212">
        <f>M55*M56</f>
        <v>48749.02007068786</v>
      </c>
      <c r="N57" s="177"/>
      <c r="O57" s="177"/>
      <c r="P57" s="177"/>
    </row>
    <row r="58" spans="1:16" s="41" customFormat="1" ht="16.5" thickTop="1">
      <c r="A58" s="228" t="s">
        <v>356</v>
      </c>
      <c r="B58" s="180"/>
      <c r="C58" s="177"/>
      <c r="D58" s="213"/>
      <c r="E58" s="213"/>
      <c r="F58" s="213"/>
      <c r="G58" s="213">
        <f>G57/G11</f>
        <v>7.2000418608058614E-2</v>
      </c>
      <c r="H58" s="213"/>
      <c r="I58" s="213"/>
      <c r="J58" s="213"/>
      <c r="K58" s="222">
        <f>K57/K11</f>
        <v>5.3221640417019564E-4</v>
      </c>
      <c r="L58" s="177"/>
      <c r="M58" s="213">
        <f>M57/M11</f>
        <v>4.8749020070687862E-4</v>
      </c>
      <c r="N58" s="222">
        <f>M58*(N83/M83)</f>
        <v>3.9664005358370027E-4</v>
      </c>
      <c r="O58" s="177"/>
      <c r="P58" s="177" t="s">
        <v>529</v>
      </c>
    </row>
    <row r="59" spans="1:16" s="41" customFormat="1" ht="15.75">
      <c r="A59" s="228" t="s">
        <v>357</v>
      </c>
      <c r="B59" s="180"/>
      <c r="C59" s="177"/>
      <c r="D59" s="213"/>
      <c r="E59" s="213"/>
      <c r="F59" s="213"/>
      <c r="G59" s="213"/>
      <c r="H59" s="213"/>
      <c r="I59" s="213"/>
      <c r="J59" s="213"/>
      <c r="K59" s="222"/>
      <c r="L59" s="177"/>
      <c r="M59" s="213"/>
      <c r="N59" s="222"/>
      <c r="O59" s="177"/>
      <c r="P59" s="177"/>
    </row>
    <row r="60" spans="1:16" s="41" customFormat="1" ht="15.75">
      <c r="A60" s="177"/>
      <c r="B60" s="177"/>
      <c r="C60" s="177"/>
      <c r="D60" s="213"/>
      <c r="E60" s="213"/>
      <c r="F60" s="213"/>
      <c r="G60" s="213"/>
      <c r="H60" s="213"/>
      <c r="I60" s="213"/>
      <c r="J60" s="213"/>
      <c r="K60" s="222"/>
      <c r="L60" s="177"/>
      <c r="M60" s="215"/>
      <c r="N60" s="215"/>
      <c r="O60" s="177"/>
      <c r="P60" s="177"/>
    </row>
    <row r="61" spans="1:16" s="41" customFormat="1" ht="15.75">
      <c r="A61" s="201" t="s">
        <v>554</v>
      </c>
      <c r="B61" s="177"/>
      <c r="C61" s="177"/>
      <c r="D61" s="213"/>
      <c r="E61" s="213"/>
      <c r="F61" s="213"/>
      <c r="G61" s="213"/>
      <c r="H61" s="213"/>
      <c r="I61" s="213"/>
      <c r="J61" s="213"/>
      <c r="K61" s="222"/>
      <c r="L61" s="177"/>
      <c r="M61" s="215"/>
      <c r="N61" s="215"/>
      <c r="O61" s="177"/>
      <c r="P61" s="177"/>
    </row>
    <row r="62" spans="1:16" s="41" customFormat="1" ht="15.75">
      <c r="A62" s="177" t="s">
        <v>331</v>
      </c>
      <c r="B62" s="177"/>
      <c r="C62" s="177"/>
      <c r="D62" s="213"/>
      <c r="E62" s="213"/>
      <c r="F62" s="213"/>
      <c r="G62" s="213"/>
      <c r="H62" s="204">
        <f>H18</f>
        <v>881720</v>
      </c>
      <c r="I62" s="213"/>
      <c r="J62" s="213"/>
      <c r="K62" s="222"/>
      <c r="L62" s="177"/>
      <c r="M62" s="204">
        <f>M18</f>
        <v>91455999.5322759</v>
      </c>
      <c r="N62" s="215"/>
      <c r="O62" s="177"/>
      <c r="P62" s="177"/>
    </row>
    <row r="63" spans="1:16" s="41" customFormat="1" ht="15.75">
      <c r="A63" s="177"/>
      <c r="B63" s="177" t="s">
        <v>555</v>
      </c>
      <c r="C63" s="177"/>
      <c r="D63" s="213"/>
      <c r="E63" s="213"/>
      <c r="F63" s="213"/>
      <c r="G63" s="213"/>
      <c r="H63" s="229">
        <f>H16</f>
        <v>56280</v>
      </c>
      <c r="I63" s="213"/>
      <c r="J63" s="213"/>
      <c r="K63" s="222"/>
      <c r="L63" s="177"/>
      <c r="M63" s="216">
        <f>SUM(M12:M17)</f>
        <v>8544000.4677241016</v>
      </c>
      <c r="N63" s="215"/>
      <c r="O63" s="177"/>
      <c r="P63" s="177"/>
    </row>
    <row r="64" spans="1:16" s="41" customFormat="1" ht="15.75">
      <c r="A64" s="177" t="s">
        <v>556</v>
      </c>
      <c r="B64" s="177"/>
      <c r="C64" s="177"/>
      <c r="D64" s="213"/>
      <c r="E64" s="213"/>
      <c r="F64" s="213"/>
      <c r="G64" s="213"/>
      <c r="H64" s="204">
        <f>H62+H63</f>
        <v>938000</v>
      </c>
      <c r="I64" s="213"/>
      <c r="J64" s="213"/>
      <c r="K64" s="222"/>
      <c r="L64" s="177"/>
      <c r="M64" s="204">
        <f>M62+M63</f>
        <v>100000000</v>
      </c>
      <c r="N64" s="215"/>
      <c r="O64" s="177"/>
      <c r="P64" s="177"/>
    </row>
    <row r="65" spans="1:16" ht="15.75">
      <c r="A65" s="217" t="s">
        <v>557</v>
      </c>
      <c r="B65" s="217"/>
      <c r="C65" s="177"/>
      <c r="D65" s="213"/>
      <c r="E65" s="213"/>
      <c r="F65" s="213"/>
      <c r="G65" s="213"/>
      <c r="H65" s="218">
        <v>1</v>
      </c>
      <c r="I65" s="213"/>
      <c r="J65" s="213"/>
      <c r="K65" s="222"/>
      <c r="L65" s="177"/>
      <c r="M65" s="220">
        <f>H6</f>
        <v>9.3799999999999994E-3</v>
      </c>
      <c r="N65" s="215"/>
      <c r="O65" s="177"/>
      <c r="P65" s="177"/>
    </row>
    <row r="66" spans="1:16" ht="15.75">
      <c r="A66" s="177" t="s">
        <v>558</v>
      </c>
      <c r="B66" s="177"/>
      <c r="C66" s="177"/>
      <c r="D66" s="213"/>
      <c r="E66" s="213"/>
      <c r="F66" s="213"/>
      <c r="G66" s="213"/>
      <c r="H66" s="204">
        <f>H64*H65</f>
        <v>938000</v>
      </c>
      <c r="I66" s="213"/>
      <c r="J66" s="213"/>
      <c r="K66" s="222"/>
      <c r="L66" s="177"/>
      <c r="M66" s="204">
        <f>M64*M65</f>
        <v>938000</v>
      </c>
      <c r="N66" s="215"/>
      <c r="O66" s="177"/>
      <c r="P66" s="177"/>
    </row>
    <row r="67" spans="1:16" ht="15.75">
      <c r="A67" s="177" t="s">
        <v>559</v>
      </c>
      <c r="B67" s="177"/>
      <c r="C67" s="177"/>
      <c r="D67" s="213"/>
      <c r="E67" s="213"/>
      <c r="F67" s="213"/>
      <c r="G67" s="213"/>
      <c r="H67" s="210">
        <f>H8</f>
        <v>0.06</v>
      </c>
      <c r="I67" s="213"/>
      <c r="J67" s="213"/>
      <c r="K67" s="222"/>
      <c r="L67" s="177"/>
      <c r="M67" s="210">
        <f>H67</f>
        <v>0.06</v>
      </c>
      <c r="N67" s="215"/>
      <c r="O67" s="177"/>
      <c r="P67" s="177"/>
    </row>
    <row r="68" spans="1:16" ht="16.5" thickBot="1">
      <c r="A68" s="177" t="s">
        <v>560</v>
      </c>
      <c r="B68" s="177"/>
      <c r="C68" s="177"/>
      <c r="D68" s="213"/>
      <c r="E68" s="213"/>
      <c r="F68" s="213"/>
      <c r="G68" s="213"/>
      <c r="H68" s="212">
        <f>H66*H67</f>
        <v>56280</v>
      </c>
      <c r="I68" s="213"/>
      <c r="J68" s="213"/>
      <c r="K68" s="204">
        <f>H68</f>
        <v>56280</v>
      </c>
      <c r="L68" s="177"/>
      <c r="M68" s="212">
        <f>M66*M67</f>
        <v>56280</v>
      </c>
      <c r="N68" s="215"/>
      <c r="O68" s="177"/>
      <c r="P68" s="177"/>
    </row>
    <row r="69" spans="1:16" ht="16.5" thickTop="1">
      <c r="A69" s="177"/>
      <c r="B69" s="177"/>
      <c r="C69" s="177"/>
      <c r="D69" s="213"/>
      <c r="E69" s="213"/>
      <c r="F69" s="213"/>
      <c r="G69" s="213"/>
      <c r="H69" s="213">
        <f>H68/H11</f>
        <v>0.06</v>
      </c>
      <c r="I69" s="213"/>
      <c r="J69" s="213"/>
      <c r="K69" s="222">
        <f>K68/K11</f>
        <v>6.0954344892420135E-4</v>
      </c>
      <c r="L69" s="177"/>
      <c r="M69" s="213">
        <f>M68/M11</f>
        <v>5.6280000000000002E-4</v>
      </c>
      <c r="N69" s="222">
        <f>M69*(N83/M83)</f>
        <v>4.5791489107517704E-4</v>
      </c>
      <c r="O69" s="177"/>
      <c r="P69" s="215">
        <f>M69</f>
        <v>5.6280000000000002E-4</v>
      </c>
    </row>
    <row r="70" spans="1:16" ht="15.75">
      <c r="A70" s="177"/>
      <c r="B70" s="177"/>
      <c r="C70" s="177"/>
      <c r="D70" s="213"/>
      <c r="E70" s="213"/>
      <c r="F70" s="213"/>
      <c r="G70" s="213"/>
      <c r="H70" s="213"/>
      <c r="I70" s="213"/>
      <c r="J70" s="213"/>
      <c r="K70" s="222"/>
      <c r="L70" s="177"/>
      <c r="M70" s="215"/>
      <c r="N70" s="215"/>
      <c r="O70" s="177"/>
      <c r="P70" s="177"/>
    </row>
    <row r="71" spans="1:16" ht="15.75">
      <c r="A71" s="201" t="s">
        <v>676</v>
      </c>
      <c r="B71" s="177"/>
      <c r="C71" s="177"/>
      <c r="D71" s="213"/>
      <c r="E71" s="213"/>
      <c r="F71" s="213"/>
      <c r="G71" s="213"/>
      <c r="H71" s="213"/>
      <c r="I71" s="213"/>
      <c r="J71" s="213"/>
      <c r="K71" s="222"/>
      <c r="L71" s="177"/>
      <c r="M71" s="215"/>
      <c r="N71" s="215"/>
      <c r="O71" s="177"/>
      <c r="P71" s="177"/>
    </row>
    <row r="72" spans="1:16" ht="15.75">
      <c r="A72" s="177" t="s">
        <v>331</v>
      </c>
      <c r="B72" s="177"/>
      <c r="C72" s="177"/>
      <c r="D72" s="213"/>
      <c r="E72" s="213"/>
      <c r="F72" s="213"/>
      <c r="G72" s="213"/>
      <c r="H72" s="213"/>
      <c r="I72" s="204">
        <f>I18</f>
        <v>443423.99999999994</v>
      </c>
      <c r="J72" s="213"/>
      <c r="K72" s="222"/>
      <c r="L72" s="177"/>
      <c r="M72" s="204">
        <f>M18</f>
        <v>91455999.5322759</v>
      </c>
      <c r="N72" s="215"/>
      <c r="O72" s="177"/>
      <c r="P72" s="177"/>
    </row>
    <row r="73" spans="1:16" ht="15.75">
      <c r="A73" s="177"/>
      <c r="B73" s="177" t="s">
        <v>677</v>
      </c>
      <c r="C73" s="177"/>
      <c r="D73" s="213"/>
      <c r="E73" s="213"/>
      <c r="F73" s="213"/>
      <c r="G73" s="213"/>
      <c r="H73" s="213"/>
      <c r="I73" s="229">
        <f>I17</f>
        <v>33376</v>
      </c>
      <c r="J73" s="213"/>
      <c r="K73" s="222"/>
      <c r="L73" s="177"/>
      <c r="M73" s="216">
        <f>SUM(M12:M17)</f>
        <v>8544000.4677241016</v>
      </c>
      <c r="N73" s="215"/>
      <c r="O73" s="177"/>
      <c r="P73" s="177"/>
    </row>
    <row r="74" spans="1:16" ht="15.75">
      <c r="A74" s="177" t="s">
        <v>678</v>
      </c>
      <c r="B74" s="177"/>
      <c r="C74" s="177"/>
      <c r="D74" s="213"/>
      <c r="E74" s="213"/>
      <c r="F74" s="213"/>
      <c r="G74" s="213"/>
      <c r="H74" s="213"/>
      <c r="I74" s="204">
        <f>I72+I73</f>
        <v>476799.99999999994</v>
      </c>
      <c r="J74" s="213"/>
      <c r="K74" s="222"/>
      <c r="L74" s="177"/>
      <c r="M74" s="204">
        <f>M72+M73</f>
        <v>100000000</v>
      </c>
      <c r="N74" s="215"/>
      <c r="O74" s="177"/>
      <c r="P74" s="177"/>
    </row>
    <row r="75" spans="1:16" ht="15.75">
      <c r="A75" s="217" t="s">
        <v>679</v>
      </c>
      <c r="B75" s="217"/>
      <c r="C75" s="177"/>
      <c r="D75" s="213"/>
      <c r="E75" s="213"/>
      <c r="F75" s="213"/>
      <c r="G75" s="213"/>
      <c r="H75" s="213"/>
      <c r="I75" s="218">
        <v>1</v>
      </c>
      <c r="J75" s="213"/>
      <c r="K75" s="222"/>
      <c r="L75" s="177"/>
      <c r="M75" s="220">
        <f>I6</f>
        <v>4.7679999999999997E-3</v>
      </c>
      <c r="N75" s="215"/>
      <c r="O75" s="177"/>
      <c r="P75" s="177"/>
    </row>
    <row r="76" spans="1:16" ht="15.75">
      <c r="A76" s="177" t="s">
        <v>680</v>
      </c>
      <c r="B76" s="177"/>
      <c r="C76" s="177"/>
      <c r="D76" s="213"/>
      <c r="E76" s="213"/>
      <c r="F76" s="213"/>
      <c r="G76" s="213"/>
      <c r="H76" s="213"/>
      <c r="I76" s="204">
        <f>I74*I75</f>
        <v>476799.99999999994</v>
      </c>
      <c r="J76" s="213"/>
      <c r="K76" s="222"/>
      <c r="L76" s="177"/>
      <c r="M76" s="204">
        <f>M74*M75</f>
        <v>476799.99999999994</v>
      </c>
      <c r="N76" s="215"/>
      <c r="O76" s="177"/>
      <c r="P76" s="177"/>
    </row>
    <row r="77" spans="1:16" ht="15.75">
      <c r="A77" s="177" t="s">
        <v>681</v>
      </c>
      <c r="B77" s="177"/>
      <c r="C77" s="177"/>
      <c r="D77" s="213"/>
      <c r="E77" s="213"/>
      <c r="F77" s="213"/>
      <c r="G77" s="213"/>
      <c r="H77" s="213"/>
      <c r="I77" s="210">
        <f>I8</f>
        <v>7.0000000000000007E-2</v>
      </c>
      <c r="J77" s="213"/>
      <c r="K77" s="204"/>
      <c r="L77" s="177"/>
      <c r="M77" s="210">
        <f>I77</f>
        <v>7.0000000000000007E-2</v>
      </c>
      <c r="N77" s="215"/>
      <c r="O77" s="177"/>
      <c r="P77" s="177"/>
    </row>
    <row r="78" spans="1:16" ht="16.5" thickBot="1">
      <c r="A78" s="177" t="s">
        <v>682</v>
      </c>
      <c r="B78" s="177"/>
      <c r="C78" s="177"/>
      <c r="D78" s="213"/>
      <c r="E78" s="213"/>
      <c r="F78" s="213"/>
      <c r="G78" s="213"/>
      <c r="H78" s="213"/>
      <c r="I78" s="212">
        <f>I76*I77</f>
        <v>33376</v>
      </c>
      <c r="J78" s="213"/>
      <c r="K78" s="204">
        <f>I78</f>
        <v>33376</v>
      </c>
      <c r="L78" s="177"/>
      <c r="M78" s="212">
        <f>M76*M77</f>
        <v>33376</v>
      </c>
      <c r="N78" s="215"/>
      <c r="O78" s="177"/>
      <c r="P78" s="177"/>
    </row>
    <row r="79" spans="1:16" ht="16.5" thickTop="1">
      <c r="A79" s="177"/>
      <c r="B79" s="177"/>
      <c r="C79" s="177"/>
      <c r="D79" s="213"/>
      <c r="E79" s="213"/>
      <c r="F79" s="213"/>
      <c r="G79" s="213"/>
      <c r="H79" s="213"/>
      <c r="I79" s="213">
        <f>I78/I11</f>
        <v>7.0000000000000007E-2</v>
      </c>
      <c r="J79" s="213"/>
      <c r="K79" s="222">
        <f>K78/K11</f>
        <v>3.6148049309335718E-4</v>
      </c>
      <c r="L79" s="177"/>
      <c r="M79" s="213">
        <f>M78/M11</f>
        <v>3.3376E-4</v>
      </c>
      <c r="N79" s="222">
        <f>M79*(N83/M83)</f>
        <v>2.7155947769234379E-4</v>
      </c>
      <c r="O79" s="177"/>
      <c r="P79" s="215">
        <f>M79</f>
        <v>3.3376E-4</v>
      </c>
    </row>
    <row r="80" spans="1:16" ht="15.75">
      <c r="A80" s="177"/>
      <c r="B80" s="177"/>
      <c r="C80" s="177"/>
      <c r="D80" s="213"/>
      <c r="E80" s="213"/>
      <c r="F80" s="213"/>
      <c r="G80" s="213"/>
      <c r="H80" s="213"/>
      <c r="I80" s="213"/>
      <c r="J80" s="213"/>
      <c r="K80" s="222"/>
      <c r="L80" s="177"/>
      <c r="M80" s="215"/>
      <c r="N80" s="215"/>
      <c r="O80" s="177"/>
      <c r="P80" s="177"/>
    </row>
    <row r="81" spans="1:16" ht="15.75">
      <c r="A81" s="177"/>
      <c r="B81" s="177"/>
      <c r="C81" s="177"/>
      <c r="D81" s="213"/>
      <c r="E81" s="213"/>
      <c r="F81" s="213"/>
      <c r="G81" s="213"/>
      <c r="H81" s="213"/>
      <c r="I81" s="213"/>
      <c r="J81" s="213"/>
      <c r="K81" s="177"/>
      <c r="L81" s="177"/>
      <c r="M81" s="177"/>
      <c r="N81" s="213">
        <f>N21+N31+N40+N49+N58+N69+N79</f>
        <v>0.28833421422377159</v>
      </c>
      <c r="O81" s="177"/>
      <c r="P81" s="177"/>
    </row>
    <row r="82" spans="1:16" ht="21" thickBot="1">
      <c r="A82" s="177"/>
      <c r="B82" s="177" t="s">
        <v>358</v>
      </c>
      <c r="C82" s="177"/>
      <c r="D82" s="213">
        <f>D21+D31</f>
        <v>0.29371199999999997</v>
      </c>
      <c r="E82" s="213">
        <f>E21+E40</f>
        <v>0.28505000000000003</v>
      </c>
      <c r="F82" s="213">
        <f>F21+F49</f>
        <v>0.25937500000000002</v>
      </c>
      <c r="G82" s="213">
        <f>G21+G58</f>
        <v>0.26559949553113554</v>
      </c>
      <c r="H82" s="213">
        <f>H21+H69</f>
        <v>0.25739999999999996</v>
      </c>
      <c r="I82" s="213">
        <f>+I21+I79</f>
        <v>0.26529999999999998</v>
      </c>
      <c r="J82" s="213"/>
      <c r="K82" s="213">
        <f>K21+K31+K40+K49+K58+K69+K79</f>
        <v>0.29194485719159463</v>
      </c>
      <c r="L82" s="177"/>
      <c r="M82" s="230">
        <f>M21+M31+M40+M49+M58+M69+M79</f>
        <v>0.28833421422377159</v>
      </c>
      <c r="N82" s="213">
        <f>M82</f>
        <v>0.28833421422377159</v>
      </c>
      <c r="O82" s="177"/>
      <c r="P82" s="215">
        <f>P21+P31+P40</f>
        <v>0.28721190422377157</v>
      </c>
    </row>
    <row r="83" spans="1:16" ht="15.75" thickTop="1">
      <c r="A83" s="177"/>
      <c r="B83" s="177"/>
      <c r="C83" s="177"/>
      <c r="D83" s="177"/>
      <c r="E83" s="177"/>
      <c r="F83" s="177"/>
      <c r="G83" s="177"/>
      <c r="H83" s="177"/>
      <c r="I83" s="177"/>
      <c r="J83" s="177"/>
      <c r="K83" s="177"/>
      <c r="L83" s="177"/>
      <c r="M83" s="234">
        <f>N82-M21</f>
        <v>9.6276615205992205E-2</v>
      </c>
      <c r="N83" s="231">
        <f>N82-N21</f>
        <v>7.8334214223771598E-2</v>
      </c>
      <c r="O83" s="177"/>
      <c r="P83" s="177"/>
    </row>
    <row r="84" spans="1:16" ht="16.5" thickBot="1">
      <c r="A84" s="177"/>
      <c r="B84" s="177" t="s">
        <v>359</v>
      </c>
      <c r="C84" s="177" t="s">
        <v>530</v>
      </c>
      <c r="D84" s="177"/>
      <c r="E84" s="177"/>
      <c r="F84" s="177"/>
      <c r="G84" s="177"/>
      <c r="H84" s="177"/>
      <c r="I84" s="177"/>
      <c r="J84" s="177"/>
      <c r="K84" s="177"/>
      <c r="L84" s="177"/>
      <c r="M84" s="232" t="s">
        <v>360</v>
      </c>
      <c r="N84" s="233"/>
      <c r="O84" s="177"/>
      <c r="P84" s="177"/>
    </row>
    <row r="85" spans="1:16">
      <c r="A85" s="177"/>
      <c r="B85" s="177"/>
      <c r="C85" s="177" t="s">
        <v>561</v>
      </c>
      <c r="D85" s="177"/>
      <c r="E85" s="177"/>
      <c r="F85" s="177"/>
      <c r="G85" s="177"/>
      <c r="H85" s="177"/>
      <c r="I85" s="177"/>
      <c r="J85" s="177"/>
      <c r="K85" s="177"/>
      <c r="L85" s="177"/>
      <c r="M85" s="177"/>
      <c r="N85" s="177"/>
      <c r="O85" s="177"/>
      <c r="P85" s="177"/>
    </row>
  </sheetData>
  <pageMargins left="0.2" right="0.2" top="0.25" bottom="0.25" header="0.25" footer="0.25"/>
  <pageSetup scale="4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workbookViewId="0">
      <selection activeCell="A5" sqref="A5"/>
    </sheetView>
  </sheetViews>
  <sheetFormatPr defaultRowHeight="15"/>
  <cols>
    <col min="3" max="3" width="14.33203125" bestFit="1" customWidth="1"/>
  </cols>
  <sheetData>
    <row r="1" spans="1:10">
      <c r="A1" t="s">
        <v>280</v>
      </c>
    </row>
    <row r="2" spans="1:10">
      <c r="A2" t="s">
        <v>590</v>
      </c>
    </row>
    <row r="3" spans="1:10">
      <c r="A3" t="s">
        <v>591</v>
      </c>
    </row>
    <row r="4" spans="1:10">
      <c r="A4" s="247">
        <v>2018</v>
      </c>
    </row>
    <row r="8" spans="1:10" ht="15.75">
      <c r="A8" s="248">
        <v>1</v>
      </c>
      <c r="B8" s="246" t="s">
        <v>156</v>
      </c>
      <c r="C8" s="36">
        <f>tax!M19</f>
        <v>0.21</v>
      </c>
      <c r="D8" s="246"/>
      <c r="E8" s="246"/>
      <c r="F8" s="246"/>
      <c r="G8" s="246"/>
      <c r="H8" s="246"/>
      <c r="I8" s="246"/>
      <c r="J8" s="246"/>
    </row>
    <row r="9" spans="1:10" ht="15.75">
      <c r="A9" s="248">
        <v>2</v>
      </c>
      <c r="B9" s="246" t="s">
        <v>157</v>
      </c>
      <c r="C9" s="36">
        <f>tax!M83</f>
        <v>9.6276615205992205E-2</v>
      </c>
      <c r="D9" s="436" t="s">
        <v>158</v>
      </c>
      <c r="E9" s="436"/>
      <c r="F9" s="436"/>
      <c r="G9" s="436"/>
      <c r="H9" s="436"/>
      <c r="I9" s="436"/>
      <c r="J9" s="436"/>
    </row>
    <row r="10" spans="1:10" ht="15.75">
      <c r="A10" s="248"/>
      <c r="B10" s="246"/>
      <c r="C10" s="249"/>
      <c r="D10" s="246"/>
      <c r="E10" s="246"/>
      <c r="F10" s="246"/>
      <c r="G10" s="246"/>
      <c r="H10" s="246"/>
      <c r="I10" s="246"/>
      <c r="J10" s="246"/>
    </row>
    <row r="11" spans="1:10" ht="15.75">
      <c r="A11" s="248">
        <v>3</v>
      </c>
      <c r="B11" s="246"/>
      <c r="C11" s="250">
        <f>tax!M25</f>
        <v>9602879.950888969</v>
      </c>
      <c r="D11" s="251" t="s">
        <v>592</v>
      </c>
      <c r="E11" s="246"/>
      <c r="F11" s="246"/>
      <c r="G11" s="246"/>
      <c r="H11" s="246"/>
      <c r="I11" s="246"/>
      <c r="J11" s="246"/>
    </row>
    <row r="12" spans="1:10" ht="15.75">
      <c r="A12" s="248">
        <v>4</v>
      </c>
      <c r="B12" s="246"/>
      <c r="C12" s="250">
        <f>tax!M11</f>
        <v>100000000</v>
      </c>
      <c r="D12" s="251" t="s">
        <v>593</v>
      </c>
      <c r="E12" s="246"/>
      <c r="F12" s="246"/>
      <c r="G12" s="246"/>
      <c r="H12" s="246"/>
      <c r="I12" s="246"/>
      <c r="J12" s="246"/>
    </row>
    <row r="13" spans="1:10" ht="15.75">
      <c r="A13" s="248"/>
      <c r="B13" s="246"/>
      <c r="C13" s="250"/>
      <c r="D13" s="251"/>
      <c r="E13" s="246"/>
      <c r="F13" s="246"/>
      <c r="G13" s="246"/>
      <c r="H13" s="246"/>
      <c r="I13" s="246"/>
      <c r="J13" s="246"/>
    </row>
    <row r="14" spans="1:10" ht="15.75">
      <c r="A14" s="248">
        <v>5</v>
      </c>
      <c r="B14" s="246" t="s">
        <v>159</v>
      </c>
      <c r="C14" s="36">
        <f>C11/C12</f>
        <v>9.6028799508889692E-2</v>
      </c>
      <c r="D14" s="436" t="s">
        <v>160</v>
      </c>
      <c r="E14" s="436"/>
      <c r="F14" s="436"/>
      <c r="G14" s="436"/>
      <c r="H14" s="436"/>
      <c r="I14" s="436"/>
      <c r="J14" s="436"/>
    </row>
    <row r="15" spans="1:10">
      <c r="B15" t="s">
        <v>594</v>
      </c>
    </row>
    <row r="19" spans="2:2">
      <c r="B19" t="s">
        <v>595</v>
      </c>
    </row>
  </sheetData>
  <mergeCells count="2">
    <mergeCell ref="D9:J9"/>
    <mergeCell ref="D14:J14"/>
  </mergeCells>
  <pageMargins left="0.7" right="0.7" top="0.75" bottom="0.75" header="0.3" footer="0.3"/>
  <pageSetup scale="8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topLeftCell="A13" workbookViewId="0">
      <selection activeCell="G34" sqref="G34"/>
    </sheetView>
  </sheetViews>
  <sheetFormatPr defaultRowHeight="15"/>
  <cols>
    <col min="1" max="1" width="5.33203125" style="258" customWidth="1"/>
    <col min="2" max="2" width="5.109375" style="258" customWidth="1"/>
    <col min="3" max="3" width="29.88671875" style="258" customWidth="1"/>
    <col min="4" max="4" width="8.5546875" style="258" customWidth="1"/>
    <col min="5" max="5" width="8.88671875" style="258"/>
    <col min="6" max="6" width="5.6640625" style="258" customWidth="1"/>
    <col min="7" max="7" width="11.88671875" style="258" bestFit="1" customWidth="1"/>
    <col min="8" max="16384" width="8.88671875" style="258"/>
  </cols>
  <sheetData>
    <row r="1" spans="1:7">
      <c r="A1" s="289" t="s">
        <v>280</v>
      </c>
      <c r="B1" s="290"/>
      <c r="C1" s="290"/>
      <c r="D1" s="290"/>
      <c r="E1" s="290"/>
      <c r="F1" s="290"/>
      <c r="G1" s="290"/>
    </row>
    <row r="2" spans="1:7">
      <c r="A2" s="289" t="s">
        <v>707</v>
      </c>
      <c r="B2" s="290"/>
      <c r="C2" s="290"/>
      <c r="D2" s="290"/>
      <c r="E2" s="290"/>
      <c r="F2" s="290"/>
      <c r="G2" s="290"/>
    </row>
    <row r="3" spans="1:7">
      <c r="A3" s="289" t="s">
        <v>708</v>
      </c>
      <c r="B3" s="290"/>
      <c r="C3" s="290"/>
      <c r="D3" s="290"/>
      <c r="E3" s="290"/>
      <c r="F3" s="290"/>
      <c r="G3" s="290"/>
    </row>
    <row r="4" spans="1:7">
      <c r="A4" s="290"/>
      <c r="B4" s="290"/>
      <c r="C4" s="290"/>
      <c r="D4" s="290"/>
      <c r="E4" s="290"/>
      <c r="F4" s="290"/>
      <c r="G4" s="290"/>
    </row>
    <row r="5" spans="1:7">
      <c r="A5" s="290"/>
      <c r="B5" s="290"/>
      <c r="C5" s="290"/>
      <c r="D5" s="290"/>
      <c r="E5" s="290"/>
      <c r="F5" s="290"/>
      <c r="G5" s="290"/>
    </row>
    <row r="6" spans="1:7">
      <c r="A6" s="290"/>
      <c r="B6" s="290"/>
      <c r="C6" s="290"/>
      <c r="D6" s="290"/>
      <c r="E6" s="290"/>
      <c r="F6" s="290"/>
      <c r="G6" s="290"/>
    </row>
    <row r="7" spans="1:7" ht="26.25">
      <c r="A7" s="291" t="s">
        <v>562</v>
      </c>
      <c r="B7" s="292" t="s">
        <v>563</v>
      </c>
      <c r="C7" s="290" t="s">
        <v>564</v>
      </c>
      <c r="D7" s="290"/>
      <c r="E7" s="290"/>
      <c r="F7" s="290"/>
      <c r="G7" s="290"/>
    </row>
    <row r="8" spans="1:7">
      <c r="A8" s="290"/>
      <c r="B8" s="292"/>
      <c r="C8" s="290"/>
      <c r="D8" s="290"/>
      <c r="E8" s="290"/>
      <c r="F8" s="290"/>
      <c r="G8" s="290"/>
    </row>
    <row r="9" spans="1:7">
      <c r="A9" s="293">
        <v>1</v>
      </c>
      <c r="B9" s="292"/>
      <c r="C9" s="290" t="s">
        <v>565</v>
      </c>
      <c r="D9" s="290"/>
      <c r="E9" s="290"/>
      <c r="F9" s="290"/>
      <c r="G9" s="294">
        <v>107208878</v>
      </c>
    </row>
    <row r="10" spans="1:7">
      <c r="A10" s="293">
        <v>2</v>
      </c>
      <c r="B10" s="292"/>
      <c r="C10" s="290" t="s">
        <v>566</v>
      </c>
      <c r="D10" s="290"/>
      <c r="E10" s="290"/>
      <c r="F10" s="290"/>
      <c r="G10" s="238">
        <v>114532642</v>
      </c>
    </row>
    <row r="11" spans="1:7">
      <c r="A11" s="293">
        <v>3</v>
      </c>
      <c r="B11" s="292"/>
      <c r="C11" s="290" t="s">
        <v>567</v>
      </c>
      <c r="D11" s="290"/>
      <c r="E11" s="290"/>
      <c r="F11" s="290"/>
      <c r="G11" s="239">
        <f>G9-G10</f>
        <v>-7323764</v>
      </c>
    </row>
    <row r="12" spans="1:7">
      <c r="A12" s="293"/>
      <c r="B12" s="292"/>
      <c r="C12" s="290" t="s">
        <v>568</v>
      </c>
      <c r="D12" s="290"/>
      <c r="E12" s="290"/>
      <c r="F12" s="290"/>
      <c r="G12" s="290"/>
    </row>
    <row r="13" spans="1:7">
      <c r="A13" s="293"/>
      <c r="B13" s="292"/>
      <c r="C13" s="290"/>
      <c r="D13" s="290"/>
      <c r="E13" s="290"/>
      <c r="F13" s="290"/>
      <c r="G13" s="290"/>
    </row>
    <row r="14" spans="1:7">
      <c r="A14" s="293"/>
      <c r="B14" s="292" t="s">
        <v>569</v>
      </c>
      <c r="C14" s="290" t="s">
        <v>570</v>
      </c>
      <c r="D14" s="290"/>
      <c r="E14" s="290"/>
      <c r="F14" s="290"/>
      <c r="G14" s="290"/>
    </row>
    <row r="15" spans="1:7">
      <c r="A15" s="293"/>
      <c r="B15" s="292"/>
      <c r="C15" s="290"/>
      <c r="D15" s="290"/>
      <c r="E15" s="290"/>
      <c r="F15" s="290"/>
      <c r="G15" s="290"/>
    </row>
    <row r="16" spans="1:7">
      <c r="A16" s="293">
        <v>4</v>
      </c>
      <c r="B16" s="292"/>
      <c r="C16" s="290" t="s">
        <v>571</v>
      </c>
      <c r="D16" s="290"/>
      <c r="E16" s="290"/>
      <c r="F16" s="290"/>
      <c r="G16" s="295">
        <v>3953108</v>
      </c>
    </row>
    <row r="17" spans="1:10">
      <c r="A17" s="293">
        <v>5</v>
      </c>
      <c r="B17" s="292"/>
      <c r="C17" s="290" t="s">
        <v>572</v>
      </c>
      <c r="D17" s="290"/>
      <c r="E17" s="290"/>
      <c r="F17" s="290"/>
      <c r="G17" s="296">
        <v>4039698</v>
      </c>
    </row>
    <row r="18" spans="1:10" ht="15.75">
      <c r="A18" s="293">
        <v>6</v>
      </c>
      <c r="B18" s="292"/>
      <c r="C18" s="290" t="s">
        <v>573</v>
      </c>
      <c r="D18" s="290"/>
      <c r="E18" s="290"/>
      <c r="F18" s="290"/>
      <c r="G18" s="295">
        <f>G17-G16</f>
        <v>86590</v>
      </c>
      <c r="J18" s="240"/>
    </row>
    <row r="19" spans="1:10" ht="15.75">
      <c r="A19" s="293"/>
      <c r="B19" s="292"/>
      <c r="C19" s="290" t="s">
        <v>574</v>
      </c>
      <c r="D19" s="290"/>
      <c r="E19" s="290"/>
      <c r="F19" s="290"/>
      <c r="G19" s="295"/>
      <c r="J19" s="240"/>
    </row>
    <row r="20" spans="1:10" ht="15.75">
      <c r="A20" s="293">
        <v>7</v>
      </c>
      <c r="B20" s="292"/>
      <c r="C20" s="290" t="s">
        <v>575</v>
      </c>
      <c r="D20" s="290"/>
      <c r="E20" s="290"/>
      <c r="F20" s="290"/>
      <c r="G20" s="237">
        <v>28.351800000000001</v>
      </c>
      <c r="H20" s="241"/>
    </row>
    <row r="21" spans="1:10">
      <c r="A21" s="293">
        <v>8</v>
      </c>
      <c r="B21" s="292"/>
      <c r="C21" s="290" t="s">
        <v>576</v>
      </c>
      <c r="D21" s="290"/>
      <c r="E21" s="290"/>
      <c r="F21" s="290"/>
      <c r="G21" s="239">
        <f>G18*G20</f>
        <v>2454982.3620000002</v>
      </c>
    </row>
    <row r="22" spans="1:10">
      <c r="A22" s="293"/>
      <c r="B22" s="292"/>
      <c r="C22" s="290" t="s">
        <v>577</v>
      </c>
      <c r="D22" s="290"/>
      <c r="E22" s="290"/>
      <c r="F22" s="290"/>
      <c r="G22" s="290"/>
    </row>
    <row r="23" spans="1:10">
      <c r="A23" s="293"/>
      <c r="B23" s="292"/>
      <c r="C23" s="290"/>
      <c r="D23" s="290"/>
      <c r="E23" s="290"/>
      <c r="F23" s="290"/>
      <c r="G23" s="290"/>
    </row>
    <row r="24" spans="1:10">
      <c r="A24" s="293"/>
      <c r="B24" s="292" t="s">
        <v>578</v>
      </c>
      <c r="C24" s="290" t="s">
        <v>579</v>
      </c>
      <c r="D24" s="290"/>
      <c r="E24" s="290"/>
      <c r="F24" s="290"/>
      <c r="G24" s="290"/>
    </row>
    <row r="25" spans="1:10">
      <c r="A25" s="293"/>
      <c r="B25" s="292"/>
      <c r="C25" s="290"/>
      <c r="D25" s="290"/>
      <c r="E25" s="290"/>
      <c r="F25" s="290"/>
      <c r="G25" s="290"/>
    </row>
    <row r="26" spans="1:10">
      <c r="A26" s="293">
        <v>9</v>
      </c>
      <c r="B26" s="292"/>
      <c r="C26" s="290" t="s">
        <v>580</v>
      </c>
      <c r="D26" s="290"/>
      <c r="E26" s="290"/>
      <c r="F26" s="290"/>
      <c r="G26" s="239">
        <f>G11</f>
        <v>-7323764</v>
      </c>
    </row>
    <row r="27" spans="1:10">
      <c r="A27" s="293">
        <v>10</v>
      </c>
      <c r="B27" s="292"/>
      <c r="C27" s="290" t="s">
        <v>581</v>
      </c>
      <c r="D27" s="290"/>
      <c r="E27" s="290"/>
      <c r="F27" s="290"/>
      <c r="G27" s="238">
        <f>G21</f>
        <v>2454982.3620000002</v>
      </c>
    </row>
    <row r="28" spans="1:10">
      <c r="A28" s="293">
        <v>11</v>
      </c>
      <c r="B28" s="292"/>
      <c r="C28" s="290" t="s">
        <v>683</v>
      </c>
      <c r="D28" s="290"/>
      <c r="E28" s="290"/>
      <c r="F28" s="290"/>
      <c r="G28" s="239">
        <f>G26+G27</f>
        <v>-4868781.6380000003</v>
      </c>
    </row>
    <row r="29" spans="1:10">
      <c r="A29" s="293"/>
      <c r="B29" s="292"/>
      <c r="C29" s="290" t="s">
        <v>582</v>
      </c>
      <c r="D29" s="290"/>
      <c r="E29" s="290"/>
      <c r="F29" s="290"/>
      <c r="G29" s="295"/>
    </row>
    <row r="30" spans="1:10">
      <c r="A30" s="293"/>
      <c r="B30" s="292"/>
      <c r="C30" s="290"/>
      <c r="D30" s="290"/>
      <c r="E30" s="290"/>
      <c r="F30" s="290"/>
      <c r="G30" s="290"/>
    </row>
    <row r="31" spans="1:10">
      <c r="A31" s="293"/>
      <c r="B31" s="292"/>
      <c r="C31" s="297" t="s">
        <v>583</v>
      </c>
      <c r="D31" s="290"/>
      <c r="E31" s="290"/>
      <c r="F31" s="290"/>
      <c r="G31" s="290"/>
    </row>
    <row r="32" spans="1:10">
      <c r="A32" s="293">
        <v>12</v>
      </c>
      <c r="B32" s="292"/>
      <c r="C32" s="290" t="s">
        <v>684</v>
      </c>
      <c r="D32" s="290"/>
      <c r="E32" s="290"/>
      <c r="F32" s="290"/>
      <c r="G32" s="425">
        <f>'short-term interest rate'!C25</f>
        <v>2.9222092340665277E-3</v>
      </c>
    </row>
    <row r="33" spans="1:7">
      <c r="A33" s="293">
        <v>13</v>
      </c>
      <c r="B33" s="292"/>
      <c r="C33" s="290" t="s">
        <v>709</v>
      </c>
      <c r="D33" s="290"/>
      <c r="E33" s="290"/>
      <c r="F33" s="290"/>
      <c r="G33" s="238">
        <f>(G28*G32)*24+24.65</f>
        <v>-341437.71786921169</v>
      </c>
    </row>
    <row r="34" spans="1:7">
      <c r="A34" s="293"/>
      <c r="B34" s="292"/>
      <c r="C34" s="290" t="s">
        <v>584</v>
      </c>
      <c r="D34" s="290"/>
      <c r="E34" s="290"/>
      <c r="F34" s="290"/>
      <c r="G34" s="298"/>
    </row>
    <row r="35" spans="1:7" ht="15.75" thickBot="1">
      <c r="A35" s="293">
        <v>14</v>
      </c>
      <c r="B35" s="292"/>
      <c r="C35" s="290" t="s">
        <v>585</v>
      </c>
      <c r="D35" s="290"/>
      <c r="E35" s="290"/>
      <c r="F35" s="290"/>
      <c r="G35" s="299">
        <f>G28+G33</f>
        <v>-5210219.3558692122</v>
      </c>
    </row>
    <row r="36" spans="1:7" ht="15.75" thickTop="1">
      <c r="A36" s="290"/>
      <c r="B36" s="290"/>
      <c r="C36" s="290" t="s">
        <v>586</v>
      </c>
      <c r="D36" s="290"/>
      <c r="E36" s="290"/>
      <c r="F36" s="290"/>
      <c r="G36" s="290"/>
    </row>
    <row r="37" spans="1:7">
      <c r="A37" s="300"/>
      <c r="B37" s="300"/>
      <c r="C37" s="300"/>
      <c r="D37" s="300"/>
      <c r="E37" s="300"/>
      <c r="F37" s="300"/>
      <c r="G37" s="300"/>
    </row>
  </sheetData>
  <pageMargins left="0.7" right="0.2"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B9" sqref="B9:F24"/>
    </sheetView>
  </sheetViews>
  <sheetFormatPr defaultRowHeight="15"/>
  <cols>
    <col min="1" max="1" width="6.77734375" customWidth="1"/>
    <col min="2" max="2" width="12.33203125" customWidth="1"/>
    <col min="3" max="3" width="4.77734375" customWidth="1"/>
    <col min="4" max="4" width="15.88671875" bestFit="1" customWidth="1"/>
    <col min="5" max="6" width="15.88671875" customWidth="1"/>
  </cols>
  <sheetData>
    <row r="1" spans="1:6" ht="15.75">
      <c r="A1" s="68" t="s">
        <v>280</v>
      </c>
    </row>
    <row r="2" spans="1:6" ht="15.75">
      <c r="A2" s="68" t="s">
        <v>687</v>
      </c>
    </row>
    <row r="3" spans="1:6" ht="15.75">
      <c r="A3" s="68" t="str">
        <f>'Plant Balance'!A3</f>
        <v>For the 13 Months Ended December 31, 2018</v>
      </c>
    </row>
    <row r="5" spans="1:6">
      <c r="B5" s="74" t="s">
        <v>408</v>
      </c>
      <c r="C5" s="74"/>
      <c r="D5" s="74" t="s">
        <v>409</v>
      </c>
      <c r="E5" s="74" t="s">
        <v>414</v>
      </c>
    </row>
    <row r="7" spans="1:6" ht="15.75">
      <c r="A7" s="132" t="s">
        <v>4</v>
      </c>
      <c r="B7" s="77"/>
      <c r="C7" s="427"/>
      <c r="D7" s="427"/>
      <c r="E7" s="427"/>
      <c r="F7" s="118"/>
    </row>
    <row r="8" spans="1:6" ht="15.75">
      <c r="A8" s="136" t="s">
        <v>6</v>
      </c>
      <c r="B8" s="430" t="s">
        <v>402</v>
      </c>
      <c r="C8" s="93"/>
      <c r="D8" s="93" t="s">
        <v>403</v>
      </c>
      <c r="E8" s="93" t="s">
        <v>38</v>
      </c>
      <c r="F8" s="431" t="s">
        <v>404</v>
      </c>
    </row>
    <row r="9" spans="1:6">
      <c r="A9" s="428">
        <v>1</v>
      </c>
      <c r="B9" s="98">
        <f>'Plant Balance'!B9</f>
        <v>43070</v>
      </c>
      <c r="C9" s="86"/>
      <c r="D9" s="87">
        <v>201567370</v>
      </c>
      <c r="E9" s="87">
        <v>20450</v>
      </c>
      <c r="F9" s="88">
        <v>-90530</v>
      </c>
    </row>
    <row r="10" spans="1:6">
      <c r="A10" s="429">
        <v>2</v>
      </c>
      <c r="B10" s="99">
        <f>'Plant Balance'!B10</f>
        <v>43101</v>
      </c>
      <c r="C10" s="43"/>
      <c r="D10" s="89">
        <v>201567370</v>
      </c>
      <c r="E10" s="89">
        <v>20450</v>
      </c>
      <c r="F10" s="90">
        <v>-90530</v>
      </c>
    </row>
    <row r="11" spans="1:6">
      <c r="A11" s="429">
        <v>3</v>
      </c>
      <c r="B11" s="99">
        <f>'Plant Balance'!B11</f>
        <v>43132</v>
      </c>
      <c r="C11" s="43"/>
      <c r="D11" s="89">
        <v>201567370</v>
      </c>
      <c r="E11" s="89">
        <v>20450</v>
      </c>
      <c r="F11" s="90">
        <v>-90530</v>
      </c>
    </row>
    <row r="12" spans="1:6">
      <c r="A12" s="429">
        <v>4</v>
      </c>
      <c r="B12" s="99">
        <f>'Plant Balance'!B12</f>
        <v>43160</v>
      </c>
      <c r="C12" s="43"/>
      <c r="D12" s="89">
        <v>201567370</v>
      </c>
      <c r="E12" s="89">
        <v>20450</v>
      </c>
      <c r="F12" s="90">
        <v>-90530</v>
      </c>
    </row>
    <row r="13" spans="1:6">
      <c r="A13" s="429">
        <v>5</v>
      </c>
      <c r="B13" s="99">
        <f>'Plant Balance'!B13</f>
        <v>43191</v>
      </c>
      <c r="C13" s="43"/>
      <c r="D13" s="89">
        <v>201567370</v>
      </c>
      <c r="E13" s="89">
        <v>20450</v>
      </c>
      <c r="F13" s="90">
        <v>-90530</v>
      </c>
    </row>
    <row r="14" spans="1:6">
      <c r="A14" s="429">
        <v>6</v>
      </c>
      <c r="B14" s="99">
        <f>'Plant Balance'!B14</f>
        <v>43221</v>
      </c>
      <c r="C14" s="43"/>
      <c r="D14" s="89">
        <v>201567370</v>
      </c>
      <c r="E14" s="89">
        <v>20450</v>
      </c>
      <c r="F14" s="90">
        <v>-90530</v>
      </c>
    </row>
    <row r="15" spans="1:6">
      <c r="A15" s="429">
        <v>7</v>
      </c>
      <c r="B15" s="99">
        <f>'Plant Balance'!B15</f>
        <v>43252</v>
      </c>
      <c r="C15" s="43"/>
      <c r="D15" s="89">
        <v>201567370</v>
      </c>
      <c r="E15" s="89">
        <v>20450</v>
      </c>
      <c r="F15" s="90">
        <v>-90530</v>
      </c>
    </row>
    <row r="16" spans="1:6">
      <c r="A16" s="429">
        <v>8</v>
      </c>
      <c r="B16" s="99">
        <f>'Plant Balance'!B16</f>
        <v>43282</v>
      </c>
      <c r="C16" s="43"/>
      <c r="D16" s="89">
        <v>201567370</v>
      </c>
      <c r="E16" s="89">
        <v>20450</v>
      </c>
      <c r="F16" s="90">
        <v>-90530</v>
      </c>
    </row>
    <row r="17" spans="1:6">
      <c r="A17" s="429">
        <v>9</v>
      </c>
      <c r="B17" s="99">
        <f>'Plant Balance'!B17</f>
        <v>43313</v>
      </c>
      <c r="C17" s="43"/>
      <c r="D17" s="89">
        <v>201567370</v>
      </c>
      <c r="E17" s="89">
        <v>20450</v>
      </c>
      <c r="F17" s="90">
        <v>-90530</v>
      </c>
    </row>
    <row r="18" spans="1:6">
      <c r="A18" s="429">
        <v>10</v>
      </c>
      <c r="B18" s="99">
        <f>'Plant Balance'!B18</f>
        <v>43344</v>
      </c>
      <c r="C18" s="43"/>
      <c r="D18" s="89">
        <v>201567370</v>
      </c>
      <c r="E18" s="89">
        <v>20450</v>
      </c>
      <c r="F18" s="90">
        <v>-90530</v>
      </c>
    </row>
    <row r="19" spans="1:6">
      <c r="A19" s="429">
        <v>11</v>
      </c>
      <c r="B19" s="99">
        <f>'Plant Balance'!B19</f>
        <v>43374</v>
      </c>
      <c r="C19" s="43"/>
      <c r="D19" s="89">
        <v>201567370</v>
      </c>
      <c r="E19" s="89">
        <v>20450</v>
      </c>
      <c r="F19" s="90">
        <v>-90530</v>
      </c>
    </row>
    <row r="20" spans="1:6">
      <c r="A20" s="429">
        <v>12</v>
      </c>
      <c r="B20" s="99">
        <f>'Plant Balance'!B20</f>
        <v>43405</v>
      </c>
      <c r="C20" s="43"/>
      <c r="D20" s="89">
        <v>201567370</v>
      </c>
      <c r="E20" s="89">
        <v>20450</v>
      </c>
      <c r="F20" s="90">
        <v>-90530</v>
      </c>
    </row>
    <row r="21" spans="1:6">
      <c r="A21" s="429">
        <v>13</v>
      </c>
      <c r="B21" s="99">
        <f>'Plant Balance'!B21</f>
        <v>43435</v>
      </c>
      <c r="C21" s="43"/>
      <c r="D21" s="89">
        <v>201567370</v>
      </c>
      <c r="E21" s="89">
        <v>20450</v>
      </c>
      <c r="F21" s="90">
        <v>-90530</v>
      </c>
    </row>
    <row r="22" spans="1:6">
      <c r="A22" s="429">
        <v>14</v>
      </c>
      <c r="B22" s="40"/>
      <c r="C22" s="43"/>
      <c r="D22" s="43"/>
      <c r="E22" s="43"/>
      <c r="F22" s="42"/>
    </row>
    <row r="23" spans="1:6" ht="15.75">
      <c r="A23" s="429">
        <v>15</v>
      </c>
      <c r="B23" s="40" t="s">
        <v>407</v>
      </c>
      <c r="C23" s="43"/>
      <c r="D23" s="129">
        <f>AVERAGE(D9:D21)</f>
        <v>201567370</v>
      </c>
      <c r="E23" s="129">
        <f>AVERAGE(E9:E21)</f>
        <v>20450</v>
      </c>
      <c r="F23" s="113">
        <f>AVERAGE(F9:F21)</f>
        <v>-90530</v>
      </c>
    </row>
    <row r="24" spans="1:6">
      <c r="A24" s="91"/>
      <c r="B24" s="91"/>
      <c r="C24" s="69"/>
      <c r="D24" s="69"/>
      <c r="E24" s="69"/>
      <c r="F24" s="92"/>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C5" sqref="C5:C23"/>
    </sheetView>
  </sheetViews>
  <sheetFormatPr defaultRowHeight="15"/>
  <cols>
    <col min="2" max="2" width="9.88671875" bestFit="1" customWidth="1"/>
    <col min="3" max="3" width="10.77734375" customWidth="1"/>
  </cols>
  <sheetData>
    <row r="1" spans="1:3">
      <c r="A1" s="242" t="s">
        <v>280</v>
      </c>
      <c r="B1" s="242"/>
      <c r="C1" s="242"/>
    </row>
    <row r="2" spans="1:3">
      <c r="A2" s="242" t="s">
        <v>685</v>
      </c>
      <c r="B2" s="242"/>
      <c r="C2" s="242"/>
    </row>
    <row r="3" spans="1:3">
      <c r="A3" s="242"/>
      <c r="B3" s="242"/>
      <c r="C3" s="242"/>
    </row>
    <row r="4" spans="1:3">
      <c r="A4" s="242"/>
      <c r="B4" s="242"/>
      <c r="C4" s="242"/>
    </row>
    <row r="5" spans="1:3">
      <c r="A5" s="242"/>
      <c r="B5" s="243">
        <v>42370</v>
      </c>
      <c r="C5" s="424">
        <f>(0.0325/366)*31</f>
        <v>2.7527322404371584E-3</v>
      </c>
    </row>
    <row r="6" spans="1:3">
      <c r="A6" s="242"/>
      <c r="B6" s="243">
        <v>42401</v>
      </c>
      <c r="C6" s="424">
        <f>(0.0325/366)*29</f>
        <v>2.5751366120218581E-3</v>
      </c>
    </row>
    <row r="7" spans="1:3">
      <c r="A7" s="242"/>
      <c r="B7" s="243">
        <v>42430</v>
      </c>
      <c r="C7" s="424">
        <f>(0.0325/366)*31</f>
        <v>2.7527322404371584E-3</v>
      </c>
    </row>
    <row r="8" spans="1:3">
      <c r="A8" s="242"/>
      <c r="B8" s="243">
        <v>42461</v>
      </c>
      <c r="C8" s="424">
        <f>(0.0346/366)*30</f>
        <v>2.8360655737704916E-3</v>
      </c>
    </row>
    <row r="9" spans="1:3">
      <c r="A9" s="242"/>
      <c r="B9" s="243">
        <v>42491</v>
      </c>
      <c r="C9" s="424">
        <f>(0.0346/366)*31</f>
        <v>2.9306010928961748E-3</v>
      </c>
    </row>
    <row r="10" spans="1:3">
      <c r="A10" s="242"/>
      <c r="B10" s="243">
        <v>42522</v>
      </c>
      <c r="C10" s="424">
        <f>(0.0346/366)*30</f>
        <v>2.8360655737704916E-3</v>
      </c>
    </row>
    <row r="11" spans="1:3">
      <c r="A11" s="242"/>
      <c r="B11" s="243">
        <v>42552</v>
      </c>
      <c r="C11" s="424">
        <f>(0.035/366)*31</f>
        <v>2.9644808743169403E-3</v>
      </c>
    </row>
    <row r="12" spans="1:3">
      <c r="A12" s="242"/>
      <c r="B12" s="243">
        <v>42583</v>
      </c>
      <c r="C12" s="424">
        <f>(0.035/366)*31</f>
        <v>2.9644808743169403E-3</v>
      </c>
    </row>
    <row r="13" spans="1:3">
      <c r="A13" s="242"/>
      <c r="B13" s="243">
        <v>42614</v>
      </c>
      <c r="C13" s="424">
        <f>(0.035/366)*30</f>
        <v>2.8688524590163938E-3</v>
      </c>
    </row>
    <row r="14" spans="1:3">
      <c r="A14" s="242"/>
      <c r="B14" s="243">
        <v>42644</v>
      </c>
      <c r="C14" s="424">
        <f>(0.035/366)*31</f>
        <v>2.9644808743169403E-3</v>
      </c>
    </row>
    <row r="15" spans="1:3">
      <c r="A15" s="242"/>
      <c r="B15" s="243">
        <v>42675</v>
      </c>
      <c r="C15" s="424">
        <f>(0.035/366)*30</f>
        <v>2.8688524590163938E-3</v>
      </c>
    </row>
    <row r="16" spans="1:3">
      <c r="A16" s="242"/>
      <c r="B16" s="243">
        <v>42705</v>
      </c>
      <c r="C16" s="424">
        <f>(0.035/366)*31</f>
        <v>2.9644808743169403E-3</v>
      </c>
    </row>
    <row r="17" spans="1:3">
      <c r="A17" s="242"/>
      <c r="B17" s="243">
        <v>42736</v>
      </c>
      <c r="C17" s="424">
        <f>(0.035/365)*31</f>
        <v>2.9726027397260278E-3</v>
      </c>
    </row>
    <row r="18" spans="1:3">
      <c r="A18" s="242"/>
      <c r="B18" s="243">
        <v>42767</v>
      </c>
      <c r="C18" s="424">
        <f>(0.035/365)*28</f>
        <v>2.6849315068493153E-3</v>
      </c>
    </row>
    <row r="19" spans="1:3">
      <c r="A19" s="242"/>
      <c r="B19" s="243">
        <v>42795</v>
      </c>
      <c r="C19" s="424">
        <f>(0.035/365)*31</f>
        <v>2.9726027397260278E-3</v>
      </c>
    </row>
    <row r="20" spans="1:3">
      <c r="A20" s="242"/>
      <c r="B20" s="243">
        <v>42826</v>
      </c>
      <c r="C20" s="424">
        <f>(0.0371/365)*30</f>
        <v>3.0493150684931507E-3</v>
      </c>
    </row>
    <row r="21" spans="1:3">
      <c r="A21" s="242"/>
      <c r="B21" s="243">
        <v>42856</v>
      </c>
      <c r="C21" s="424">
        <f>(0.0371/365)*31</f>
        <v>3.1509589041095894E-3</v>
      </c>
    </row>
    <row r="22" spans="1:3">
      <c r="A22" s="242"/>
      <c r="B22" s="243">
        <v>42887</v>
      </c>
      <c r="C22" s="424">
        <f>(0.0371/365)*30</f>
        <v>3.0493150684931507E-3</v>
      </c>
    </row>
    <row r="23" spans="1:3">
      <c r="A23" s="242"/>
      <c r="B23" s="243">
        <v>42917</v>
      </c>
      <c r="C23" s="424">
        <f>(0.0396/365)*31</f>
        <v>3.363287671232877E-3</v>
      </c>
    </row>
    <row r="24" spans="1:3">
      <c r="A24" s="242"/>
      <c r="B24" s="244"/>
      <c r="C24" s="242"/>
    </row>
    <row r="25" spans="1:3">
      <c r="A25" s="242"/>
      <c r="B25" s="244" t="s">
        <v>587</v>
      </c>
      <c r="C25" s="426">
        <f>AVERAGE(C5:C23)</f>
        <v>2.9222092340665277E-3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workbookViewId="0">
      <selection activeCell="F22" sqref="F22"/>
    </sheetView>
  </sheetViews>
  <sheetFormatPr defaultRowHeight="15"/>
  <cols>
    <col min="1" max="1" width="6.77734375" customWidth="1"/>
    <col min="2" max="2" width="12.33203125" customWidth="1"/>
    <col min="3" max="3" width="4.77734375" customWidth="1"/>
    <col min="4" max="4" width="15.88671875" bestFit="1" customWidth="1"/>
    <col min="5" max="7" width="15.88671875" customWidth="1"/>
    <col min="8" max="8" width="16.88671875" bestFit="1" customWidth="1"/>
  </cols>
  <sheetData>
    <row r="1" spans="1:8" ht="15.75">
      <c r="A1" s="68" t="s">
        <v>280</v>
      </c>
    </row>
    <row r="2" spans="1:8" ht="15.75">
      <c r="A2" s="68" t="s">
        <v>413</v>
      </c>
    </row>
    <row r="3" spans="1:8" ht="15.75">
      <c r="A3" s="68" t="str">
        <f>'Plant Balance'!A3</f>
        <v>For the 13 Months Ended December 31, 2018</v>
      </c>
    </row>
    <row r="5" spans="1:8">
      <c r="B5" s="74" t="s">
        <v>408</v>
      </c>
      <c r="C5" s="74"/>
      <c r="D5" s="74" t="s">
        <v>409</v>
      </c>
      <c r="E5" s="74" t="s">
        <v>414</v>
      </c>
      <c r="F5" s="74" t="s">
        <v>410</v>
      </c>
      <c r="G5" s="74" t="s">
        <v>411</v>
      </c>
      <c r="H5" s="74" t="s">
        <v>412</v>
      </c>
    </row>
    <row r="7" spans="1:8" ht="15.75">
      <c r="A7" s="75" t="s">
        <v>4</v>
      </c>
      <c r="B7" s="77"/>
      <c r="C7" s="78"/>
      <c r="D7" s="78"/>
      <c r="E7" s="78"/>
      <c r="F7" s="78"/>
      <c r="G7" s="78" t="s">
        <v>405</v>
      </c>
      <c r="H7" s="79"/>
    </row>
    <row r="8" spans="1:8" ht="15.75">
      <c r="A8" s="76" t="s">
        <v>6</v>
      </c>
      <c r="B8" s="80" t="s">
        <v>402</v>
      </c>
      <c r="C8" s="81"/>
      <c r="D8" s="81" t="s">
        <v>403</v>
      </c>
      <c r="E8" s="81" t="s">
        <v>38</v>
      </c>
      <c r="F8" s="81" t="s">
        <v>404</v>
      </c>
      <c r="G8" s="81" t="s">
        <v>406</v>
      </c>
      <c r="H8" s="82" t="s">
        <v>9</v>
      </c>
    </row>
    <row r="9" spans="1:8">
      <c r="A9" s="83">
        <v>1</v>
      </c>
      <c r="B9" s="98">
        <f>'Plant Balance'!B9</f>
        <v>43070</v>
      </c>
      <c r="C9" s="86"/>
      <c r="D9" s="87">
        <v>3578277177</v>
      </c>
      <c r="E9" s="87">
        <v>496572054</v>
      </c>
      <c r="F9" s="87">
        <v>1409310335</v>
      </c>
      <c r="G9" s="89">
        <v>286168205</v>
      </c>
      <c r="H9" s="88">
        <f>SUM(D9:G9)</f>
        <v>5770327771</v>
      </c>
    </row>
    <row r="10" spans="1:8">
      <c r="A10" s="84">
        <v>2</v>
      </c>
      <c r="B10" s="99">
        <f>'Plant Balance'!B10</f>
        <v>43101</v>
      </c>
      <c r="C10" s="43"/>
      <c r="D10" s="89">
        <v>3605635419</v>
      </c>
      <c r="E10" s="89">
        <v>498970971</v>
      </c>
      <c r="F10" s="89">
        <v>1417449331</v>
      </c>
      <c r="G10" s="89">
        <v>286168205</v>
      </c>
      <c r="H10" s="90">
        <f t="shared" ref="H10:H21" si="0">SUM(D10:G10)</f>
        <v>5808223926</v>
      </c>
    </row>
    <row r="11" spans="1:8">
      <c r="A11" s="84">
        <v>3</v>
      </c>
      <c r="B11" s="99">
        <f>'Plant Balance'!B11</f>
        <v>43132</v>
      </c>
      <c r="C11" s="43"/>
      <c r="D11" s="89">
        <v>3632874158</v>
      </c>
      <c r="E11" s="89">
        <v>501422933</v>
      </c>
      <c r="F11" s="89">
        <v>1425773152</v>
      </c>
      <c r="G11" s="89">
        <v>286168205</v>
      </c>
      <c r="H11" s="90">
        <f t="shared" si="0"/>
        <v>5846238448</v>
      </c>
    </row>
    <row r="12" spans="1:8">
      <c r="A12" s="84">
        <v>4</v>
      </c>
      <c r="B12" s="99">
        <f>'Plant Balance'!B12</f>
        <v>43160</v>
      </c>
      <c r="C12" s="43"/>
      <c r="D12" s="89">
        <v>3660145491</v>
      </c>
      <c r="E12" s="89">
        <v>503878155</v>
      </c>
      <c r="F12" s="89">
        <v>1433582220</v>
      </c>
      <c r="G12" s="89">
        <v>286168205</v>
      </c>
      <c r="H12" s="90">
        <f t="shared" si="0"/>
        <v>5883774071</v>
      </c>
    </row>
    <row r="13" spans="1:8">
      <c r="A13" s="84">
        <v>5</v>
      </c>
      <c r="B13" s="99">
        <f>'Plant Balance'!B13</f>
        <v>43191</v>
      </c>
      <c r="C13" s="43"/>
      <c r="D13" s="89">
        <v>3684628661</v>
      </c>
      <c r="E13" s="89">
        <v>506597560</v>
      </c>
      <c r="F13" s="89">
        <v>1441828546</v>
      </c>
      <c r="G13" s="89">
        <v>286168205</v>
      </c>
      <c r="H13" s="90">
        <f t="shared" si="0"/>
        <v>5919222972</v>
      </c>
    </row>
    <row r="14" spans="1:8">
      <c r="A14" s="84">
        <v>6</v>
      </c>
      <c r="B14" s="99">
        <f>'Plant Balance'!B14</f>
        <v>43221</v>
      </c>
      <c r="C14" s="43"/>
      <c r="D14" s="89">
        <v>3708975629</v>
      </c>
      <c r="E14" s="89">
        <v>509320332</v>
      </c>
      <c r="F14" s="89">
        <v>1449981788</v>
      </c>
      <c r="G14" s="89">
        <v>286168205</v>
      </c>
      <c r="H14" s="90">
        <f t="shared" si="0"/>
        <v>5954445954</v>
      </c>
    </row>
    <row r="15" spans="1:8">
      <c r="A15" s="84">
        <v>7</v>
      </c>
      <c r="B15" s="99">
        <f>'Plant Balance'!B15</f>
        <v>43252</v>
      </c>
      <c r="C15" s="43"/>
      <c r="D15" s="89">
        <v>3733535464</v>
      </c>
      <c r="E15" s="89">
        <v>512050005</v>
      </c>
      <c r="F15" s="89">
        <v>1458054552</v>
      </c>
      <c r="G15" s="89">
        <v>286168205</v>
      </c>
      <c r="H15" s="90">
        <f t="shared" si="0"/>
        <v>5989808226</v>
      </c>
    </row>
    <row r="16" spans="1:8">
      <c r="A16" s="84">
        <v>8</v>
      </c>
      <c r="B16" s="99">
        <f>'Plant Balance'!B16</f>
        <v>43282</v>
      </c>
      <c r="C16" s="43"/>
      <c r="D16" s="89">
        <v>3668442939</v>
      </c>
      <c r="E16" s="89">
        <v>514995309</v>
      </c>
      <c r="F16" s="89">
        <v>1466633044</v>
      </c>
      <c r="G16" s="89">
        <v>286168205</v>
      </c>
      <c r="H16" s="90">
        <f t="shared" si="0"/>
        <v>5936239497</v>
      </c>
    </row>
    <row r="17" spans="1:8">
      <c r="A17" s="84">
        <v>9</v>
      </c>
      <c r="B17" s="99">
        <f>'Plant Balance'!B17</f>
        <v>43313</v>
      </c>
      <c r="C17" s="43"/>
      <c r="D17" s="89">
        <v>3694948932</v>
      </c>
      <c r="E17" s="89">
        <v>517957251</v>
      </c>
      <c r="F17" s="89">
        <v>1475269091</v>
      </c>
      <c r="G17" s="89">
        <v>286168205</v>
      </c>
      <c r="H17" s="90">
        <f t="shared" si="0"/>
        <v>5974343479</v>
      </c>
    </row>
    <row r="18" spans="1:8">
      <c r="A18" s="84">
        <v>10</v>
      </c>
      <c r="B18" s="99">
        <f>'Plant Balance'!B18</f>
        <v>43344</v>
      </c>
      <c r="C18" s="43"/>
      <c r="D18" s="89">
        <v>3722738092</v>
      </c>
      <c r="E18" s="89">
        <v>520946136</v>
      </c>
      <c r="F18" s="89">
        <v>1483532170</v>
      </c>
      <c r="G18" s="89">
        <v>286168205</v>
      </c>
      <c r="H18" s="90">
        <f t="shared" si="0"/>
        <v>6013384603</v>
      </c>
    </row>
    <row r="19" spans="1:8">
      <c r="A19" s="84">
        <v>11</v>
      </c>
      <c r="B19" s="99">
        <f>'Plant Balance'!B19</f>
        <v>43374</v>
      </c>
      <c r="C19" s="43"/>
      <c r="D19" s="89">
        <v>3751413198</v>
      </c>
      <c r="E19" s="89">
        <v>524256357</v>
      </c>
      <c r="F19" s="89">
        <v>1492357356</v>
      </c>
      <c r="G19" s="89">
        <v>286168205</v>
      </c>
      <c r="H19" s="90">
        <f t="shared" si="0"/>
        <v>6054195116</v>
      </c>
    </row>
    <row r="20" spans="1:8">
      <c r="A20" s="84">
        <v>12</v>
      </c>
      <c r="B20" s="99">
        <f>'Plant Balance'!B20</f>
        <v>43405</v>
      </c>
      <c r="C20" s="43"/>
      <c r="D20" s="89">
        <v>3781624717</v>
      </c>
      <c r="E20" s="89">
        <v>527588185</v>
      </c>
      <c r="F20" s="89">
        <v>1501041525</v>
      </c>
      <c r="G20" s="89">
        <v>286168205</v>
      </c>
      <c r="H20" s="90">
        <f t="shared" si="0"/>
        <v>6096422632</v>
      </c>
    </row>
    <row r="21" spans="1:8">
      <c r="A21" s="84">
        <v>13</v>
      </c>
      <c r="B21" s="99">
        <f>'Plant Balance'!B21</f>
        <v>43435</v>
      </c>
      <c r="C21" s="43"/>
      <c r="D21" s="89">
        <v>3807356026</v>
      </c>
      <c r="E21" s="89">
        <v>530922102</v>
      </c>
      <c r="F21" s="89">
        <v>1496790206</v>
      </c>
      <c r="G21" s="89">
        <v>286168205</v>
      </c>
      <c r="H21" s="90">
        <f t="shared" si="0"/>
        <v>6121236539</v>
      </c>
    </row>
    <row r="22" spans="1:8">
      <c r="A22" s="84">
        <v>14</v>
      </c>
      <c r="B22" s="40"/>
      <c r="C22" s="43"/>
      <c r="D22" s="43"/>
      <c r="E22" s="43"/>
      <c r="F22" s="43"/>
      <c r="G22" s="43"/>
      <c r="H22" s="90"/>
    </row>
    <row r="23" spans="1:8" ht="15.75">
      <c r="A23" s="84">
        <v>15</v>
      </c>
      <c r="B23" s="40" t="s">
        <v>407</v>
      </c>
      <c r="C23" s="43"/>
      <c r="D23" s="129">
        <f>AVERAGE(D9:D21)</f>
        <v>3694661223.3076925</v>
      </c>
      <c r="E23" s="129">
        <f>AVERAGE(E9:E21)</f>
        <v>512729026.92307693</v>
      </c>
      <c r="F23" s="129">
        <f>AVERAGE(F9:F21)</f>
        <v>1457815639.6923077</v>
      </c>
      <c r="G23" s="129">
        <f t="shared" ref="G23:H23" si="1">AVERAGE(G9:G21)</f>
        <v>286168205</v>
      </c>
      <c r="H23" s="130">
        <f t="shared" si="1"/>
        <v>5951374094.9230766</v>
      </c>
    </row>
    <row r="24" spans="1:8">
      <c r="A24" s="85"/>
      <c r="B24" s="91"/>
      <c r="C24" s="69"/>
      <c r="D24" s="69"/>
      <c r="E24" s="69"/>
      <c r="F24" s="69"/>
      <c r="G24" s="69"/>
      <c r="H24" s="92"/>
    </row>
  </sheetData>
  <pageMargins left="0.7" right="0.7" top="0.75" bottom="0.75" header="0.3" footer="0.3"/>
  <pageSetup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F23" sqref="F23"/>
    </sheetView>
  </sheetViews>
  <sheetFormatPr defaultRowHeight="15"/>
  <cols>
    <col min="1" max="1" width="6.77734375" customWidth="1"/>
    <col min="2" max="2" width="12.33203125" customWidth="1"/>
    <col min="3" max="3" width="4.77734375" customWidth="1"/>
    <col min="4" max="4" width="15.88671875" bestFit="1" customWidth="1"/>
    <col min="5" max="6" width="15.88671875" customWidth="1"/>
  </cols>
  <sheetData>
    <row r="1" spans="1:6" ht="15.75">
      <c r="A1" s="68" t="s">
        <v>280</v>
      </c>
    </row>
    <row r="2" spans="1:6" ht="15.75">
      <c r="A2" s="68" t="s">
        <v>688</v>
      </c>
    </row>
    <row r="3" spans="1:6" ht="15.75">
      <c r="A3" s="68" t="str">
        <f>'Plant Balance'!A3</f>
        <v>For the 13 Months Ended December 31, 2018</v>
      </c>
    </row>
    <row r="5" spans="1:6">
      <c r="B5" s="74" t="s">
        <v>408</v>
      </c>
      <c r="C5" s="74"/>
      <c r="D5" s="74" t="s">
        <v>409</v>
      </c>
      <c r="E5" s="74" t="s">
        <v>414</v>
      </c>
    </row>
    <row r="7" spans="1:6" ht="15.75">
      <c r="A7" s="132" t="s">
        <v>4</v>
      </c>
      <c r="B7" s="77"/>
      <c r="C7" s="427"/>
      <c r="D7" s="427"/>
      <c r="E7" s="427"/>
      <c r="F7" s="118"/>
    </row>
    <row r="8" spans="1:6" ht="15.75">
      <c r="A8" s="136" t="s">
        <v>6</v>
      </c>
      <c r="B8" s="80" t="s">
        <v>402</v>
      </c>
      <c r="C8" s="81"/>
      <c r="D8" s="81" t="s">
        <v>403</v>
      </c>
      <c r="E8" s="81" t="s">
        <v>38</v>
      </c>
      <c r="F8" s="149" t="s">
        <v>404</v>
      </c>
    </row>
    <row r="9" spans="1:6">
      <c r="A9" s="428">
        <v>1</v>
      </c>
      <c r="B9" s="98">
        <f>'Plant Balance'!B9</f>
        <v>43070</v>
      </c>
      <c r="C9" s="86"/>
      <c r="D9" s="87">
        <v>82658900</v>
      </c>
      <c r="E9" s="87">
        <v>13040</v>
      </c>
      <c r="F9" s="88">
        <v>1131555</v>
      </c>
    </row>
    <row r="10" spans="1:6">
      <c r="A10" s="429">
        <v>2</v>
      </c>
      <c r="B10" s="99">
        <f>'Plant Balance'!B10</f>
        <v>43101</v>
      </c>
      <c r="C10" s="43"/>
      <c r="D10" s="89">
        <v>83364290</v>
      </c>
      <c r="E10" s="89">
        <v>13160</v>
      </c>
      <c r="F10" s="90">
        <v>1118204</v>
      </c>
    </row>
    <row r="11" spans="1:6">
      <c r="A11" s="429">
        <v>3</v>
      </c>
      <c r="B11" s="99">
        <f>'Plant Balance'!B11</f>
        <v>43132</v>
      </c>
      <c r="C11" s="43"/>
      <c r="D11" s="89">
        <v>84069690</v>
      </c>
      <c r="E11" s="89">
        <v>13290</v>
      </c>
      <c r="F11" s="90">
        <v>1104853</v>
      </c>
    </row>
    <row r="12" spans="1:6">
      <c r="A12" s="429">
        <v>4</v>
      </c>
      <c r="B12" s="99">
        <f>'Plant Balance'!B12</f>
        <v>43160</v>
      </c>
      <c r="C12" s="43"/>
      <c r="D12" s="89">
        <v>84775090</v>
      </c>
      <c r="E12" s="89">
        <v>13410</v>
      </c>
      <c r="F12" s="90">
        <v>1091502</v>
      </c>
    </row>
    <row r="13" spans="1:6">
      <c r="A13" s="429">
        <v>5</v>
      </c>
      <c r="B13" s="99">
        <f>'Plant Balance'!B13</f>
        <v>43191</v>
      </c>
      <c r="C13" s="43"/>
      <c r="D13" s="89">
        <v>85480480</v>
      </c>
      <c r="E13" s="89">
        <v>13540</v>
      </c>
      <c r="F13" s="90">
        <v>1078151</v>
      </c>
    </row>
    <row r="14" spans="1:6">
      <c r="A14" s="429">
        <v>6</v>
      </c>
      <c r="B14" s="99">
        <f>'Plant Balance'!B14</f>
        <v>43221</v>
      </c>
      <c r="C14" s="43"/>
      <c r="D14" s="89">
        <v>86185880</v>
      </c>
      <c r="E14" s="89">
        <v>13660</v>
      </c>
      <c r="F14" s="90">
        <v>1064800</v>
      </c>
    </row>
    <row r="15" spans="1:6">
      <c r="A15" s="429">
        <v>7</v>
      </c>
      <c r="B15" s="99">
        <f>'Plant Balance'!B15</f>
        <v>43252</v>
      </c>
      <c r="C15" s="43"/>
      <c r="D15" s="89">
        <v>86891280</v>
      </c>
      <c r="E15" s="89">
        <v>13790</v>
      </c>
      <c r="F15" s="90">
        <v>1051449</v>
      </c>
    </row>
    <row r="16" spans="1:6">
      <c r="A16" s="429">
        <v>8</v>
      </c>
      <c r="B16" s="99">
        <f>'Plant Balance'!B16</f>
        <v>43282</v>
      </c>
      <c r="C16" s="43"/>
      <c r="D16" s="89">
        <v>87596670</v>
      </c>
      <c r="E16" s="89">
        <v>13920</v>
      </c>
      <c r="F16" s="90">
        <v>1038098</v>
      </c>
    </row>
    <row r="17" spans="1:6">
      <c r="A17" s="429">
        <v>9</v>
      </c>
      <c r="B17" s="99">
        <f>'Plant Balance'!B17</f>
        <v>43313</v>
      </c>
      <c r="C17" s="43"/>
      <c r="D17" s="89">
        <v>88302070</v>
      </c>
      <c r="E17" s="89">
        <v>14040</v>
      </c>
      <c r="F17" s="90">
        <v>1024747</v>
      </c>
    </row>
    <row r="18" spans="1:6">
      <c r="A18" s="429">
        <v>10</v>
      </c>
      <c r="B18" s="99">
        <f>'Plant Balance'!B18</f>
        <v>43344</v>
      </c>
      <c r="C18" s="43"/>
      <c r="D18" s="89">
        <v>89007460</v>
      </c>
      <c r="E18" s="89">
        <v>14170</v>
      </c>
      <c r="F18" s="90">
        <v>1011396</v>
      </c>
    </row>
    <row r="19" spans="1:6">
      <c r="A19" s="429">
        <v>11</v>
      </c>
      <c r="B19" s="99">
        <f>'Plant Balance'!B19</f>
        <v>43374</v>
      </c>
      <c r="C19" s="43"/>
      <c r="D19" s="89">
        <v>89712860</v>
      </c>
      <c r="E19" s="89">
        <v>14290</v>
      </c>
      <c r="F19" s="90">
        <v>998045</v>
      </c>
    </row>
    <row r="20" spans="1:6">
      <c r="A20" s="429">
        <v>12</v>
      </c>
      <c r="B20" s="99">
        <f>'Plant Balance'!B20</f>
        <v>43405</v>
      </c>
      <c r="C20" s="43"/>
      <c r="D20" s="89">
        <v>90418250</v>
      </c>
      <c r="E20" s="89">
        <v>14420</v>
      </c>
      <c r="F20" s="90">
        <v>984694</v>
      </c>
    </row>
    <row r="21" spans="1:6">
      <c r="A21" s="429">
        <v>13</v>
      </c>
      <c r="B21" s="99">
        <f>'Plant Balance'!B21</f>
        <v>43435</v>
      </c>
      <c r="C21" s="43"/>
      <c r="D21" s="89">
        <v>91123650</v>
      </c>
      <c r="E21" s="89">
        <v>14540</v>
      </c>
      <c r="F21" s="90">
        <v>971343</v>
      </c>
    </row>
    <row r="22" spans="1:6">
      <c r="A22" s="429">
        <v>14</v>
      </c>
      <c r="B22" s="40"/>
      <c r="C22" s="43"/>
      <c r="D22" s="43"/>
      <c r="E22" s="43"/>
      <c r="F22" s="90"/>
    </row>
    <row r="23" spans="1:6" ht="15.75">
      <c r="A23" s="429">
        <v>15</v>
      </c>
      <c r="B23" s="40" t="s">
        <v>407</v>
      </c>
      <c r="C23" s="43"/>
      <c r="D23" s="129">
        <f>AVERAGE(D9:D21)</f>
        <v>86891274.615384609</v>
      </c>
      <c r="E23" s="129">
        <f>AVERAGE(E9:E21)</f>
        <v>13790</v>
      </c>
      <c r="F23" s="130">
        <f>AVERAGE(F9:F21)</f>
        <v>1051449</v>
      </c>
    </row>
    <row r="24" spans="1:6">
      <c r="A24" s="91"/>
      <c r="B24" s="91"/>
      <c r="C24" s="69"/>
      <c r="D24" s="69"/>
      <c r="E24" s="69"/>
      <c r="F24" s="92"/>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workbookViewId="0">
      <selection activeCell="A3" sqref="A3"/>
    </sheetView>
  </sheetViews>
  <sheetFormatPr defaultRowHeight="15"/>
  <cols>
    <col min="1" max="1" width="6.77734375" customWidth="1"/>
    <col min="2" max="7" width="16.77734375" customWidth="1"/>
  </cols>
  <sheetData>
    <row r="1" spans="1:7" ht="15.75">
      <c r="A1" s="68" t="s">
        <v>280</v>
      </c>
    </row>
    <row r="2" spans="1:7" ht="15.75">
      <c r="A2" s="68" t="s">
        <v>458</v>
      </c>
    </row>
    <row r="3" spans="1:7" ht="15.75">
      <c r="A3" s="68" t="str">
        <f>'Plant Balance'!A3</f>
        <v>For the 13 Months Ended December 31, 2018</v>
      </c>
    </row>
    <row r="5" spans="1:7">
      <c r="B5" s="74" t="s">
        <v>408</v>
      </c>
      <c r="C5" s="74" t="s">
        <v>409</v>
      </c>
      <c r="D5" s="74" t="s">
        <v>414</v>
      </c>
      <c r="E5" s="74" t="s">
        <v>410</v>
      </c>
      <c r="F5" s="74" t="s">
        <v>411</v>
      </c>
      <c r="G5" s="74" t="s">
        <v>412</v>
      </c>
    </row>
    <row r="7" spans="1:7" ht="15.75">
      <c r="A7" s="132" t="s">
        <v>4</v>
      </c>
      <c r="B7" s="101"/>
      <c r="C7" s="236" t="s">
        <v>589</v>
      </c>
      <c r="D7" s="236" t="s">
        <v>588</v>
      </c>
      <c r="E7" s="301" t="s">
        <v>693</v>
      </c>
      <c r="F7" s="252" t="s">
        <v>597</v>
      </c>
      <c r="G7" s="128"/>
    </row>
    <row r="8" spans="1:7" ht="15.75">
      <c r="A8" s="136" t="s">
        <v>6</v>
      </c>
      <c r="B8" s="102" t="s">
        <v>402</v>
      </c>
      <c r="C8" s="81" t="s">
        <v>599</v>
      </c>
      <c r="D8" s="81" t="s">
        <v>598</v>
      </c>
      <c r="E8" s="81" t="s">
        <v>689</v>
      </c>
      <c r="F8" s="81" t="s">
        <v>596</v>
      </c>
      <c r="G8" s="82" t="s">
        <v>9</v>
      </c>
    </row>
    <row r="9" spans="1:7">
      <c r="A9" s="95">
        <v>1</v>
      </c>
      <c r="B9" s="98">
        <f>'Plant Balance'!B9</f>
        <v>43070</v>
      </c>
      <c r="C9" s="86">
        <v>0</v>
      </c>
      <c r="D9" s="86">
        <v>0</v>
      </c>
      <c r="E9" s="86">
        <v>19399767.861637309</v>
      </c>
      <c r="F9" s="86">
        <v>0</v>
      </c>
      <c r="G9" s="118">
        <f t="shared" ref="G9:G21" si="0">SUM(C9:F9)</f>
        <v>19399767.861637309</v>
      </c>
    </row>
    <row r="10" spans="1:7">
      <c r="A10" s="96">
        <v>2</v>
      </c>
      <c r="B10" s="99">
        <f>'Plant Balance'!B10</f>
        <v>43101</v>
      </c>
      <c r="C10" s="43">
        <v>0</v>
      </c>
      <c r="D10" s="43">
        <v>0</v>
      </c>
      <c r="E10" s="43">
        <v>29111624.402243041</v>
      </c>
      <c r="F10" s="253">
        <v>0</v>
      </c>
      <c r="G10" s="42">
        <f t="shared" si="0"/>
        <v>29111624.402243041</v>
      </c>
    </row>
    <row r="11" spans="1:7">
      <c r="A11" s="96">
        <v>3</v>
      </c>
      <c r="B11" s="99">
        <f>'Plant Balance'!B11</f>
        <v>43132</v>
      </c>
      <c r="C11" s="43">
        <v>0</v>
      </c>
      <c r="D11" s="43">
        <v>0</v>
      </c>
      <c r="E11" s="43">
        <v>38698599.587048769</v>
      </c>
      <c r="F11" s="253">
        <v>0</v>
      </c>
      <c r="G11" s="42">
        <f t="shared" si="0"/>
        <v>38698599.587048769</v>
      </c>
    </row>
    <row r="12" spans="1:7">
      <c r="A12" s="96">
        <v>4</v>
      </c>
      <c r="B12" s="99">
        <f>'Plant Balance'!B12</f>
        <v>43160</v>
      </c>
      <c r="C12" s="43">
        <v>0</v>
      </c>
      <c r="D12" s="43">
        <v>0</v>
      </c>
      <c r="E12" s="43">
        <v>42522971.771454506</v>
      </c>
      <c r="F12" s="253">
        <v>0</v>
      </c>
      <c r="G12" s="42">
        <f t="shared" si="0"/>
        <v>42522971.771454506</v>
      </c>
    </row>
    <row r="13" spans="1:7">
      <c r="A13" s="96">
        <v>5</v>
      </c>
      <c r="B13" s="99">
        <f>'Plant Balance'!B13</f>
        <v>43191</v>
      </c>
      <c r="C13" s="43">
        <v>0</v>
      </c>
      <c r="D13" s="43">
        <v>0</v>
      </c>
      <c r="E13" s="43">
        <v>45809004.388748772</v>
      </c>
      <c r="F13" s="253">
        <v>0</v>
      </c>
      <c r="G13" s="42">
        <f t="shared" si="0"/>
        <v>45809004.388748772</v>
      </c>
    </row>
    <row r="14" spans="1:7">
      <c r="A14" s="96">
        <v>6</v>
      </c>
      <c r="B14" s="99">
        <f>'Plant Balance'!B14</f>
        <v>43221</v>
      </c>
      <c r="C14" s="43">
        <v>0</v>
      </c>
      <c r="D14" s="43">
        <v>0</v>
      </c>
      <c r="E14" s="43">
        <v>48743890.375343047</v>
      </c>
      <c r="F14" s="253">
        <v>0</v>
      </c>
      <c r="G14" s="42">
        <f t="shared" si="0"/>
        <v>48743890.375343047</v>
      </c>
    </row>
    <row r="15" spans="1:7">
      <c r="A15" s="96">
        <v>7</v>
      </c>
      <c r="B15" s="99">
        <f>'Plant Balance'!B15</f>
        <v>43252</v>
      </c>
      <c r="C15" s="43">
        <v>0</v>
      </c>
      <c r="D15" s="43">
        <v>0</v>
      </c>
      <c r="E15" s="43">
        <v>0</v>
      </c>
      <c r="F15" s="253">
        <v>0</v>
      </c>
      <c r="G15" s="42">
        <f t="shared" si="0"/>
        <v>0</v>
      </c>
    </row>
    <row r="16" spans="1:7">
      <c r="A16" s="96">
        <v>8</v>
      </c>
      <c r="B16" s="99">
        <f>'Plant Balance'!B16</f>
        <v>43282</v>
      </c>
      <c r="C16" s="43">
        <v>0</v>
      </c>
      <c r="D16" s="43">
        <v>0</v>
      </c>
      <c r="E16" s="43">
        <v>0</v>
      </c>
      <c r="F16" s="43">
        <v>0</v>
      </c>
      <c r="G16" s="42">
        <f t="shared" si="0"/>
        <v>0</v>
      </c>
    </row>
    <row r="17" spans="1:7">
      <c r="A17" s="96">
        <v>9</v>
      </c>
      <c r="B17" s="99">
        <f>'Plant Balance'!B17</f>
        <v>43313</v>
      </c>
      <c r="C17" s="43">
        <v>0</v>
      </c>
      <c r="D17" s="43">
        <v>0</v>
      </c>
      <c r="E17" s="43">
        <v>0</v>
      </c>
      <c r="F17" s="43">
        <v>0</v>
      </c>
      <c r="G17" s="42">
        <f t="shared" si="0"/>
        <v>0</v>
      </c>
    </row>
    <row r="18" spans="1:7">
      <c r="A18" s="96">
        <v>10</v>
      </c>
      <c r="B18" s="99">
        <f>'Plant Balance'!B18</f>
        <v>43344</v>
      </c>
      <c r="C18" s="43">
        <v>0</v>
      </c>
      <c r="D18" s="43">
        <v>0</v>
      </c>
      <c r="E18" s="253">
        <v>0</v>
      </c>
      <c r="F18" s="43">
        <v>0</v>
      </c>
      <c r="G18" s="42">
        <f t="shared" si="0"/>
        <v>0</v>
      </c>
    </row>
    <row r="19" spans="1:7">
      <c r="A19" s="96">
        <v>11</v>
      </c>
      <c r="B19" s="99">
        <f>'Plant Balance'!B19</f>
        <v>43374</v>
      </c>
      <c r="C19" s="43">
        <v>0</v>
      </c>
      <c r="D19" s="43">
        <v>0</v>
      </c>
      <c r="E19" s="253">
        <v>0</v>
      </c>
      <c r="F19" s="43">
        <v>0</v>
      </c>
      <c r="G19" s="42">
        <f t="shared" si="0"/>
        <v>0</v>
      </c>
    </row>
    <row r="20" spans="1:7">
      <c r="A20" s="96">
        <v>12</v>
      </c>
      <c r="B20" s="99">
        <f>'Plant Balance'!B20</f>
        <v>43405</v>
      </c>
      <c r="C20" s="43">
        <v>0</v>
      </c>
      <c r="D20" s="43">
        <v>0</v>
      </c>
      <c r="E20" s="253">
        <v>0</v>
      </c>
      <c r="F20" s="43">
        <v>0</v>
      </c>
      <c r="G20" s="42">
        <f t="shared" si="0"/>
        <v>0</v>
      </c>
    </row>
    <row r="21" spans="1:7">
      <c r="A21" s="96">
        <v>13</v>
      </c>
      <c r="B21" s="99">
        <f>'Plant Balance'!B21</f>
        <v>43435</v>
      </c>
      <c r="C21" s="69">
        <v>0</v>
      </c>
      <c r="D21" s="69">
        <v>0</v>
      </c>
      <c r="E21" s="69">
        <v>0</v>
      </c>
      <c r="F21" s="69">
        <v>0</v>
      </c>
      <c r="G21" s="92">
        <f t="shared" si="0"/>
        <v>0</v>
      </c>
    </row>
    <row r="22" spans="1:7">
      <c r="A22" s="96">
        <v>14</v>
      </c>
      <c r="B22" s="40"/>
      <c r="C22" s="43"/>
      <c r="D22" s="43"/>
      <c r="E22" s="43"/>
      <c r="F22" s="43"/>
      <c r="G22" s="42"/>
    </row>
    <row r="23" spans="1:7" ht="15.75">
      <c r="A23" s="96">
        <v>15</v>
      </c>
      <c r="B23" s="108" t="s">
        <v>407</v>
      </c>
      <c r="C23" s="43">
        <f>AVERAGE(C9:C21)</f>
        <v>0</v>
      </c>
      <c r="D23" s="43">
        <f>AVERAGE(D9:D21)</f>
        <v>0</v>
      </c>
      <c r="E23" s="43">
        <f>AVERAGE(E9:E21)</f>
        <v>17252758.337421186</v>
      </c>
      <c r="F23" s="43">
        <f t="shared" ref="F23" si="1">AVERAGE(F9:F21)</f>
        <v>0</v>
      </c>
      <c r="G23" s="113">
        <f>AVERAGE(G9:G21)</f>
        <v>17252758.337421186</v>
      </c>
    </row>
    <row r="24" spans="1:7">
      <c r="A24" s="85"/>
      <c r="B24" s="91"/>
      <c r="C24" s="69"/>
      <c r="D24" s="69"/>
      <c r="E24" s="69"/>
      <c r="F24" s="69"/>
      <c r="G24" s="92"/>
    </row>
    <row r="26" spans="1:7">
      <c r="A26" s="245"/>
    </row>
    <row r="27" spans="1:7">
      <c r="A27" s="245"/>
    </row>
  </sheetData>
  <pageMargins left="0.7" right="0.7" top="0.75" bottom="0.75" header="0.3" footer="0.3"/>
  <pageSetup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opLeftCell="A10" zoomScaleNormal="100" workbookViewId="0">
      <selection activeCell="F15" sqref="F15"/>
    </sheetView>
  </sheetViews>
  <sheetFormatPr defaultRowHeight="16.5"/>
  <cols>
    <col min="1" max="1" width="8.88671875" style="259"/>
    <col min="2" max="2" width="9.88671875" style="259" customWidth="1"/>
    <col min="3" max="3" width="8.21875" style="259" bestFit="1" customWidth="1"/>
    <col min="4" max="4" width="8.88671875" style="259"/>
    <col min="5" max="5" width="13.88671875" style="259" bestFit="1" customWidth="1"/>
    <col min="6" max="6" width="13.109375" style="259" bestFit="1" customWidth="1"/>
    <col min="7" max="7" width="12.5546875" style="259" bestFit="1" customWidth="1"/>
    <col min="8" max="8" width="12.6640625" style="259" bestFit="1" customWidth="1"/>
    <col min="9" max="9" width="10.33203125" style="259" bestFit="1" customWidth="1"/>
    <col min="10" max="10" width="13.21875" style="259" bestFit="1" customWidth="1"/>
    <col min="11" max="11" width="11" style="259" bestFit="1" customWidth="1"/>
    <col min="12" max="12" width="15.6640625" style="259" bestFit="1" customWidth="1"/>
    <col min="13" max="13" width="13.109375" style="259" bestFit="1" customWidth="1"/>
    <col min="14" max="14" width="8.88671875" style="259"/>
    <col min="15" max="16384" width="8.88671875" style="261"/>
  </cols>
  <sheetData>
    <row r="1" spans="1:19" s="259" customFormat="1">
      <c r="M1" s="260" t="s">
        <v>614</v>
      </c>
      <c r="O1" s="261"/>
      <c r="P1" s="261"/>
      <c r="Q1" s="261"/>
      <c r="R1" s="261"/>
      <c r="S1" s="261"/>
    </row>
    <row r="2" spans="1:19" s="259" customFormat="1">
      <c r="M2" s="260" t="s">
        <v>673</v>
      </c>
      <c r="O2" s="261"/>
      <c r="P2" s="261"/>
      <c r="Q2" s="261"/>
      <c r="R2" s="261"/>
      <c r="S2" s="261"/>
    </row>
    <row r="3" spans="1:19" s="259" customFormat="1">
      <c r="M3" s="260" t="s">
        <v>615</v>
      </c>
      <c r="O3" s="261"/>
      <c r="P3" s="261"/>
      <c r="Q3" s="261"/>
      <c r="R3" s="261"/>
      <c r="S3" s="261"/>
    </row>
    <row r="4" spans="1:19" s="259" customFormat="1">
      <c r="A4" s="442" t="s">
        <v>672</v>
      </c>
      <c r="B4" s="442"/>
      <c r="C4" s="442"/>
      <c r="D4" s="442"/>
      <c r="E4" s="442"/>
      <c r="F4" s="442"/>
      <c r="G4" s="442"/>
      <c r="H4" s="442"/>
      <c r="I4" s="442"/>
      <c r="J4" s="442"/>
      <c r="K4" s="442"/>
      <c r="L4" s="442"/>
      <c r="M4" s="442"/>
      <c r="O4" s="261"/>
      <c r="P4" s="261"/>
      <c r="Q4" s="261"/>
      <c r="R4" s="261"/>
      <c r="S4" s="261"/>
    </row>
    <row r="5" spans="1:19" s="259" customFormat="1">
      <c r="E5" s="262"/>
      <c r="F5" s="262"/>
      <c r="G5" s="262"/>
      <c r="H5" s="262"/>
      <c r="I5" s="262"/>
      <c r="J5" s="262"/>
      <c r="K5" s="262"/>
      <c r="L5" s="262"/>
      <c r="O5" s="261"/>
      <c r="P5" s="261"/>
      <c r="Q5" s="261"/>
      <c r="R5" s="261"/>
      <c r="S5" s="261"/>
    </row>
    <row r="6" spans="1:19" s="259" customFormat="1">
      <c r="E6" s="262"/>
      <c r="F6" s="262"/>
      <c r="G6" s="262"/>
      <c r="H6" s="262"/>
      <c r="I6" s="262"/>
      <c r="J6" s="262"/>
      <c r="K6" s="262"/>
      <c r="L6" s="262"/>
      <c r="O6" s="261"/>
      <c r="P6" s="261"/>
      <c r="Q6" s="261"/>
      <c r="R6" s="261"/>
      <c r="S6" s="261"/>
    </row>
    <row r="7" spans="1:19" s="259" customFormat="1">
      <c r="A7" s="263" t="s">
        <v>616</v>
      </c>
      <c r="E7" s="262"/>
      <c r="F7" s="262"/>
      <c r="G7" s="262"/>
      <c r="H7" s="262"/>
      <c r="I7" s="262"/>
      <c r="J7" s="262"/>
      <c r="K7" s="262"/>
      <c r="L7" s="262"/>
      <c r="O7" s="261"/>
      <c r="P7" s="261"/>
      <c r="Q7" s="261"/>
      <c r="R7" s="261"/>
      <c r="S7" s="261"/>
    </row>
    <row r="8" spans="1:19" s="259" customFormat="1">
      <c r="E8" s="262"/>
      <c r="F8" s="262"/>
      <c r="G8" s="262"/>
      <c r="H8" s="262"/>
      <c r="I8" s="262"/>
      <c r="J8" s="262"/>
      <c r="K8" s="262"/>
      <c r="L8" s="262"/>
      <c r="O8" s="261"/>
      <c r="P8" s="261"/>
      <c r="Q8" s="261"/>
      <c r="R8" s="261"/>
      <c r="S8" s="261"/>
    </row>
    <row r="9" spans="1:19" s="259" customFormat="1">
      <c r="B9" s="259" t="s">
        <v>617</v>
      </c>
      <c r="C9" s="259" t="s">
        <v>618</v>
      </c>
      <c r="D9" s="259" t="s">
        <v>619</v>
      </c>
      <c r="E9" s="262" t="s">
        <v>620</v>
      </c>
      <c r="F9" s="262" t="s">
        <v>621</v>
      </c>
      <c r="G9" s="262" t="s">
        <v>622</v>
      </c>
      <c r="H9" s="262" t="s">
        <v>623</v>
      </c>
      <c r="I9" s="262" t="s">
        <v>624</v>
      </c>
      <c r="J9" s="262" t="s">
        <v>625</v>
      </c>
      <c r="K9" s="262" t="s">
        <v>626</v>
      </c>
      <c r="L9" s="262" t="s">
        <v>627</v>
      </c>
      <c r="M9" s="262" t="s">
        <v>628</v>
      </c>
      <c r="O9" s="261"/>
      <c r="P9" s="261"/>
      <c r="Q9" s="261"/>
      <c r="R9" s="261"/>
      <c r="S9" s="261"/>
    </row>
    <row r="10" spans="1:19" s="259" customFormat="1">
      <c r="B10" s="262" t="s">
        <v>629</v>
      </c>
      <c r="E10" s="262" t="s">
        <v>630</v>
      </c>
      <c r="F10" s="262"/>
      <c r="G10" s="264">
        <v>1</v>
      </c>
      <c r="H10" s="262" t="s">
        <v>631</v>
      </c>
      <c r="I10" s="262" t="s">
        <v>632</v>
      </c>
      <c r="J10" s="262" t="s">
        <v>633</v>
      </c>
      <c r="K10" s="262" t="s">
        <v>634</v>
      </c>
      <c r="L10" s="262" t="s">
        <v>635</v>
      </c>
      <c r="M10" s="262" t="s">
        <v>636</v>
      </c>
      <c r="O10" s="261"/>
      <c r="P10" s="261"/>
      <c r="Q10" s="261"/>
      <c r="R10" s="261"/>
      <c r="S10" s="261"/>
    </row>
    <row r="11" spans="1:19" s="259" customFormat="1">
      <c r="B11" s="262" t="s">
        <v>637</v>
      </c>
      <c r="E11" s="262" t="s">
        <v>638</v>
      </c>
      <c r="F11" s="262" t="s">
        <v>7</v>
      </c>
      <c r="G11" s="262" t="s">
        <v>38</v>
      </c>
      <c r="H11" s="264" t="s">
        <v>639</v>
      </c>
      <c r="I11" s="262" t="s">
        <v>640</v>
      </c>
      <c r="J11" s="264" t="s">
        <v>641</v>
      </c>
      <c r="K11" s="262" t="s">
        <v>642</v>
      </c>
      <c r="L11" s="264" t="s">
        <v>643</v>
      </c>
      <c r="M11" s="262" t="s">
        <v>644</v>
      </c>
      <c r="O11" s="261"/>
      <c r="P11" s="261"/>
      <c r="Q11" s="261"/>
      <c r="R11" s="261"/>
      <c r="S11" s="261"/>
    </row>
    <row r="12" spans="1:19" s="259" customFormat="1">
      <c r="B12" s="262" t="s">
        <v>645</v>
      </c>
      <c r="E12" s="262"/>
      <c r="F12" s="262"/>
      <c r="G12" s="262"/>
      <c r="H12" s="265">
        <v>1</v>
      </c>
      <c r="I12" s="262"/>
      <c r="J12" s="303">
        <f>'Nonlevelized-MEC'!G110</f>
        <v>0.1133790746285412</v>
      </c>
      <c r="K12" s="262"/>
      <c r="L12" s="303">
        <f>'Nonlevelized-MEC'!I259</f>
        <v>5.9794381772453144E-2</v>
      </c>
      <c r="M12" s="262" t="s">
        <v>646</v>
      </c>
      <c r="O12" s="261"/>
      <c r="P12" s="261"/>
      <c r="Q12" s="261"/>
      <c r="R12" s="261"/>
      <c r="S12" s="261"/>
    </row>
    <row r="13" spans="1:19" s="259" customFormat="1">
      <c r="B13" s="262" t="s">
        <v>647</v>
      </c>
      <c r="E13" s="262"/>
      <c r="F13" s="262"/>
      <c r="G13" s="262"/>
      <c r="H13" s="266"/>
      <c r="I13" s="262"/>
      <c r="J13" s="262" t="s">
        <v>648</v>
      </c>
      <c r="K13" s="262"/>
      <c r="L13" s="262" t="s">
        <v>648</v>
      </c>
      <c r="M13" s="262"/>
      <c r="O13" s="261"/>
      <c r="P13" s="261"/>
      <c r="Q13" s="261"/>
      <c r="R13" s="261"/>
      <c r="S13" s="261"/>
    </row>
    <row r="14" spans="1:19">
      <c r="B14" s="267"/>
      <c r="C14" s="268" t="s">
        <v>649</v>
      </c>
      <c r="E14" s="262"/>
      <c r="F14" s="262"/>
      <c r="G14" s="262"/>
      <c r="H14" s="262"/>
      <c r="I14" s="262"/>
      <c r="J14" s="262" t="s">
        <v>650</v>
      </c>
      <c r="K14" s="262"/>
      <c r="L14" s="262" t="s">
        <v>651</v>
      </c>
      <c r="M14" s="262"/>
    </row>
    <row r="15" spans="1:19">
      <c r="B15" s="259" t="s">
        <v>652</v>
      </c>
      <c r="C15" s="259" t="s">
        <v>653</v>
      </c>
      <c r="D15" s="302">
        <v>2017</v>
      </c>
      <c r="E15" s="270">
        <v>1</v>
      </c>
      <c r="F15" s="271">
        <v>-3017266579.2961497</v>
      </c>
      <c r="G15" s="271">
        <v>-258055680.07668799</v>
      </c>
      <c r="H15" s="272">
        <f t="shared" ref="H15:H27" si="0">+H$12*G15</f>
        <v>-258055680.07668799</v>
      </c>
      <c r="I15" s="271">
        <v>0</v>
      </c>
      <c r="J15" s="272">
        <f t="shared" ref="J15:J27" si="1">+I15*J$12</f>
        <v>0</v>
      </c>
      <c r="K15" s="271">
        <v>-58253616.109258004</v>
      </c>
      <c r="L15" s="272">
        <f t="shared" ref="L15:L27" si="2">+K15*L$12</f>
        <v>-3483238.9612628995</v>
      </c>
      <c r="M15" s="273">
        <f t="shared" ref="M15:M27" si="3">(L15+J15+H15)*E15</f>
        <v>-261538919.0379509</v>
      </c>
      <c r="N15" s="274"/>
      <c r="O15" s="275"/>
      <c r="P15" s="275"/>
      <c r="Q15" s="275"/>
      <c r="R15" s="275"/>
      <c r="S15" s="275"/>
    </row>
    <row r="16" spans="1:19">
      <c r="B16" s="259" t="s">
        <v>654</v>
      </c>
      <c r="C16" s="259" t="s">
        <v>655</v>
      </c>
      <c r="D16" s="302">
        <v>2018</v>
      </c>
      <c r="E16" s="270">
        <v>0.9178082191780822</v>
      </c>
      <c r="F16" s="271">
        <v>-3959578.3535302617</v>
      </c>
      <c r="G16" s="271">
        <v>-714357.57639599615</v>
      </c>
      <c r="H16" s="272">
        <f t="shared" si="0"/>
        <v>-714357.57639599615</v>
      </c>
      <c r="I16" s="271">
        <v>0</v>
      </c>
      <c r="J16" s="272">
        <f t="shared" si="1"/>
        <v>0</v>
      </c>
      <c r="K16" s="276">
        <v>-56048.733380826889</v>
      </c>
      <c r="L16" s="272">
        <f t="shared" si="2"/>
        <v>-3351.3993616356015</v>
      </c>
      <c r="M16" s="273">
        <f t="shared" si="3"/>
        <v>-658719.19692823733</v>
      </c>
      <c r="N16" s="277"/>
      <c r="O16" s="278"/>
      <c r="P16" s="275"/>
      <c r="Q16" s="275"/>
      <c r="R16" s="275"/>
      <c r="S16" s="278"/>
    </row>
    <row r="17" spans="2:19">
      <c r="B17" s="259" t="s">
        <v>654</v>
      </c>
      <c r="C17" s="279" t="s">
        <v>656</v>
      </c>
      <c r="D17" s="302">
        <v>2018</v>
      </c>
      <c r="E17" s="270">
        <v>0.84109589041095889</v>
      </c>
      <c r="F17" s="271">
        <v>-4861135.3022498079</v>
      </c>
      <c r="G17" s="271">
        <v>-738028.28932201373</v>
      </c>
      <c r="H17" s="272">
        <f t="shared" si="0"/>
        <v>-738028.28932201373</v>
      </c>
      <c r="I17" s="271">
        <v>0</v>
      </c>
      <c r="J17" s="272">
        <f t="shared" si="1"/>
        <v>0</v>
      </c>
      <c r="K17" s="276">
        <v>-93819.911333419441</v>
      </c>
      <c r="L17" s="272">
        <f t="shared" si="2"/>
        <v>-5609.9035961281852</v>
      </c>
      <c r="M17" s="273">
        <f t="shared" si="3"/>
        <v>-625471.02801608108</v>
      </c>
      <c r="N17" s="277"/>
      <c r="O17" s="278"/>
      <c r="P17" s="275"/>
      <c r="Q17" s="275"/>
      <c r="R17" s="275"/>
      <c r="S17" s="278"/>
    </row>
    <row r="18" spans="2:19">
      <c r="B18" s="259" t="s">
        <v>654</v>
      </c>
      <c r="C18" s="279" t="s">
        <v>657</v>
      </c>
      <c r="D18" s="302">
        <v>2018</v>
      </c>
      <c r="E18" s="270">
        <v>0.75616438356164384</v>
      </c>
      <c r="F18" s="271">
        <v>-6084837.2900499962</v>
      </c>
      <c r="G18" s="271">
        <v>-799073.73247898067</v>
      </c>
      <c r="H18" s="272">
        <f t="shared" si="0"/>
        <v>-799073.73247898067</v>
      </c>
      <c r="I18" s="271">
        <v>0</v>
      </c>
      <c r="J18" s="272">
        <f t="shared" si="1"/>
        <v>0</v>
      </c>
      <c r="K18" s="276">
        <v>-117437.35969797126</v>
      </c>
      <c r="L18" s="272">
        <f t="shared" si="2"/>
        <v>-7022.0943201293958</v>
      </c>
      <c r="M18" s="273">
        <f t="shared" si="3"/>
        <v>-609540.95396316261</v>
      </c>
      <c r="N18" s="277"/>
      <c r="O18" s="278"/>
      <c r="P18" s="275"/>
      <c r="Q18" s="275"/>
      <c r="R18" s="275"/>
      <c r="S18" s="278"/>
    </row>
    <row r="19" spans="2:19">
      <c r="B19" s="259" t="s">
        <v>654</v>
      </c>
      <c r="C19" s="279" t="s">
        <v>658</v>
      </c>
      <c r="D19" s="302">
        <v>2018</v>
      </c>
      <c r="E19" s="270">
        <v>0.67397260273972603</v>
      </c>
      <c r="F19" s="271">
        <v>-7063516.7370699346</v>
      </c>
      <c r="G19" s="271">
        <v>-753458.74868601095</v>
      </c>
      <c r="H19" s="272">
        <f t="shared" si="0"/>
        <v>-753458.74868601095</v>
      </c>
      <c r="I19" s="271">
        <v>0</v>
      </c>
      <c r="J19" s="272">
        <f t="shared" si="1"/>
        <v>0</v>
      </c>
      <c r="K19" s="276">
        <v>-136325.87302544562</v>
      </c>
      <c r="L19" s="272">
        <f t="shared" si="2"/>
        <v>-8151.5212971464671</v>
      </c>
      <c r="M19" s="273">
        <f t="shared" si="3"/>
        <v>-513304.45593385404</v>
      </c>
      <c r="N19" s="277"/>
      <c r="O19" s="278"/>
      <c r="P19" s="275"/>
      <c r="Q19" s="275"/>
      <c r="R19" s="275"/>
      <c r="S19" s="278"/>
    </row>
    <row r="20" spans="2:19">
      <c r="B20" s="259" t="s">
        <v>654</v>
      </c>
      <c r="C20" s="279" t="s">
        <v>659</v>
      </c>
      <c r="D20" s="302">
        <v>2018</v>
      </c>
      <c r="E20" s="270">
        <v>0.58904109589041098</v>
      </c>
      <c r="F20" s="271">
        <v>-9761984.7320900299</v>
      </c>
      <c r="G20" s="271">
        <v>-921181.28760598483</v>
      </c>
      <c r="H20" s="272">
        <f t="shared" si="0"/>
        <v>-921181.28760598483</v>
      </c>
      <c r="I20" s="271">
        <v>0</v>
      </c>
      <c r="J20" s="272">
        <f t="shared" si="1"/>
        <v>0</v>
      </c>
      <c r="K20" s="276">
        <v>-188406.30532933574</v>
      </c>
      <c r="L20" s="272">
        <f t="shared" si="2"/>
        <v>-11265.638549199675</v>
      </c>
      <c r="M20" s="273">
        <f t="shared" si="3"/>
        <v>-549249.55924209498</v>
      </c>
      <c r="N20" s="277"/>
      <c r="O20" s="278"/>
      <c r="P20" s="275"/>
      <c r="Q20" s="275"/>
      <c r="R20" s="275"/>
      <c r="S20" s="278"/>
    </row>
    <row r="21" spans="2:19">
      <c r="B21" s="259" t="s">
        <v>654</v>
      </c>
      <c r="C21" s="279" t="s">
        <v>660</v>
      </c>
      <c r="D21" s="302">
        <v>2018</v>
      </c>
      <c r="E21" s="270">
        <v>0.50684931506849318</v>
      </c>
      <c r="F21" s="271">
        <v>-15647522.732170299</v>
      </c>
      <c r="G21" s="271">
        <v>-4801980.9699259931</v>
      </c>
      <c r="H21" s="272">
        <f t="shared" si="0"/>
        <v>-4801980.9699259931</v>
      </c>
      <c r="I21" s="271">
        <v>0</v>
      </c>
      <c r="J21" s="272">
        <f t="shared" si="1"/>
        <v>0</v>
      </c>
      <c r="K21" s="276">
        <v>-301997.18873088568</v>
      </c>
      <c r="L21" s="272">
        <f t="shared" si="2"/>
        <v>-18057.735197182163</v>
      </c>
      <c r="M21" s="273">
        <f t="shared" si="3"/>
        <v>-2443033.3162953081</v>
      </c>
      <c r="N21" s="277"/>
      <c r="O21" s="278"/>
      <c r="P21" s="275"/>
      <c r="Q21" s="275"/>
      <c r="R21" s="275"/>
      <c r="S21" s="278"/>
    </row>
    <row r="22" spans="2:19">
      <c r="B22" s="259" t="s">
        <v>654</v>
      </c>
      <c r="C22" s="279" t="s">
        <v>661</v>
      </c>
      <c r="D22" s="302">
        <v>2018</v>
      </c>
      <c r="E22" s="270">
        <v>0.42191780821917807</v>
      </c>
      <c r="F22" s="271">
        <v>-28160813.647999894</v>
      </c>
      <c r="G22" s="271">
        <v>-2122830.0385079929</v>
      </c>
      <c r="H22" s="272">
        <f t="shared" si="0"/>
        <v>-2122830.0385079929</v>
      </c>
      <c r="I22" s="271">
        <v>0</v>
      </c>
      <c r="J22" s="272">
        <f t="shared" si="1"/>
        <v>0</v>
      </c>
      <c r="K22" s="276">
        <v>-543503.70340640075</v>
      </c>
      <c r="L22" s="272">
        <f t="shared" si="2"/>
        <v>-32498.467936224468</v>
      </c>
      <c r="M22" s="273">
        <f t="shared" si="3"/>
        <v>-909371.47943125875</v>
      </c>
      <c r="N22" s="277"/>
      <c r="O22" s="278"/>
      <c r="P22" s="275"/>
      <c r="Q22" s="275"/>
      <c r="R22" s="275"/>
      <c r="S22" s="278"/>
    </row>
    <row r="23" spans="2:19">
      <c r="B23" s="259" t="s">
        <v>654</v>
      </c>
      <c r="C23" s="279" t="s">
        <v>662</v>
      </c>
      <c r="D23" s="302">
        <v>2018</v>
      </c>
      <c r="E23" s="270">
        <v>0.33698630136986302</v>
      </c>
      <c r="F23" s="271">
        <v>-60892342.252410017</v>
      </c>
      <c r="G23" s="271">
        <v>-2895187.1189880185</v>
      </c>
      <c r="H23" s="272">
        <f t="shared" si="0"/>
        <v>-2895187.1189880185</v>
      </c>
      <c r="I23" s="271">
        <v>0</v>
      </c>
      <c r="J23" s="272">
        <f t="shared" si="1"/>
        <v>0</v>
      </c>
      <c r="K23" s="276">
        <v>-1175222.2054715166</v>
      </c>
      <c r="L23" s="272">
        <f t="shared" si="2"/>
        <v>-70271.685221428241</v>
      </c>
      <c r="M23" s="273">
        <f t="shared" si="3"/>
        <v>-999318.99429523817</v>
      </c>
      <c r="N23" s="277"/>
      <c r="O23" s="278"/>
      <c r="P23" s="275"/>
      <c r="Q23" s="275"/>
      <c r="R23" s="275"/>
      <c r="S23" s="278"/>
    </row>
    <row r="24" spans="2:19">
      <c r="B24" s="259" t="s">
        <v>654</v>
      </c>
      <c r="C24" s="279" t="s">
        <v>663</v>
      </c>
      <c r="D24" s="302">
        <v>2018</v>
      </c>
      <c r="E24" s="270">
        <v>0.25479452054794521</v>
      </c>
      <c r="F24" s="271">
        <v>-79763199.122590005</v>
      </c>
      <c r="G24" s="271">
        <v>-2158592.5092090038</v>
      </c>
      <c r="H24" s="272">
        <f t="shared" si="0"/>
        <v>-2158592.5092090038</v>
      </c>
      <c r="I24" s="271">
        <v>0</v>
      </c>
      <c r="J24" s="272">
        <f t="shared" si="1"/>
        <v>0</v>
      </c>
      <c r="K24" s="276">
        <v>-1539429.7430659863</v>
      </c>
      <c r="L24" s="272">
        <f t="shared" si="2"/>
        <v>-92049.249768757043</v>
      </c>
      <c r="M24" s="273">
        <f t="shared" si="3"/>
        <v>-573451.18790392263</v>
      </c>
      <c r="N24" s="277"/>
      <c r="O24" s="278"/>
      <c r="P24" s="275"/>
      <c r="Q24" s="275"/>
      <c r="R24" s="275"/>
      <c r="S24" s="278"/>
    </row>
    <row r="25" spans="2:19">
      <c r="B25" s="259" t="s">
        <v>654</v>
      </c>
      <c r="C25" s="279" t="s">
        <v>664</v>
      </c>
      <c r="D25" s="302">
        <v>2018</v>
      </c>
      <c r="E25" s="270">
        <v>0.16986301369863013</v>
      </c>
      <c r="F25" s="271">
        <v>-63562686.625000089</v>
      </c>
      <c r="G25" s="271">
        <v>-2969394.8987040203</v>
      </c>
      <c r="H25" s="272">
        <f t="shared" si="0"/>
        <v>-2969394.8987040203</v>
      </c>
      <c r="I25" s="271">
        <v>0</v>
      </c>
      <c r="J25" s="272">
        <f t="shared" si="1"/>
        <v>0</v>
      </c>
      <c r="K25" s="276">
        <v>-1226759.8518625018</v>
      </c>
      <c r="L25" s="272">
        <f t="shared" si="2"/>
        <v>-73353.346925384496</v>
      </c>
      <c r="M25" s="273">
        <f t="shared" si="3"/>
        <v>-516850.38692883035</v>
      </c>
      <c r="N25" s="277"/>
      <c r="O25" s="278"/>
      <c r="P25" s="275"/>
      <c r="Q25" s="275"/>
      <c r="R25" s="275"/>
      <c r="S25" s="278"/>
    </row>
    <row r="26" spans="2:19">
      <c r="B26" s="259" t="s">
        <v>654</v>
      </c>
      <c r="C26" s="279" t="s">
        <v>665</v>
      </c>
      <c r="D26" s="302">
        <v>2018</v>
      </c>
      <c r="E26" s="270">
        <v>8.7671232876712329E-2</v>
      </c>
      <c r="F26" s="271">
        <v>-54289983.798289672</v>
      </c>
      <c r="G26" s="271">
        <v>-4018004.8716169549</v>
      </c>
      <c r="H26" s="272">
        <f t="shared" si="0"/>
        <v>-4018004.8716169549</v>
      </c>
      <c r="I26" s="271">
        <v>0</v>
      </c>
      <c r="J26" s="272">
        <f t="shared" si="1"/>
        <v>0</v>
      </c>
      <c r="K26" s="276">
        <v>-1047796.687306989</v>
      </c>
      <c r="L26" s="272">
        <f t="shared" si="2"/>
        <v>-62652.355140745807</v>
      </c>
      <c r="M26" s="273">
        <f t="shared" si="3"/>
        <v>-357756.25001711346</v>
      </c>
      <c r="N26" s="277"/>
      <c r="O26" s="278"/>
      <c r="P26" s="275"/>
      <c r="Q26" s="275"/>
      <c r="R26" s="275"/>
      <c r="S26" s="278"/>
    </row>
    <row r="27" spans="2:19">
      <c r="B27" s="259" t="s">
        <v>654</v>
      </c>
      <c r="C27" s="259" t="str">
        <f>+C15</f>
        <v xml:space="preserve">December </v>
      </c>
      <c r="D27" s="302">
        <v>2018</v>
      </c>
      <c r="E27" s="270">
        <v>2.7397260273972603E-3</v>
      </c>
      <c r="F27" s="271">
        <v>-84694322.244290262</v>
      </c>
      <c r="G27" s="271">
        <v>-4049506.474341033</v>
      </c>
      <c r="H27" s="272">
        <f t="shared" si="0"/>
        <v>-4049506.474341033</v>
      </c>
      <c r="I27" s="271">
        <v>0</v>
      </c>
      <c r="J27" s="272">
        <f t="shared" si="1"/>
        <v>0</v>
      </c>
      <c r="K27" s="276">
        <v>-1634600.4193148038</v>
      </c>
      <c r="L27" s="272">
        <f t="shared" si="2"/>
        <v>-97739.921517921364</v>
      </c>
      <c r="M27" s="273">
        <f t="shared" si="3"/>
        <v>-11362.318892764259</v>
      </c>
      <c r="N27" s="277"/>
      <c r="O27" s="278"/>
      <c r="P27" s="275"/>
      <c r="Q27" s="275"/>
      <c r="R27" s="275"/>
      <c r="S27" s="278"/>
    </row>
    <row r="28" spans="2:19">
      <c r="B28" s="259" t="s">
        <v>666</v>
      </c>
      <c r="D28" s="302">
        <v>2018</v>
      </c>
      <c r="E28" s="280" t="s">
        <v>652</v>
      </c>
      <c r="F28" s="272">
        <f>SUM(F15:F27)</f>
        <v>-3436008502.1338902</v>
      </c>
      <c r="G28" s="280"/>
      <c r="H28" s="280"/>
      <c r="I28" s="280"/>
      <c r="J28" s="281"/>
      <c r="K28" s="281"/>
      <c r="L28" s="259" t="s">
        <v>667</v>
      </c>
      <c r="M28" s="273">
        <f>SUM(M15:M27)</f>
        <v>-270306348.16579884</v>
      </c>
    </row>
    <row r="29" spans="2:19">
      <c r="D29" s="282"/>
      <c r="E29" s="280"/>
      <c r="F29" s="280"/>
      <c r="G29" s="280"/>
      <c r="H29" s="280"/>
      <c r="I29" s="280"/>
      <c r="J29" s="281"/>
      <c r="K29" s="281"/>
    </row>
    <row r="30" spans="2:19" s="259" customFormat="1">
      <c r="E30" s="283"/>
      <c r="F30" s="283"/>
      <c r="G30" s="283"/>
      <c r="H30" s="283"/>
      <c r="I30" s="283"/>
      <c r="J30" s="283"/>
      <c r="K30" s="283"/>
      <c r="O30" s="261"/>
      <c r="P30" s="261"/>
      <c r="Q30" s="261"/>
      <c r="R30" s="261"/>
      <c r="S30" s="261"/>
    </row>
    <row r="31" spans="2:19" s="259" customFormat="1">
      <c r="B31" s="267"/>
      <c r="C31" s="268" t="s">
        <v>668</v>
      </c>
      <c r="E31" s="283"/>
      <c r="F31" s="283"/>
      <c r="G31" s="283"/>
      <c r="H31" s="283"/>
      <c r="I31" s="283"/>
      <c r="J31" s="283"/>
      <c r="K31" s="283"/>
      <c r="O31" s="261"/>
      <c r="P31" s="261"/>
      <c r="Q31" s="261"/>
      <c r="R31" s="261"/>
      <c r="S31" s="261"/>
    </row>
    <row r="32" spans="2:19" s="259" customFormat="1">
      <c r="B32" s="267" t="s">
        <v>652</v>
      </c>
      <c r="C32" s="267" t="s">
        <v>653</v>
      </c>
      <c r="D32" s="269">
        <v>2017</v>
      </c>
      <c r="F32" s="271">
        <v>-178698710.28</v>
      </c>
      <c r="G32" s="271">
        <v>0</v>
      </c>
      <c r="H32" s="272"/>
      <c r="I32" s="271">
        <v>466012.85000000033</v>
      </c>
      <c r="J32" s="272"/>
      <c r="K32" s="271">
        <v>-17078591.329999998</v>
      </c>
      <c r="L32" s="272"/>
      <c r="O32" s="261"/>
      <c r="P32" s="261"/>
      <c r="Q32" s="261"/>
      <c r="R32" s="261"/>
      <c r="S32" s="261"/>
    </row>
    <row r="33" spans="2:19" s="259" customFormat="1">
      <c r="B33" s="267" t="s">
        <v>652</v>
      </c>
      <c r="C33" s="267" t="str">
        <f>+C32</f>
        <v xml:space="preserve">December </v>
      </c>
      <c r="D33" s="269">
        <v>2018</v>
      </c>
      <c r="F33" s="271">
        <v>-178698710.28</v>
      </c>
      <c r="G33" s="271">
        <v>0</v>
      </c>
      <c r="H33" s="272"/>
      <c r="I33" s="271">
        <v>466012.85000000033</v>
      </c>
      <c r="J33" s="272"/>
      <c r="K33" s="271">
        <v>-17078591.329999998</v>
      </c>
      <c r="L33" s="272"/>
      <c r="O33" s="261"/>
      <c r="P33" s="261"/>
      <c r="Q33" s="261"/>
      <c r="R33" s="261"/>
      <c r="S33" s="261"/>
    </row>
    <row r="34" spans="2:19" s="259" customFormat="1">
      <c r="B34" s="267"/>
      <c r="C34" s="267" t="s">
        <v>587</v>
      </c>
      <c r="D34" s="284"/>
      <c r="F34" s="272">
        <f>+F32/2+F33/2</f>
        <v>-178698710.28</v>
      </c>
      <c r="G34" s="272">
        <f>+G32/2+G33/2</f>
        <v>0</v>
      </c>
      <c r="H34" s="272">
        <f>+H$12*G34</f>
        <v>0</v>
      </c>
      <c r="I34" s="272">
        <f>+I32/2+I33/2</f>
        <v>466012.85000000033</v>
      </c>
      <c r="J34" s="272">
        <f>+I34*J$12</f>
        <v>52836.105698009211</v>
      </c>
      <c r="K34" s="272">
        <f>+K32/2+K33/2</f>
        <v>-17078591.329999998</v>
      </c>
      <c r="L34" s="272">
        <f>+K34*L12</f>
        <v>-1021203.8101217282</v>
      </c>
      <c r="M34" s="285">
        <f>+L34+J34+H34</f>
        <v>-968367.70442371897</v>
      </c>
      <c r="O34" s="261"/>
      <c r="P34" s="261"/>
      <c r="Q34" s="261"/>
      <c r="R34" s="261"/>
      <c r="S34" s="261"/>
    </row>
    <row r="35" spans="2:19" s="259" customFormat="1">
      <c r="B35" s="267"/>
      <c r="C35" s="267"/>
      <c r="D35" s="284"/>
      <c r="E35" s="272"/>
      <c r="F35" s="283"/>
      <c r="G35" s="286"/>
      <c r="H35" s="272"/>
      <c r="I35" s="272"/>
      <c r="J35" s="272"/>
      <c r="K35" s="272"/>
      <c r="O35" s="261"/>
      <c r="P35" s="261"/>
      <c r="Q35" s="261"/>
      <c r="R35" s="261"/>
      <c r="S35" s="261"/>
    </row>
    <row r="36" spans="2:19" s="259" customFormat="1">
      <c r="B36" s="267"/>
      <c r="C36" s="267"/>
      <c r="D36" s="284"/>
      <c r="E36" s="272"/>
      <c r="F36" s="272"/>
      <c r="G36" s="272"/>
      <c r="I36" s="286"/>
      <c r="J36" s="272"/>
      <c r="K36" s="272"/>
      <c r="O36" s="261"/>
      <c r="P36" s="261"/>
      <c r="Q36" s="261"/>
      <c r="R36" s="261"/>
      <c r="S36" s="261"/>
    </row>
    <row r="37" spans="2:19" s="259" customFormat="1">
      <c r="B37" s="267"/>
      <c r="C37" s="268" t="s">
        <v>669</v>
      </c>
      <c r="E37" s="283"/>
      <c r="F37" s="283"/>
      <c r="G37" s="283"/>
      <c r="H37" s="283"/>
      <c r="I37" s="283"/>
      <c r="J37" s="283"/>
      <c r="K37" s="283"/>
      <c r="O37" s="261"/>
      <c r="P37" s="261"/>
      <c r="Q37" s="261"/>
      <c r="R37" s="261"/>
      <c r="S37" s="261"/>
    </row>
    <row r="38" spans="2:19" s="259" customFormat="1">
      <c r="B38" s="267" t="s">
        <v>652</v>
      </c>
      <c r="C38" s="267" t="s">
        <v>653</v>
      </c>
      <c r="D38" s="302">
        <v>2017</v>
      </c>
      <c r="E38" s="261"/>
      <c r="F38" s="287" t="s">
        <v>45</v>
      </c>
      <c r="G38" s="287" t="s">
        <v>45</v>
      </c>
      <c r="H38" s="287"/>
      <c r="I38" s="287" t="s">
        <v>45</v>
      </c>
      <c r="J38" s="287"/>
      <c r="K38" s="287" t="s">
        <v>45</v>
      </c>
      <c r="L38" s="287"/>
      <c r="M38" s="287"/>
      <c r="O38" s="261"/>
      <c r="P38" s="261"/>
      <c r="Q38" s="261"/>
      <c r="R38" s="261"/>
      <c r="S38" s="261"/>
    </row>
    <row r="39" spans="2:19" s="259" customFormat="1">
      <c r="B39" s="267" t="s">
        <v>652</v>
      </c>
      <c r="C39" s="267" t="str">
        <f>+C38</f>
        <v xml:space="preserve">December </v>
      </c>
      <c r="D39" s="302">
        <v>2018</v>
      </c>
      <c r="E39" s="261"/>
      <c r="F39" s="287" t="s">
        <v>45</v>
      </c>
      <c r="G39" s="287" t="s">
        <v>45</v>
      </c>
      <c r="H39" s="287"/>
      <c r="I39" s="287" t="s">
        <v>45</v>
      </c>
      <c r="J39" s="287"/>
      <c r="K39" s="287" t="s">
        <v>45</v>
      </c>
      <c r="L39" s="287"/>
      <c r="M39" s="287"/>
      <c r="O39" s="261"/>
      <c r="P39" s="261"/>
      <c r="Q39" s="261"/>
      <c r="R39" s="261"/>
      <c r="S39" s="261"/>
    </row>
    <row r="40" spans="2:19" s="259" customFormat="1">
      <c r="B40" s="267"/>
      <c r="C40" s="267" t="s">
        <v>587</v>
      </c>
      <c r="D40" s="284"/>
      <c r="E40" s="261"/>
      <c r="F40" s="287" t="s">
        <v>45</v>
      </c>
      <c r="G40" s="287" t="s">
        <v>45</v>
      </c>
      <c r="H40" s="287" t="s">
        <v>45</v>
      </c>
      <c r="I40" s="287" t="s">
        <v>45</v>
      </c>
      <c r="J40" s="287" t="s">
        <v>45</v>
      </c>
      <c r="K40" s="287" t="s">
        <v>45</v>
      </c>
      <c r="L40" s="287" t="s">
        <v>45</v>
      </c>
      <c r="M40" s="287" t="s">
        <v>45</v>
      </c>
      <c r="O40" s="261"/>
      <c r="P40" s="261"/>
      <c r="Q40" s="261"/>
      <c r="R40" s="261"/>
      <c r="S40" s="261"/>
    </row>
    <row r="41" spans="2:19" s="259" customFormat="1">
      <c r="B41" s="267"/>
      <c r="C41" s="267"/>
      <c r="D41" s="284"/>
      <c r="E41" s="272"/>
      <c r="F41" s="272"/>
      <c r="G41" s="272"/>
      <c r="H41" s="272"/>
      <c r="I41" s="272"/>
      <c r="J41" s="272"/>
      <c r="K41" s="272"/>
      <c r="L41" s="285"/>
      <c r="O41" s="261"/>
      <c r="P41" s="261"/>
      <c r="Q41" s="261"/>
      <c r="R41" s="261"/>
      <c r="S41" s="261"/>
    </row>
    <row r="42" spans="2:19" s="259" customFormat="1">
      <c r="B42" s="267"/>
      <c r="C42" s="267"/>
      <c r="E42" s="281"/>
      <c r="F42" s="281"/>
      <c r="G42" s="281"/>
      <c r="H42" s="281"/>
      <c r="I42" s="281"/>
      <c r="J42" s="281"/>
      <c r="K42" s="281"/>
      <c r="O42" s="261"/>
      <c r="P42" s="261"/>
      <c r="Q42" s="261"/>
      <c r="R42" s="261"/>
      <c r="S42" s="261"/>
    </row>
    <row r="43" spans="2:19" s="259" customFormat="1">
      <c r="B43" s="267"/>
      <c r="C43" s="288" t="s">
        <v>670</v>
      </c>
      <c r="E43" s="281"/>
      <c r="F43" s="281"/>
      <c r="G43" s="281"/>
      <c r="H43" s="281"/>
      <c r="I43" s="281"/>
      <c r="J43" s="281"/>
      <c r="K43" s="281"/>
      <c r="O43" s="261"/>
      <c r="P43" s="261"/>
      <c r="Q43" s="261"/>
      <c r="R43" s="261"/>
      <c r="S43" s="261"/>
    </row>
    <row r="44" spans="2:19" s="259" customFormat="1">
      <c r="B44" s="267" t="s">
        <v>652</v>
      </c>
      <c r="C44" s="267" t="s">
        <v>653</v>
      </c>
      <c r="D44" s="269">
        <v>2017</v>
      </c>
      <c r="F44" s="271">
        <v>276148421.03999984</v>
      </c>
      <c r="G44" s="271">
        <v>-1967476.18</v>
      </c>
      <c r="H44" s="272"/>
      <c r="I44" s="271">
        <v>53299120.19000002</v>
      </c>
      <c r="J44" s="272"/>
      <c r="K44" s="271">
        <v>39779435.630000003</v>
      </c>
      <c r="L44" s="272"/>
      <c r="O44" s="261"/>
      <c r="P44" s="261"/>
      <c r="Q44" s="261"/>
      <c r="R44" s="261"/>
      <c r="S44" s="261"/>
    </row>
    <row r="45" spans="2:19" s="259" customFormat="1">
      <c r="B45" s="267" t="s">
        <v>652</v>
      </c>
      <c r="C45" s="267" t="str">
        <f>+C44</f>
        <v xml:space="preserve">December </v>
      </c>
      <c r="D45" s="269">
        <v>2018</v>
      </c>
      <c r="F45" s="271">
        <v>276148421.03999984</v>
      </c>
      <c r="G45" s="271">
        <v>-1967476.18</v>
      </c>
      <c r="H45" s="272"/>
      <c r="I45" s="271">
        <v>53299120.19000002</v>
      </c>
      <c r="J45" s="272"/>
      <c r="K45" s="271">
        <v>39779435.630000003</v>
      </c>
      <c r="L45" s="272"/>
      <c r="O45" s="261"/>
      <c r="P45" s="261"/>
      <c r="Q45" s="261"/>
      <c r="R45" s="261"/>
      <c r="S45" s="261"/>
    </row>
    <row r="46" spans="2:19" s="259" customFormat="1">
      <c r="B46" s="267"/>
      <c r="C46" s="267" t="s">
        <v>587</v>
      </c>
      <c r="D46" s="284"/>
      <c r="F46" s="272">
        <f>+F44/2+F45/2</f>
        <v>276148421.03999984</v>
      </c>
      <c r="G46" s="272">
        <f>+G44/2+G45/2</f>
        <v>-1967476.18</v>
      </c>
      <c r="H46" s="272">
        <f>+H$12*G46</f>
        <v>-1967476.18</v>
      </c>
      <c r="I46" s="272">
        <f>+I44/2+I45/2</f>
        <v>53299120.19000002</v>
      </c>
      <c r="J46" s="272">
        <f>+I46*J$12</f>
        <v>6043004.9256575992</v>
      </c>
      <c r="K46" s="272">
        <f>+K44/2+K45/2</f>
        <v>39779435.630000003</v>
      </c>
      <c r="L46" s="272">
        <f>+K46*L12</f>
        <v>2378586.7607529452</v>
      </c>
      <c r="M46" s="285">
        <f>+L46+J46+H46</f>
        <v>6454115.5064105447</v>
      </c>
      <c r="O46" s="261"/>
      <c r="P46" s="261"/>
      <c r="Q46" s="261"/>
      <c r="R46" s="261"/>
      <c r="S46" s="261"/>
    </row>
    <row r="47" spans="2:19" s="259" customFormat="1">
      <c r="D47" s="284"/>
      <c r="E47" s="272"/>
      <c r="F47" s="286"/>
      <c r="G47" s="286"/>
      <c r="H47" s="272"/>
      <c r="I47" s="272"/>
      <c r="J47" s="272"/>
      <c r="K47" s="272"/>
      <c r="O47" s="261"/>
      <c r="P47" s="261"/>
      <c r="Q47" s="261"/>
      <c r="R47" s="261"/>
      <c r="S47" s="261"/>
    </row>
    <row r="48" spans="2:19" s="259" customFormat="1">
      <c r="B48" s="259" t="s">
        <v>671</v>
      </c>
      <c r="D48" s="284"/>
      <c r="E48" s="272"/>
      <c r="F48" s="286"/>
      <c r="G48" s="286"/>
      <c r="H48" s="272"/>
      <c r="I48" s="272"/>
      <c r="J48" s="272"/>
      <c r="K48" s="272"/>
      <c r="M48" s="285">
        <f>+M28+M34+M46</f>
        <v>-264820600.36381203</v>
      </c>
      <c r="O48" s="261"/>
      <c r="P48" s="261"/>
      <c r="Q48" s="261"/>
      <c r="R48" s="261"/>
      <c r="S48" s="261"/>
    </row>
    <row r="49" spans="4:19" s="259" customFormat="1">
      <c r="D49" s="284"/>
      <c r="E49" s="272"/>
      <c r="F49" s="286"/>
      <c r="G49" s="286"/>
      <c r="H49" s="272"/>
      <c r="I49" s="272"/>
      <c r="J49" s="272"/>
      <c r="K49" s="272"/>
      <c r="O49" s="261"/>
      <c r="P49" s="261"/>
      <c r="Q49" s="261"/>
      <c r="R49" s="261"/>
      <c r="S49" s="261"/>
    </row>
    <row r="50" spans="4:19" s="259" customFormat="1">
      <c r="D50" s="284"/>
      <c r="E50" s="272"/>
      <c r="F50" s="272"/>
      <c r="G50" s="272"/>
      <c r="H50" s="286"/>
      <c r="I50" s="286"/>
      <c r="J50" s="272"/>
      <c r="K50" s="272"/>
      <c r="O50" s="261"/>
      <c r="P50" s="261"/>
      <c r="Q50" s="261"/>
      <c r="R50" s="261"/>
      <c r="S50" s="261"/>
    </row>
    <row r="51" spans="4:19" s="259" customFormat="1">
      <c r="L51" s="273"/>
      <c r="M51" s="273"/>
      <c r="O51" s="261"/>
      <c r="P51" s="261"/>
      <c r="Q51" s="261"/>
      <c r="R51" s="261"/>
      <c r="S51" s="261"/>
    </row>
    <row r="52" spans="4:19" s="259" customFormat="1">
      <c r="L52" s="273"/>
      <c r="O52" s="261"/>
      <c r="P52" s="261"/>
      <c r="Q52" s="261"/>
      <c r="R52" s="261"/>
      <c r="S52" s="261"/>
    </row>
  </sheetData>
  <mergeCells count="1">
    <mergeCell ref="A4:M4"/>
  </mergeCells>
  <pageMargins left="0.7" right="0.7" top="0.75" bottom="0.75" header="0.3" footer="0.3"/>
  <pageSetup scale="4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B10" sqref="B10:B21"/>
    </sheetView>
  </sheetViews>
  <sheetFormatPr defaultRowHeight="15"/>
  <cols>
    <col min="1" max="1" width="6.77734375" customWidth="1"/>
    <col min="2" max="5" width="16.77734375" customWidth="1"/>
  </cols>
  <sheetData>
    <row r="1" spans="1:5">
      <c r="A1" t="s">
        <v>280</v>
      </c>
    </row>
    <row r="2" spans="1:5">
      <c r="A2" t="s">
        <v>463</v>
      </c>
    </row>
    <row r="3" spans="1:5">
      <c r="A3" t="s">
        <v>703</v>
      </c>
    </row>
    <row r="5" spans="1:5">
      <c r="B5" s="74" t="s">
        <v>408</v>
      </c>
      <c r="C5" s="74" t="s">
        <v>409</v>
      </c>
      <c r="D5" s="74" t="s">
        <v>414</v>
      </c>
      <c r="E5" s="74" t="s">
        <v>410</v>
      </c>
    </row>
    <row r="7" spans="1:5" ht="15.75">
      <c r="A7" s="132" t="s">
        <v>4</v>
      </c>
      <c r="B7" s="101"/>
      <c r="C7" s="127" t="s">
        <v>459</v>
      </c>
      <c r="D7" s="127" t="s">
        <v>460</v>
      </c>
      <c r="E7" s="128"/>
    </row>
    <row r="8" spans="1:5" ht="15.75">
      <c r="A8" s="136" t="s">
        <v>6</v>
      </c>
      <c r="B8" s="102" t="s">
        <v>402</v>
      </c>
      <c r="C8" s="81" t="s">
        <v>461</v>
      </c>
      <c r="D8" s="81" t="s">
        <v>462</v>
      </c>
      <c r="E8" s="82" t="s">
        <v>9</v>
      </c>
    </row>
    <row r="9" spans="1:5">
      <c r="A9" s="95">
        <v>1</v>
      </c>
      <c r="B9" s="98">
        <v>43070</v>
      </c>
      <c r="C9" s="86">
        <v>0</v>
      </c>
      <c r="D9" s="86">
        <v>0</v>
      </c>
      <c r="E9" s="118">
        <f>SUM(C9:D9)</f>
        <v>0</v>
      </c>
    </row>
    <row r="10" spans="1:5">
      <c r="A10" s="96">
        <v>2</v>
      </c>
      <c r="B10" s="99">
        <v>43101</v>
      </c>
      <c r="C10" s="43">
        <v>0</v>
      </c>
      <c r="D10" s="43">
        <v>0</v>
      </c>
      <c r="E10" s="42">
        <f t="shared" ref="E10:E21" si="0">SUM(C10:D10)</f>
        <v>0</v>
      </c>
    </row>
    <row r="11" spans="1:5">
      <c r="A11" s="96">
        <v>3</v>
      </c>
      <c r="B11" s="99">
        <v>43132</v>
      </c>
      <c r="C11" s="43">
        <v>0</v>
      </c>
      <c r="D11" s="43">
        <v>0</v>
      </c>
      <c r="E11" s="42">
        <f t="shared" si="0"/>
        <v>0</v>
      </c>
    </row>
    <row r="12" spans="1:5">
      <c r="A12" s="96">
        <v>4</v>
      </c>
      <c r="B12" s="99">
        <v>43160</v>
      </c>
      <c r="C12" s="43">
        <v>0</v>
      </c>
      <c r="D12" s="43">
        <v>0</v>
      </c>
      <c r="E12" s="42">
        <f t="shared" si="0"/>
        <v>0</v>
      </c>
    </row>
    <row r="13" spans="1:5">
      <c r="A13" s="96">
        <v>5</v>
      </c>
      <c r="B13" s="99">
        <v>43191</v>
      </c>
      <c r="C13" s="43">
        <v>0</v>
      </c>
      <c r="D13" s="43">
        <v>0</v>
      </c>
      <c r="E13" s="42">
        <f t="shared" si="0"/>
        <v>0</v>
      </c>
    </row>
    <row r="14" spans="1:5">
      <c r="A14" s="96">
        <v>6</v>
      </c>
      <c r="B14" s="99">
        <v>43221</v>
      </c>
      <c r="C14" s="43">
        <v>0</v>
      </c>
      <c r="D14" s="43">
        <v>0</v>
      </c>
      <c r="E14" s="42">
        <f t="shared" si="0"/>
        <v>0</v>
      </c>
    </row>
    <row r="15" spans="1:5">
      <c r="A15" s="96">
        <v>7</v>
      </c>
      <c r="B15" s="99">
        <v>43252</v>
      </c>
      <c r="C15" s="43">
        <v>0</v>
      </c>
      <c r="D15" s="43">
        <v>0</v>
      </c>
      <c r="E15" s="42">
        <f t="shared" si="0"/>
        <v>0</v>
      </c>
    </row>
    <row r="16" spans="1:5">
      <c r="A16" s="96">
        <v>8</v>
      </c>
      <c r="B16" s="99">
        <v>43282</v>
      </c>
      <c r="C16" s="43">
        <v>0</v>
      </c>
      <c r="D16" s="43">
        <v>0</v>
      </c>
      <c r="E16" s="42">
        <f t="shared" si="0"/>
        <v>0</v>
      </c>
    </row>
    <row r="17" spans="1:5">
      <c r="A17" s="96">
        <v>9</v>
      </c>
      <c r="B17" s="99">
        <v>43313</v>
      </c>
      <c r="C17" s="43">
        <v>0</v>
      </c>
      <c r="D17" s="43">
        <v>0</v>
      </c>
      <c r="E17" s="42">
        <f t="shared" si="0"/>
        <v>0</v>
      </c>
    </row>
    <row r="18" spans="1:5">
      <c r="A18" s="96">
        <v>10</v>
      </c>
      <c r="B18" s="99">
        <v>43344</v>
      </c>
      <c r="C18" s="43">
        <v>0</v>
      </c>
      <c r="D18" s="43">
        <v>0</v>
      </c>
      <c r="E18" s="42">
        <f t="shared" si="0"/>
        <v>0</v>
      </c>
    </row>
    <row r="19" spans="1:5">
      <c r="A19" s="96">
        <v>11</v>
      </c>
      <c r="B19" s="99">
        <v>43374</v>
      </c>
      <c r="C19" s="43">
        <v>0</v>
      </c>
      <c r="D19" s="43">
        <v>0</v>
      </c>
      <c r="E19" s="42">
        <f t="shared" si="0"/>
        <v>0</v>
      </c>
    </row>
    <row r="20" spans="1:5">
      <c r="A20" s="96">
        <v>12</v>
      </c>
      <c r="B20" s="99">
        <v>43405</v>
      </c>
      <c r="C20" s="43">
        <v>0</v>
      </c>
      <c r="D20" s="43">
        <v>0</v>
      </c>
      <c r="E20" s="42">
        <f t="shared" si="0"/>
        <v>0</v>
      </c>
    </row>
    <row r="21" spans="1:5">
      <c r="A21" s="96">
        <v>13</v>
      </c>
      <c r="B21" s="99">
        <v>43435</v>
      </c>
      <c r="C21" s="69">
        <v>0</v>
      </c>
      <c r="D21" s="69">
        <v>0</v>
      </c>
      <c r="E21" s="92">
        <f t="shared" si="0"/>
        <v>0</v>
      </c>
    </row>
    <row r="22" spans="1:5">
      <c r="A22" s="96">
        <v>14</v>
      </c>
      <c r="B22" s="40"/>
      <c r="C22" s="43"/>
      <c r="D22" s="43"/>
      <c r="E22" s="42"/>
    </row>
    <row r="23" spans="1:5" ht="15.75">
      <c r="A23" s="96">
        <v>15</v>
      </c>
      <c r="B23" s="108" t="s">
        <v>407</v>
      </c>
      <c r="C23" s="43">
        <f>AVERAGE(C9:C21)</f>
        <v>0</v>
      </c>
      <c r="D23" s="43">
        <f>AVERAGE(D9:D21)</f>
        <v>0</v>
      </c>
      <c r="E23" s="113">
        <f>AVERAGE(E9:E21)</f>
        <v>0</v>
      </c>
    </row>
    <row r="24" spans="1:5">
      <c r="A24" s="85"/>
      <c r="B24" s="91"/>
      <c r="C24" s="69"/>
      <c r="D24" s="69"/>
      <c r="E24" s="9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workbookViewId="0">
      <selection activeCell="C9" sqref="C9"/>
    </sheetView>
  </sheetViews>
  <sheetFormatPr defaultRowHeight="15"/>
  <cols>
    <col min="1" max="1" width="6.77734375" customWidth="1"/>
    <col min="2" max="2" width="16.44140625" customWidth="1"/>
    <col min="3" max="3" width="16" bestFit="1" customWidth="1"/>
    <col min="4" max="4" width="12.44140625" bestFit="1" customWidth="1"/>
    <col min="5" max="5" width="13.5546875" bestFit="1" customWidth="1"/>
    <col min="6" max="6" width="14.5546875" bestFit="1" customWidth="1"/>
  </cols>
  <sheetData>
    <row r="1" spans="1:6" ht="15.75">
      <c r="A1" s="68" t="s">
        <v>280</v>
      </c>
    </row>
    <row r="2" spans="1:6" ht="15.75">
      <c r="A2" s="68" t="s">
        <v>417</v>
      </c>
    </row>
    <row r="3" spans="1:6" ht="15.75">
      <c r="A3" s="68" t="str">
        <f>'Plant Balance'!A3</f>
        <v>For the 13 Months Ended December 31, 2018</v>
      </c>
    </row>
    <row r="5" spans="1:6">
      <c r="B5" s="74" t="s">
        <v>408</v>
      </c>
      <c r="C5" s="74" t="s">
        <v>409</v>
      </c>
      <c r="D5" s="74" t="s">
        <v>414</v>
      </c>
      <c r="E5" s="74" t="s">
        <v>410</v>
      </c>
      <c r="F5" s="74" t="s">
        <v>411</v>
      </c>
    </row>
    <row r="7" spans="1:6" ht="15.75">
      <c r="A7" s="75" t="s">
        <v>4</v>
      </c>
      <c r="B7" s="101"/>
      <c r="C7" s="443" t="s">
        <v>419</v>
      </c>
      <c r="D7" s="443"/>
      <c r="E7" s="443"/>
      <c r="F7" s="444"/>
    </row>
    <row r="8" spans="1:6" ht="15.75">
      <c r="A8" s="76" t="s">
        <v>6</v>
      </c>
      <c r="B8" s="102" t="s">
        <v>402</v>
      </c>
      <c r="C8" s="81" t="s">
        <v>403</v>
      </c>
      <c r="D8" s="81" t="s">
        <v>38</v>
      </c>
      <c r="E8" s="81" t="s">
        <v>404</v>
      </c>
      <c r="F8" s="82" t="s">
        <v>418</v>
      </c>
    </row>
    <row r="9" spans="1:6">
      <c r="A9" s="95">
        <v>1</v>
      </c>
      <c r="B9" s="98">
        <f>'Plant Balance'!B9</f>
        <v>43070</v>
      </c>
      <c r="C9" s="103">
        <v>190573780</v>
      </c>
      <c r="D9" s="103">
        <v>9271072</v>
      </c>
      <c r="E9" s="103">
        <v>17133657</v>
      </c>
      <c r="F9" s="104">
        <f>SUM(C9:E9)</f>
        <v>216978509</v>
      </c>
    </row>
    <row r="10" spans="1:6">
      <c r="A10" s="96">
        <v>2</v>
      </c>
      <c r="B10" s="99">
        <f>'Plant Balance'!B10</f>
        <v>43101</v>
      </c>
      <c r="C10" s="105">
        <v>184610546</v>
      </c>
      <c r="D10" s="105">
        <v>8938891</v>
      </c>
      <c r="E10" s="105">
        <v>16804014</v>
      </c>
      <c r="F10" s="106">
        <f t="shared" ref="F10:F21" si="0">SUM(C10:E10)</f>
        <v>210353451</v>
      </c>
    </row>
    <row r="11" spans="1:6">
      <c r="A11" s="96">
        <v>3</v>
      </c>
      <c r="B11" s="99">
        <f>'Plant Balance'!B11</f>
        <v>43132</v>
      </c>
      <c r="C11" s="105">
        <v>178890783</v>
      </c>
      <c r="D11" s="105">
        <v>8938891</v>
      </c>
      <c r="E11" s="105">
        <v>16804014</v>
      </c>
      <c r="F11" s="106">
        <f t="shared" si="0"/>
        <v>204633688</v>
      </c>
    </row>
    <row r="12" spans="1:6">
      <c r="A12" s="96">
        <v>4</v>
      </c>
      <c r="B12" s="99">
        <f>'Plant Balance'!B12</f>
        <v>43160</v>
      </c>
      <c r="C12" s="105">
        <v>173988009</v>
      </c>
      <c r="D12" s="105">
        <v>8938891</v>
      </c>
      <c r="E12" s="105">
        <v>16804014</v>
      </c>
      <c r="F12" s="106">
        <f t="shared" si="0"/>
        <v>199730914</v>
      </c>
    </row>
    <row r="13" spans="1:6">
      <c r="A13" s="96">
        <v>5</v>
      </c>
      <c r="B13" s="99">
        <f>'Plant Balance'!B13</f>
        <v>43191</v>
      </c>
      <c r="C13" s="105">
        <v>171258411</v>
      </c>
      <c r="D13" s="105">
        <v>8938891</v>
      </c>
      <c r="E13" s="105">
        <v>16804014</v>
      </c>
      <c r="F13" s="106">
        <f t="shared" si="0"/>
        <v>197001316</v>
      </c>
    </row>
    <row r="14" spans="1:6">
      <c r="A14" s="96">
        <v>6</v>
      </c>
      <c r="B14" s="99">
        <f>'Plant Balance'!B14</f>
        <v>43221</v>
      </c>
      <c r="C14" s="105">
        <v>164003705</v>
      </c>
      <c r="D14" s="105">
        <v>8938891</v>
      </c>
      <c r="E14" s="105">
        <v>16804014</v>
      </c>
      <c r="F14" s="106">
        <f t="shared" si="0"/>
        <v>189746610</v>
      </c>
    </row>
    <row r="15" spans="1:6">
      <c r="A15" s="96">
        <v>7</v>
      </c>
      <c r="B15" s="99">
        <f>'Plant Balance'!B15</f>
        <v>43252</v>
      </c>
      <c r="C15" s="105">
        <v>154940068</v>
      </c>
      <c r="D15" s="105">
        <v>8938891</v>
      </c>
      <c r="E15" s="105">
        <v>16804014</v>
      </c>
      <c r="F15" s="106">
        <f t="shared" si="0"/>
        <v>180682973</v>
      </c>
    </row>
    <row r="16" spans="1:6">
      <c r="A16" s="96">
        <v>8</v>
      </c>
      <c r="B16" s="99">
        <f>'Plant Balance'!B16</f>
        <v>43282</v>
      </c>
      <c r="C16" s="105">
        <v>148289704</v>
      </c>
      <c r="D16" s="105">
        <v>8938891</v>
      </c>
      <c r="E16" s="105">
        <v>16804014</v>
      </c>
      <c r="F16" s="106">
        <f t="shared" si="0"/>
        <v>174032609</v>
      </c>
    </row>
    <row r="17" spans="1:6">
      <c r="A17" s="96">
        <v>9</v>
      </c>
      <c r="B17" s="99">
        <f>'Plant Balance'!B17</f>
        <v>43313</v>
      </c>
      <c r="C17" s="105">
        <v>142622838</v>
      </c>
      <c r="D17" s="105">
        <v>8938891</v>
      </c>
      <c r="E17" s="105">
        <v>16804014</v>
      </c>
      <c r="F17" s="106">
        <f t="shared" si="0"/>
        <v>168365743</v>
      </c>
    </row>
    <row r="18" spans="1:6">
      <c r="A18" s="96">
        <v>10</v>
      </c>
      <c r="B18" s="99">
        <f>'Plant Balance'!B18</f>
        <v>43344</v>
      </c>
      <c r="C18" s="105">
        <v>137264117</v>
      </c>
      <c r="D18" s="105">
        <v>8938891</v>
      </c>
      <c r="E18" s="105">
        <v>16804014</v>
      </c>
      <c r="F18" s="106">
        <f t="shared" si="0"/>
        <v>163007022</v>
      </c>
    </row>
    <row r="19" spans="1:6">
      <c r="A19" s="96">
        <v>11</v>
      </c>
      <c r="B19" s="99">
        <f>'Plant Balance'!B19</f>
        <v>43374</v>
      </c>
      <c r="C19" s="105">
        <v>133366524</v>
      </c>
      <c r="D19" s="105">
        <v>8938891</v>
      </c>
      <c r="E19" s="105">
        <v>16804014</v>
      </c>
      <c r="F19" s="106">
        <f t="shared" si="0"/>
        <v>159109429</v>
      </c>
    </row>
    <row r="20" spans="1:6">
      <c r="A20" s="96">
        <v>12</v>
      </c>
      <c r="B20" s="99">
        <f>'Plant Balance'!B20</f>
        <v>43405</v>
      </c>
      <c r="C20" s="105">
        <v>131591853</v>
      </c>
      <c r="D20" s="105">
        <v>8938891</v>
      </c>
      <c r="E20" s="105">
        <v>16804014</v>
      </c>
      <c r="F20" s="106">
        <f t="shared" si="0"/>
        <v>157334758</v>
      </c>
    </row>
    <row r="21" spans="1:6" ht="15.75" thickBot="1">
      <c r="A21" s="96">
        <v>13</v>
      </c>
      <c r="B21" s="99">
        <f>'Plant Balance'!B21</f>
        <v>43435</v>
      </c>
      <c r="C21" s="100">
        <v>125395370</v>
      </c>
      <c r="D21" s="100">
        <v>8938891</v>
      </c>
      <c r="E21" s="100">
        <v>16804014</v>
      </c>
      <c r="F21" s="107">
        <f t="shared" si="0"/>
        <v>151138275</v>
      </c>
    </row>
    <row r="22" spans="1:6">
      <c r="A22" s="96">
        <v>14</v>
      </c>
      <c r="B22" s="40"/>
      <c r="C22" s="43"/>
      <c r="D22" s="43"/>
      <c r="E22" s="43"/>
      <c r="F22" s="42"/>
    </row>
    <row r="23" spans="1:6" ht="15.75">
      <c r="A23" s="96">
        <v>15</v>
      </c>
      <c r="B23" s="108" t="s">
        <v>9</v>
      </c>
      <c r="C23" s="105">
        <f>SUM(C9:C22)</f>
        <v>2036795708</v>
      </c>
      <c r="D23" s="105">
        <f t="shared" ref="D23:F23" si="1">SUM(D9:D22)</f>
        <v>116537764</v>
      </c>
      <c r="E23" s="105">
        <f t="shared" si="1"/>
        <v>218781825</v>
      </c>
      <c r="F23" s="106">
        <f t="shared" si="1"/>
        <v>2372115297</v>
      </c>
    </row>
    <row r="24" spans="1:6" ht="15.75">
      <c r="A24" s="96">
        <v>16</v>
      </c>
      <c r="B24" s="108" t="s">
        <v>407</v>
      </c>
      <c r="C24" s="105">
        <f>AVERAGE(C9:C21)</f>
        <v>156676592.92307693</v>
      </c>
      <c r="D24" s="109">
        <f t="shared" ref="D24:F24" si="2">AVERAGE(D9:D21)</f>
        <v>8964443.384615384</v>
      </c>
      <c r="E24" s="105">
        <f t="shared" si="2"/>
        <v>16829371.153846152</v>
      </c>
      <c r="F24" s="106">
        <f t="shared" si="2"/>
        <v>182470407.46153846</v>
      </c>
    </row>
    <row r="25" spans="1:6">
      <c r="A25" s="85"/>
      <c r="B25" s="91"/>
      <c r="C25" s="69"/>
      <c r="D25" s="69"/>
      <c r="E25" s="69"/>
      <c r="F25" s="92"/>
    </row>
  </sheetData>
  <mergeCells count="1">
    <mergeCell ref="C7:F7"/>
  </mergeCells>
  <pageMargins left="0.7" right="0.7" top="0.75" bottom="0.75" header="0.3" footer="0.3"/>
  <pageSetup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vt:i4>
      </vt:variant>
    </vt:vector>
  </HeadingPairs>
  <TitlesOfParts>
    <vt:vector size="32" baseType="lpstr">
      <vt:lpstr>Nonlevelized-MEC</vt:lpstr>
      <vt:lpstr>Plant Balance</vt:lpstr>
      <vt:lpstr>Plant Balance - ARO</vt:lpstr>
      <vt:lpstr>Accum Depr</vt:lpstr>
      <vt:lpstr>Accum Depr - ARO</vt:lpstr>
      <vt:lpstr>CWIP</vt:lpstr>
      <vt:lpstr>ADIT Projection Summary</vt:lpstr>
      <vt:lpstr>AFUDC on CWIP</vt:lpstr>
      <vt:lpstr>Inv Bal</vt:lpstr>
      <vt:lpstr>Prepay</vt:lpstr>
      <vt:lpstr>O&amp;M</vt:lpstr>
      <vt:lpstr>A&amp;G</vt:lpstr>
      <vt:lpstr>Depreciation</vt:lpstr>
      <vt:lpstr>Other Tax</vt:lpstr>
      <vt:lpstr>Amort Inves Tax Credit</vt:lpstr>
      <vt:lpstr>Acct 561</vt:lpstr>
      <vt:lpstr>Acct 565</vt:lpstr>
      <vt:lpstr>FERC Exp &amp; EPRI</vt:lpstr>
      <vt:lpstr>Labor Ratios</vt:lpstr>
      <vt:lpstr>Pref Stock</vt:lpstr>
      <vt:lpstr>Common Equity</vt:lpstr>
      <vt:lpstr>Acct 216.1</vt:lpstr>
      <vt:lpstr>Cost of Debt</vt:lpstr>
      <vt:lpstr>trans for others</vt:lpstr>
      <vt:lpstr>454 rents</vt:lpstr>
      <vt:lpstr>Divisor</vt:lpstr>
      <vt:lpstr>tax</vt:lpstr>
      <vt:lpstr>footnote k tax</vt:lpstr>
      <vt:lpstr>2016 Attach O True-Up</vt:lpstr>
      <vt:lpstr>short-term interest rate</vt:lpstr>
      <vt:lpstr>'Nonlevelized-MEC'!Print_Area</vt:lpstr>
      <vt:lpstr>tax!Print_Area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Newberry, David L</dc:creator>
  <cp:lastModifiedBy>Olsen, Stephanie L</cp:lastModifiedBy>
  <cp:lastPrinted>2017-12-18T20:20:09Z</cp:lastPrinted>
  <dcterms:created xsi:type="dcterms:W3CDTF">2008-03-20T17:17:47Z</dcterms:created>
  <dcterms:modified xsi:type="dcterms:W3CDTF">2018-02-26T16:47:12Z</dcterms:modified>
</cp:coreProperties>
</file>