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ate Base and Depreciation - Aimee Rooney &amp; John Spanos/"/>
    </mc:Choice>
  </mc:AlternateContent>
  <xr:revisionPtr revIDLastSave="358" documentId="8_{F6A138E1-AA9E-4517-9CD9-83344EAF9823}" xr6:coauthVersionLast="47" xr6:coauthVersionMax="47" xr10:uidLastSave="{3996F478-AAEA-4C9C-AB0E-DFA2F7FC6350}"/>
  <bookViews>
    <workbookView xWindow="1320" yWindow="45" windowWidth="24510" windowHeight="15405" tabRatio="768" xr2:uid="{00000000-000D-0000-FFFF-FFFF00000000}"/>
  </bookViews>
  <sheets>
    <sheet name="WP D , pg 1" sheetId="1" r:id="rId1"/>
    <sheet name="WP D, pg 2 &amp; 3" sheetId="2" r:id="rId2"/>
    <sheet name="G9BDD Input" sheetId="3" r:id="rId3"/>
    <sheet name="G9BDDTotalWO" sheetId="4" r:id="rId4"/>
    <sheet name="G9BDD Acct1" sheetId="5" r:id="rId5"/>
    <sheet name="G9BDD Support" sheetId="6" r:id="rId6"/>
    <sheet name="G9AYR Input" sheetId="7" r:id="rId7"/>
    <sheet name="G9AYR TotalWO" sheetId="8" r:id="rId8"/>
    <sheet name="G9AYR Acct1" sheetId="9" r:id="rId9"/>
    <sheet name="G9AYR Support" sheetId="11" r:id="rId10"/>
    <sheet name="G9BCU Input" sheetId="20" r:id="rId11"/>
    <sheet name="G9BCU TotalWO" sheetId="21" r:id="rId12"/>
    <sheet name="G9BCU Acct1" sheetId="22" r:id="rId13"/>
    <sheet name="G9BCU Support" sheetId="23" r:id="rId14"/>
    <sheet name="G9BDE Input" sheetId="28" r:id="rId15"/>
    <sheet name="G9BDE TotalWO" sheetId="29" r:id="rId16"/>
    <sheet name="G9BDE Acct1" sheetId="30" r:id="rId17"/>
    <sheet name="G9BDE Acct2" sheetId="31" r:id="rId18"/>
    <sheet name="G9BDE Support" sheetId="32" r:id="rId19"/>
    <sheet name="G9BDS Input" sheetId="12" r:id="rId20"/>
    <sheet name="G9BDS TotalWO" sheetId="13" r:id="rId21"/>
    <sheet name="G9BDS Acct1" sheetId="14" r:id="rId22"/>
    <sheet name="G9BDS Support" sheetId="15" r:id="rId23"/>
    <sheet name="G9BDF Input" sheetId="33" r:id="rId24"/>
    <sheet name="G9BDF TotalWO" sheetId="34" r:id="rId25"/>
    <sheet name="G9BDF Acct1" sheetId="35" r:id="rId26"/>
    <sheet name="G9BDF Acct2" sheetId="36" r:id="rId27"/>
    <sheet name="G9BDF Support" sheetId="37" r:id="rId28"/>
  </sheets>
  <externalReferences>
    <externalReference r:id="rId29"/>
  </externalReferences>
  <definedNames>
    <definedName name="\a">#REF!</definedName>
    <definedName name="\b">#REF!</definedName>
    <definedName name="_a1">#REF!</definedName>
    <definedName name="_Key1" localSheetId="7" hidden="1">[1]Acct1!$A$13:$A$44</definedName>
    <definedName name="_Key1" localSheetId="11" hidden="1">[1]Acct1!$A$13:$A$44</definedName>
    <definedName name="_Key1" localSheetId="3" hidden="1">[1]Acct1!$A$13:$A$44</definedName>
    <definedName name="_Key1" localSheetId="15" hidden="1">[1]Acct1!$A$13:$A$44</definedName>
    <definedName name="_Key1" localSheetId="24" hidden="1">[1]Acct1!$A$13:$A$44</definedName>
    <definedName name="_Key1" localSheetId="20" hidden="1">[1]Acct1!$A$13:$A$44</definedName>
    <definedName name="_Order1" localSheetId="7" hidden="1">255</definedName>
    <definedName name="_Order1" localSheetId="11" hidden="1">255</definedName>
    <definedName name="_Order1" localSheetId="3" hidden="1">255</definedName>
    <definedName name="_Order1" localSheetId="15" hidden="1">255</definedName>
    <definedName name="_Order1" localSheetId="24" hidden="1">255</definedName>
    <definedName name="_Order1" localSheetId="20" hidden="1">255</definedName>
    <definedName name="_Regression_Int" localSheetId="7" hidden="1">1</definedName>
    <definedName name="_Regression_Int" localSheetId="11" hidden="1">1</definedName>
    <definedName name="_Regression_Int" localSheetId="3" hidden="1">1</definedName>
    <definedName name="_Regression_Int" localSheetId="15" hidden="1">1</definedName>
    <definedName name="_Regression_Int" localSheetId="24" hidden="1">1</definedName>
    <definedName name="_Regression_Int" localSheetId="20" hidden="1">1</definedName>
    <definedName name="_Sort" localSheetId="7" hidden="1">[1]Acct1!$A$13:$A$44</definedName>
    <definedName name="_Sort" localSheetId="11" hidden="1">[1]Acct1!$A$13:$A$44</definedName>
    <definedName name="_Sort" localSheetId="3" hidden="1">[1]Acct1!$A$13:$A$44</definedName>
    <definedName name="_Sort" localSheetId="15" hidden="1">[1]Acct1!$A$13:$A$44</definedName>
    <definedName name="_Sort" localSheetId="24" hidden="1">[1]Acct1!$A$13:$A$44</definedName>
    <definedName name="_Sort" localSheetId="20" hidden="1">[1]Acct1!$A$13:$A$44</definedName>
    <definedName name="ab">#REF!</definedName>
    <definedName name="b">#REF!</definedName>
    <definedName name="LINE">#REF!</definedName>
    <definedName name="_xlnm.Print_Area" localSheetId="8">'G9AYR Acct1'!$A$1:$M$121</definedName>
    <definedName name="_xlnm.Print_Area" localSheetId="9">'G9AYR Support'!$A$1:$M$132</definedName>
    <definedName name="_xlnm.Print_Area" localSheetId="7">'G9AYR TotalWO'!$A$1:$I$38</definedName>
    <definedName name="_xlnm.Print_Area" localSheetId="12">'G9BCU Acct1'!$A$1:$M$121</definedName>
    <definedName name="_xlnm.Print_Area" localSheetId="13">'G9BCU Support'!$A$1:$M$131</definedName>
    <definedName name="_xlnm.Print_Area" localSheetId="11">'G9BCU TotalWO'!$A$1:$I$38</definedName>
    <definedName name="_xlnm.Print_Area" localSheetId="4">'G9BDD Acct1'!$A$1:$M$121</definedName>
    <definedName name="_xlnm.Print_Area" localSheetId="5">'G9BDD Support'!$A$1:$N$128</definedName>
    <definedName name="_xlnm.Print_Area" localSheetId="3">G9BDDTotalWO!$A$1:$I$38</definedName>
    <definedName name="_xlnm.Print_Area" localSheetId="16">'G9BDE Acct1'!$A$1:$M$121</definedName>
    <definedName name="_xlnm.Print_Area" localSheetId="17">'G9BDE Acct2'!$A$1:$M$121</definedName>
    <definedName name="_xlnm.Print_Area" localSheetId="18">'G9BDE Support'!$A$1:$N$133</definedName>
    <definedName name="_xlnm.Print_Area" localSheetId="15">'G9BDE TotalWO'!$A$1:$I$38</definedName>
    <definedName name="_xlnm.Print_Area" localSheetId="25">'G9BDF Acct1'!$A$1:$M$121</definedName>
    <definedName name="_xlnm.Print_Area" localSheetId="26">'G9BDF Acct2'!$A$1:$M$121</definedName>
    <definedName name="_xlnm.Print_Area" localSheetId="27">'G9BDF Support'!$A$1:$N$133</definedName>
    <definedName name="_xlnm.Print_Area" localSheetId="24">'G9BDF TotalWO'!$A$1:$I$38</definedName>
    <definedName name="_xlnm.Print_Area" localSheetId="21">'G9BDS Acct1'!$A$1:$M$121</definedName>
    <definedName name="_xlnm.Print_Area" localSheetId="22">'G9BDS Support'!$A$1:$N$126</definedName>
    <definedName name="_xlnm.Print_Area" localSheetId="20">'G9BDS TotalWO'!$A$1:$I$38</definedName>
    <definedName name="_xlnm.Print_Area" localSheetId="0">'WP D , pg 1'!$A$1:$H$35</definedName>
    <definedName name="_xlnm.Print_Area" localSheetId="1">'WP D, pg 2 &amp; 3'!$A$1:$T$60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2" l="1"/>
  <c r="J13" i="20"/>
  <c r="J14" i="33"/>
  <c r="J13" i="33"/>
  <c r="J14" i="28"/>
  <c r="J13" i="28"/>
  <c r="J13" i="7"/>
  <c r="J13" i="3"/>
  <c r="A6" i="37"/>
  <c r="A77" i="37" s="1"/>
  <c r="A101" i="36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97" i="36"/>
  <c r="A98" i="36" s="1"/>
  <c r="A99" i="36" s="1"/>
  <c r="A100" i="36" s="1"/>
  <c r="A93" i="36"/>
  <c r="A94" i="36" s="1"/>
  <c r="A95" i="36" s="1"/>
  <c r="A96" i="36" s="1"/>
  <c r="I92" i="36"/>
  <c r="M73" i="36"/>
  <c r="K73" i="36"/>
  <c r="A70" i="36"/>
  <c r="A71" i="36" s="1"/>
  <c r="A72" i="36" s="1"/>
  <c r="A73" i="36" s="1"/>
  <c r="A74" i="36" s="1"/>
  <c r="A75" i="36" s="1"/>
  <c r="A76" i="36" s="1"/>
  <c r="A77" i="36" s="1"/>
  <c r="A63" i="36"/>
  <c r="A64" i="36" s="1"/>
  <c r="A65" i="36" s="1"/>
  <c r="A66" i="36" s="1"/>
  <c r="A67" i="36" s="1"/>
  <c r="A68" i="36" s="1"/>
  <c r="A69" i="36" s="1"/>
  <c r="A59" i="36"/>
  <c r="A60" i="36" s="1"/>
  <c r="A61" i="36" s="1"/>
  <c r="A62" i="36" s="1"/>
  <c r="A55" i="36"/>
  <c r="A56" i="36" s="1"/>
  <c r="A57" i="36" s="1"/>
  <c r="A58" i="36" s="1"/>
  <c r="A54" i="36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E11" i="36"/>
  <c r="E88" i="36" s="1"/>
  <c r="A8" i="36"/>
  <c r="A6" i="36"/>
  <c r="A44" i="36" s="1"/>
  <c r="A100" i="35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98" i="35"/>
  <c r="A99" i="35" s="1"/>
  <c r="A96" i="35"/>
  <c r="A97" i="35" s="1"/>
  <c r="A94" i="35"/>
  <c r="A95" i="35" s="1"/>
  <c r="A93" i="35"/>
  <c r="I92" i="35"/>
  <c r="M73" i="35"/>
  <c r="K73" i="35"/>
  <c r="A69" i="35"/>
  <c r="A70" i="35" s="1"/>
  <c r="A71" i="35" s="1"/>
  <c r="A72" i="35" s="1"/>
  <c r="A73" i="35" s="1"/>
  <c r="A74" i="35" s="1"/>
  <c r="A75" i="35" s="1"/>
  <c r="A76" i="35" s="1"/>
  <c r="A77" i="35" s="1"/>
  <c r="A55" i="35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54" i="35"/>
  <c r="A17" i="35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16" i="35"/>
  <c r="E11" i="35"/>
  <c r="A8" i="35"/>
  <c r="A6" i="35"/>
  <c r="A83" i="35" s="1"/>
  <c r="E27" i="34"/>
  <c r="E27" i="36" s="1"/>
  <c r="E26" i="34"/>
  <c r="E26" i="36" s="1"/>
  <c r="E25" i="34"/>
  <c r="E25" i="36" s="1"/>
  <c r="E24" i="34"/>
  <c r="E24" i="36" s="1"/>
  <c r="E23" i="34"/>
  <c r="E23" i="36" s="1"/>
  <c r="E22" i="34"/>
  <c r="E22" i="35" s="1"/>
  <c r="E21" i="34"/>
  <c r="E21" i="36" s="1"/>
  <c r="E20" i="34"/>
  <c r="E20" i="36" s="1"/>
  <c r="E19" i="34"/>
  <c r="E19" i="36" s="1"/>
  <c r="E18" i="34"/>
  <c r="E18" i="36" s="1"/>
  <c r="E17" i="34"/>
  <c r="E17" i="36" s="1"/>
  <c r="C17" i="34"/>
  <c r="G16" i="34"/>
  <c r="G16" i="36" s="1"/>
  <c r="E16" i="34"/>
  <c r="E16" i="36" s="1"/>
  <c r="C16" i="34"/>
  <c r="C16" i="36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G15" i="34"/>
  <c r="G15" i="36" s="1"/>
  <c r="E15" i="34"/>
  <c r="E15" i="36" s="1"/>
  <c r="C15" i="34"/>
  <c r="C15" i="36" s="1"/>
  <c r="C92" i="36" s="1"/>
  <c r="A6" i="34"/>
  <c r="B15" i="33"/>
  <c r="B16" i="33" s="1"/>
  <c r="A43" i="2"/>
  <c r="A44" i="2" s="1"/>
  <c r="A42" i="2"/>
  <c r="B42" i="2"/>
  <c r="D42" i="2"/>
  <c r="A6" i="32"/>
  <c r="A77" i="32" s="1"/>
  <c r="A6" i="31"/>
  <c r="A83" i="31" s="1"/>
  <c r="A8" i="31"/>
  <c r="E11" i="31"/>
  <c r="E49" i="31" s="1"/>
  <c r="C73" i="31" s="1"/>
  <c r="C116" i="31" s="1"/>
  <c r="A16" i="31"/>
  <c r="A17" i="3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54" i="3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K73" i="31"/>
  <c r="M73" i="31"/>
  <c r="I92" i="31"/>
  <c r="A93" i="31"/>
  <c r="A94" i="31"/>
  <c r="A95" i="31" s="1"/>
  <c r="A96" i="31"/>
  <c r="A97" i="31" s="1"/>
  <c r="A98" i="31" s="1"/>
  <c r="A99" i="31" s="1"/>
  <c r="A100" i="31" s="1"/>
  <c r="A101" i="31" s="1"/>
  <c r="A102" i="31"/>
  <c r="A103" i="31" s="1"/>
  <c r="A104" i="3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6" i="30"/>
  <c r="A83" i="30" s="1"/>
  <c r="A8" i="30"/>
  <c r="E11" i="30"/>
  <c r="E49" i="30" s="1"/>
  <c r="C73" i="30" s="1"/>
  <c r="C116" i="30" s="1"/>
  <c r="A16" i="30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/>
  <c r="A36" i="30" s="1"/>
  <c r="A37" i="30" s="1"/>
  <c r="A38" i="30" s="1"/>
  <c r="A54" i="30"/>
  <c r="A55" i="30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/>
  <c r="A70" i="30" s="1"/>
  <c r="A71" i="30" s="1"/>
  <c r="A72" i="30" s="1"/>
  <c r="A73" i="30"/>
  <c r="A74" i="30" s="1"/>
  <c r="A75" i="30" s="1"/>
  <c r="A76" i="30" s="1"/>
  <c r="A77" i="30" s="1"/>
  <c r="K73" i="30"/>
  <c r="M73" i="30"/>
  <c r="I92" i="30"/>
  <c r="A93" i="30"/>
  <c r="A94" i="30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6" i="29"/>
  <c r="C15" i="29"/>
  <c r="E15" i="29"/>
  <c r="G15" i="29"/>
  <c r="G15" i="31" s="1"/>
  <c r="A16" i="29"/>
  <c r="C16" i="29"/>
  <c r="E16" i="29"/>
  <c r="E28" i="29" s="1"/>
  <c r="E30" i="29" s="1"/>
  <c r="G16" i="29"/>
  <c r="G20" i="29" s="1"/>
  <c r="A17" i="29"/>
  <c r="C17" i="29"/>
  <c r="E17" i="29"/>
  <c r="A18" i="29"/>
  <c r="C18" i="29"/>
  <c r="E18" i="29"/>
  <c r="A19" i="29"/>
  <c r="A20" i="29" s="1"/>
  <c r="A21" i="29" s="1"/>
  <c r="A22" i="29" s="1"/>
  <c r="E19" i="29"/>
  <c r="E20" i="29"/>
  <c r="E21" i="29"/>
  <c r="E22" i="29"/>
  <c r="A23" i="29"/>
  <c r="A24" i="29" s="1"/>
  <c r="A25" i="29" s="1"/>
  <c r="A26" i="29" s="1"/>
  <c r="E23" i="29"/>
  <c r="E23" i="30" s="1"/>
  <c r="E24" i="29"/>
  <c r="E24" i="31" s="1"/>
  <c r="E25" i="29"/>
  <c r="E26" i="29"/>
  <c r="A27" i="29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E27" i="29"/>
  <c r="E27" i="30" s="1"/>
  <c r="A5" i="29"/>
  <c r="E73" i="31"/>
  <c r="B15" i="28"/>
  <c r="B16" i="28" s="1"/>
  <c r="B17" i="28" s="1"/>
  <c r="C19" i="29" s="1"/>
  <c r="B18" i="28"/>
  <c r="B41" i="2"/>
  <c r="D41" i="2"/>
  <c r="A6" i="23"/>
  <c r="A76" i="23" s="1"/>
  <c r="A94" i="22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93" i="22"/>
  <c r="I92" i="22"/>
  <c r="M73" i="22"/>
  <c r="K73" i="22"/>
  <c r="A57" i="22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55" i="22"/>
  <c r="A56" i="22" s="1"/>
  <c r="A54" i="22"/>
  <c r="A32" i="22"/>
  <c r="A33" i="22" s="1"/>
  <c r="A34" i="22" s="1"/>
  <c r="A35" i="22" s="1"/>
  <c r="A36" i="22" s="1"/>
  <c r="A37" i="22" s="1"/>
  <c r="A38" i="22" s="1"/>
  <c r="E24" i="22"/>
  <c r="A22" i="22"/>
  <c r="A23" i="22" s="1"/>
  <c r="A24" i="22" s="1"/>
  <c r="A25" i="22" s="1"/>
  <c r="A26" i="22" s="1"/>
  <c r="A27" i="22" s="1"/>
  <c r="A28" i="22" s="1"/>
  <c r="A29" i="22" s="1"/>
  <c r="A30" i="22" s="1"/>
  <c r="A31" i="22" s="1"/>
  <c r="A19" i="22"/>
  <c r="A20" i="22" s="1"/>
  <c r="A21" i="22" s="1"/>
  <c r="A18" i="22"/>
  <c r="A17" i="22"/>
  <c r="A16" i="22"/>
  <c r="E11" i="22"/>
  <c r="E88" i="22" s="1"/>
  <c r="A8" i="22"/>
  <c r="A6" i="22"/>
  <c r="A83" i="22" s="1"/>
  <c r="E27" i="21"/>
  <c r="E27" i="22" s="1"/>
  <c r="E26" i="21"/>
  <c r="E26" i="22" s="1"/>
  <c r="E25" i="21"/>
  <c r="E25" i="22" s="1"/>
  <c r="E24" i="21"/>
  <c r="E23" i="21"/>
  <c r="E23" i="22" s="1"/>
  <c r="E22" i="21"/>
  <c r="E22" i="22" s="1"/>
  <c r="E21" i="21"/>
  <c r="E21" i="22" s="1"/>
  <c r="E20" i="21"/>
  <c r="E20" i="22" s="1"/>
  <c r="E19" i="21"/>
  <c r="E19" i="22" s="1"/>
  <c r="E18" i="21"/>
  <c r="E18" i="22" s="1"/>
  <c r="E17" i="21"/>
  <c r="E17" i="22" s="1"/>
  <c r="C17" i="21"/>
  <c r="G16" i="21"/>
  <c r="G16" i="22" s="1"/>
  <c r="E16" i="21"/>
  <c r="C16" i="2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G15" i="21"/>
  <c r="E15" i="21"/>
  <c r="E15" i="22" s="1"/>
  <c r="C15" i="21"/>
  <c r="C15" i="22" s="1"/>
  <c r="C92" i="22" s="1"/>
  <c r="A6" i="21"/>
  <c r="B17" i="20"/>
  <c r="B15" i="20"/>
  <c r="B16" i="20" s="1"/>
  <c r="C18" i="21" s="1"/>
  <c r="E73" i="22"/>
  <c r="G73" i="22" s="1"/>
  <c r="G116" i="22" s="1"/>
  <c r="A5" i="20"/>
  <c r="A5" i="23" s="1"/>
  <c r="A75" i="23" s="1"/>
  <c r="C16" i="35" l="1"/>
  <c r="C93" i="35" s="1"/>
  <c r="C94" i="35" s="1"/>
  <c r="C95" i="35" s="1"/>
  <c r="C96" i="35" s="1"/>
  <c r="C97" i="35" s="1"/>
  <c r="C98" i="35" s="1"/>
  <c r="C99" i="35" s="1"/>
  <c r="C100" i="35" s="1"/>
  <c r="C101" i="35" s="1"/>
  <c r="C102" i="35" s="1"/>
  <c r="C103" i="35" s="1"/>
  <c r="C104" i="35" s="1"/>
  <c r="E23" i="35"/>
  <c r="E27" i="35"/>
  <c r="E15" i="35"/>
  <c r="E19" i="35"/>
  <c r="E24" i="30"/>
  <c r="E88" i="30"/>
  <c r="A44" i="30"/>
  <c r="E23" i="31"/>
  <c r="A83" i="36"/>
  <c r="G23" i="34"/>
  <c r="G23" i="36" s="1"/>
  <c r="I23" i="36" s="1"/>
  <c r="G27" i="34"/>
  <c r="G27" i="36" s="1"/>
  <c r="I27" i="36" s="1"/>
  <c r="G19" i="34"/>
  <c r="G19" i="36" s="1"/>
  <c r="I19" i="36" s="1"/>
  <c r="I15" i="36"/>
  <c r="C18" i="34"/>
  <c r="B17" i="33"/>
  <c r="A5" i="37"/>
  <c r="A76" i="37" s="1"/>
  <c r="A5" i="36"/>
  <c r="I16" i="34"/>
  <c r="G17" i="34"/>
  <c r="G21" i="34"/>
  <c r="G25" i="34"/>
  <c r="A5" i="35"/>
  <c r="E88" i="35"/>
  <c r="E49" i="35"/>
  <c r="C73" i="35" s="1"/>
  <c r="C116" i="35" s="1"/>
  <c r="G16" i="35"/>
  <c r="E17" i="35"/>
  <c r="E21" i="35"/>
  <c r="E25" i="35"/>
  <c r="E22" i="36"/>
  <c r="E28" i="36" s="1"/>
  <c r="E30" i="36" s="1"/>
  <c r="E73" i="36"/>
  <c r="E73" i="35"/>
  <c r="I15" i="34"/>
  <c r="K67" i="36"/>
  <c r="I16" i="36"/>
  <c r="I19" i="34"/>
  <c r="G20" i="34"/>
  <c r="I23" i="34"/>
  <c r="G24" i="34"/>
  <c r="I27" i="34"/>
  <c r="G15" i="35"/>
  <c r="E16" i="35"/>
  <c r="C17" i="35"/>
  <c r="C18" i="35" s="1"/>
  <c r="C19" i="35" s="1"/>
  <c r="C20" i="35" s="1"/>
  <c r="C21" i="35" s="1"/>
  <c r="C22" i="35" s="1"/>
  <c r="C23" i="35" s="1"/>
  <c r="C24" i="35" s="1"/>
  <c r="C25" i="35" s="1"/>
  <c r="C26" i="35" s="1"/>
  <c r="C27" i="35" s="1"/>
  <c r="G19" i="35"/>
  <c r="E20" i="35"/>
  <c r="G23" i="35"/>
  <c r="E24" i="35"/>
  <c r="A5" i="34"/>
  <c r="C17" i="36"/>
  <c r="C18" i="36" s="1"/>
  <c r="C19" i="36" s="1"/>
  <c r="C20" i="36" s="1"/>
  <c r="C21" i="36" s="1"/>
  <c r="C22" i="36" s="1"/>
  <c r="C23" i="36" s="1"/>
  <c r="C24" i="36" s="1"/>
  <c r="C25" i="36" s="1"/>
  <c r="C26" i="36" s="1"/>
  <c r="C27" i="36" s="1"/>
  <c r="C93" i="36"/>
  <c r="C94" i="36" s="1"/>
  <c r="C95" i="36" s="1"/>
  <c r="C96" i="36" s="1"/>
  <c r="C97" i="36" s="1"/>
  <c r="C98" i="36" s="1"/>
  <c r="C99" i="36" s="1"/>
  <c r="C100" i="36" s="1"/>
  <c r="C101" i="36" s="1"/>
  <c r="C102" i="36" s="1"/>
  <c r="C103" i="36" s="1"/>
  <c r="C104" i="36" s="1"/>
  <c r="C53" i="36"/>
  <c r="C54" i="36" s="1"/>
  <c r="C55" i="36" s="1"/>
  <c r="C56" i="36" s="1"/>
  <c r="C57" i="36" s="1"/>
  <c r="C58" i="36" s="1"/>
  <c r="C59" i="36" s="1"/>
  <c r="C60" i="36" s="1"/>
  <c r="C61" i="36" s="1"/>
  <c r="C62" i="36" s="1"/>
  <c r="C63" i="36" s="1"/>
  <c r="C64" i="36" s="1"/>
  <c r="G18" i="34"/>
  <c r="G22" i="34"/>
  <c r="G26" i="34"/>
  <c r="E28" i="34"/>
  <c r="E30" i="34" s="1"/>
  <c r="C15" i="35"/>
  <c r="C92" i="35" s="1"/>
  <c r="E18" i="35"/>
  <c r="E26" i="35"/>
  <c r="A44" i="35"/>
  <c r="E49" i="36"/>
  <c r="C73" i="36" s="1"/>
  <c r="C116" i="36" s="1"/>
  <c r="E88" i="31"/>
  <c r="G24" i="29"/>
  <c r="A44" i="31"/>
  <c r="I15" i="29"/>
  <c r="G24" i="31"/>
  <c r="G24" i="30"/>
  <c r="I24" i="29"/>
  <c r="G20" i="30"/>
  <c r="G20" i="31"/>
  <c r="I20" i="29"/>
  <c r="E17" i="30"/>
  <c r="E17" i="31"/>
  <c r="B19" i="28"/>
  <c r="C20" i="29"/>
  <c r="E25" i="30"/>
  <c r="E25" i="31"/>
  <c r="E21" i="30"/>
  <c r="E21" i="31"/>
  <c r="G16" i="30"/>
  <c r="I16" i="29"/>
  <c r="G17" i="29"/>
  <c r="G21" i="29"/>
  <c r="G25" i="29"/>
  <c r="G27" i="29"/>
  <c r="G16" i="31"/>
  <c r="G18" i="29"/>
  <c r="G22" i="29"/>
  <c r="G26" i="29"/>
  <c r="G19" i="29"/>
  <c r="G23" i="29"/>
  <c r="G73" i="31"/>
  <c r="E116" i="31"/>
  <c r="E19" i="31"/>
  <c r="E19" i="30"/>
  <c r="C16" i="31"/>
  <c r="C16" i="30"/>
  <c r="E15" i="31"/>
  <c r="E15" i="30"/>
  <c r="E73" i="30"/>
  <c r="G15" i="30"/>
  <c r="E27" i="31"/>
  <c r="E20" i="31"/>
  <c r="E20" i="30"/>
  <c r="E16" i="31"/>
  <c r="E16" i="30"/>
  <c r="A5" i="30"/>
  <c r="A5" i="32"/>
  <c r="A76" i="32" s="1"/>
  <c r="A5" i="31"/>
  <c r="E26" i="31"/>
  <c r="E64" i="31" s="1"/>
  <c r="E26" i="30"/>
  <c r="E22" i="31"/>
  <c r="E22" i="30"/>
  <c r="E18" i="31"/>
  <c r="E56" i="31" s="1"/>
  <c r="E18" i="30"/>
  <c r="C15" i="31"/>
  <c r="C92" i="31" s="1"/>
  <c r="C15" i="30"/>
  <c r="C92" i="30" s="1"/>
  <c r="E60" i="22"/>
  <c r="E56" i="22"/>
  <c r="E64" i="22"/>
  <c r="E62" i="22"/>
  <c r="E55" i="22"/>
  <c r="E59" i="22"/>
  <c r="E63" i="22"/>
  <c r="E58" i="22"/>
  <c r="G19" i="21"/>
  <c r="I19" i="21" s="1"/>
  <c r="A44" i="22"/>
  <c r="E28" i="21"/>
  <c r="E30" i="21" s="1"/>
  <c r="E16" i="22"/>
  <c r="I16" i="22" s="1"/>
  <c r="G19" i="22"/>
  <c r="C19" i="21"/>
  <c r="B18" i="20"/>
  <c r="G15" i="22"/>
  <c r="I15" i="22" s="1"/>
  <c r="I15" i="21"/>
  <c r="G54" i="22"/>
  <c r="K67" i="22"/>
  <c r="G53" i="22"/>
  <c r="G20" i="21"/>
  <c r="I16" i="21"/>
  <c r="G17" i="21"/>
  <c r="G21" i="21"/>
  <c r="E61" i="22"/>
  <c r="G24" i="21"/>
  <c r="A5" i="22"/>
  <c r="E116" i="22"/>
  <c r="G27" i="21"/>
  <c r="G23" i="21"/>
  <c r="G26" i="21"/>
  <c r="G22" i="21"/>
  <c r="G25" i="21"/>
  <c r="A5" i="21"/>
  <c r="E53" i="22"/>
  <c r="C93" i="22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53" i="22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G18" i="21"/>
  <c r="E57" i="22"/>
  <c r="E49" i="22"/>
  <c r="C73" i="22" s="1"/>
  <c r="C116" i="22" s="1"/>
  <c r="I15" i="35" l="1"/>
  <c r="C53" i="35"/>
  <c r="C54" i="35" s="1"/>
  <c r="C55" i="35" s="1"/>
  <c r="C56" i="35" s="1"/>
  <c r="C57" i="35" s="1"/>
  <c r="C58" i="35" s="1"/>
  <c r="C59" i="35" s="1"/>
  <c r="C60" i="35" s="1"/>
  <c r="C61" i="35" s="1"/>
  <c r="C62" i="35" s="1"/>
  <c r="C63" i="35" s="1"/>
  <c r="C64" i="35" s="1"/>
  <c r="G27" i="35"/>
  <c r="I27" i="35" s="1"/>
  <c r="E57" i="31"/>
  <c r="I23" i="35"/>
  <c r="E28" i="35"/>
  <c r="E30" i="35" s="1"/>
  <c r="G20" i="36"/>
  <c r="G20" i="35"/>
  <c r="I20" i="34"/>
  <c r="A82" i="36"/>
  <c r="A43" i="36"/>
  <c r="I19" i="35"/>
  <c r="G21" i="36"/>
  <c r="G21" i="35"/>
  <c r="I21" i="34"/>
  <c r="G73" i="36"/>
  <c r="E60" i="36" s="1"/>
  <c r="E116" i="36"/>
  <c r="A82" i="35"/>
  <c r="A43" i="35"/>
  <c r="G22" i="36"/>
  <c r="G22" i="35"/>
  <c r="I22" i="34"/>
  <c r="G24" i="36"/>
  <c r="G24" i="35"/>
  <c r="I24" i="34"/>
  <c r="K67" i="35"/>
  <c r="I16" i="35"/>
  <c r="G25" i="35"/>
  <c r="I25" i="34"/>
  <c r="G25" i="36"/>
  <c r="G26" i="36"/>
  <c r="G26" i="35"/>
  <c r="I26" i="34"/>
  <c r="G18" i="36"/>
  <c r="G18" i="35"/>
  <c r="I18" i="34"/>
  <c r="E116" i="35"/>
  <c r="G73" i="35"/>
  <c r="G17" i="36"/>
  <c r="G17" i="35"/>
  <c r="I17" i="34"/>
  <c r="G28" i="34"/>
  <c r="G30" i="34" s="1"/>
  <c r="B18" i="33"/>
  <c r="C19" i="34"/>
  <c r="I15" i="30"/>
  <c r="G28" i="29"/>
  <c r="G30" i="29" s="1"/>
  <c r="E28" i="30"/>
  <c r="E30" i="30" s="1"/>
  <c r="I15" i="31"/>
  <c r="E53" i="31"/>
  <c r="I16" i="31"/>
  <c r="G54" i="31"/>
  <c r="G53" i="31"/>
  <c r="K67" i="31"/>
  <c r="I20" i="31"/>
  <c r="G58" i="31"/>
  <c r="I24" i="31"/>
  <c r="G62" i="31"/>
  <c r="A43" i="31"/>
  <c r="A82" i="31"/>
  <c r="E54" i="31"/>
  <c r="E28" i="31"/>
  <c r="E30" i="31" s="1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53" i="30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93" i="30"/>
  <c r="C94" i="30" s="1"/>
  <c r="C95" i="30" s="1"/>
  <c r="C96" i="30" s="1"/>
  <c r="C97" i="30" s="1"/>
  <c r="C98" i="30" s="1"/>
  <c r="C99" i="30" s="1"/>
  <c r="C100" i="30" s="1"/>
  <c r="C101" i="30" s="1"/>
  <c r="C102" i="30" s="1"/>
  <c r="C103" i="30" s="1"/>
  <c r="C104" i="30" s="1"/>
  <c r="G116" i="31"/>
  <c r="E61" i="31"/>
  <c r="G26" i="30"/>
  <c r="G26" i="31"/>
  <c r="I26" i="29"/>
  <c r="G27" i="31"/>
  <c r="I27" i="31" s="1"/>
  <c r="I27" i="29"/>
  <c r="G27" i="30"/>
  <c r="I27" i="30" s="1"/>
  <c r="E63" i="31"/>
  <c r="E62" i="31"/>
  <c r="E55" i="31"/>
  <c r="I20" i="30"/>
  <c r="E60" i="31"/>
  <c r="E116" i="30"/>
  <c r="G73" i="30"/>
  <c r="G53" i="30" s="1"/>
  <c r="C53" i="3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93" i="31"/>
  <c r="C94" i="31" s="1"/>
  <c r="C95" i="31" s="1"/>
  <c r="C96" i="31" s="1"/>
  <c r="C97" i="31" s="1"/>
  <c r="C98" i="31" s="1"/>
  <c r="C99" i="31" s="1"/>
  <c r="C100" i="31" s="1"/>
  <c r="C101" i="31" s="1"/>
  <c r="C102" i="31" s="1"/>
  <c r="C103" i="31" s="1"/>
  <c r="C104" i="31" s="1"/>
  <c r="G22" i="31"/>
  <c r="G22" i="30"/>
  <c r="I22" i="29"/>
  <c r="G25" i="31"/>
  <c r="G25" i="30"/>
  <c r="I25" i="29"/>
  <c r="G54" i="30"/>
  <c r="K67" i="30"/>
  <c r="I16" i="30"/>
  <c r="A43" i="30"/>
  <c r="A82" i="30"/>
  <c r="E58" i="31"/>
  <c r="G23" i="31"/>
  <c r="G23" i="30"/>
  <c r="I23" i="29"/>
  <c r="G18" i="31"/>
  <c r="G18" i="30"/>
  <c r="I18" i="29"/>
  <c r="G21" i="31"/>
  <c r="G21" i="30"/>
  <c r="I21" i="29"/>
  <c r="E59" i="31"/>
  <c r="I24" i="30"/>
  <c r="G19" i="31"/>
  <c r="G19" i="30"/>
  <c r="I19" i="29"/>
  <c r="G17" i="31"/>
  <c r="G17" i="30"/>
  <c r="I17" i="29"/>
  <c r="B20" i="28"/>
  <c r="C21" i="29"/>
  <c r="I27" i="21"/>
  <c r="G27" i="22"/>
  <c r="I27" i="22" s="1"/>
  <c r="G24" i="22"/>
  <c r="I24" i="21"/>
  <c r="G93" i="22"/>
  <c r="I53" i="22"/>
  <c r="G22" i="22"/>
  <c r="I22" i="21"/>
  <c r="I19" i="22"/>
  <c r="G57" i="22"/>
  <c r="I57" i="22" s="1"/>
  <c r="E93" i="22"/>
  <c r="G26" i="22"/>
  <c r="I26" i="21"/>
  <c r="G21" i="22"/>
  <c r="I21" i="21"/>
  <c r="G20" i="22"/>
  <c r="I20" i="21"/>
  <c r="C20" i="21"/>
  <c r="B19" i="20"/>
  <c r="E28" i="22"/>
  <c r="E30" i="22" s="1"/>
  <c r="E54" i="22"/>
  <c r="E65" i="22" s="1"/>
  <c r="G25" i="22"/>
  <c r="I25" i="21"/>
  <c r="G28" i="21"/>
  <c r="G30" i="21" s="1"/>
  <c r="G18" i="22"/>
  <c r="I18" i="21"/>
  <c r="I23" i="21"/>
  <c r="G23" i="22"/>
  <c r="A43" i="22"/>
  <c r="A82" i="22"/>
  <c r="G17" i="22"/>
  <c r="I17" i="21"/>
  <c r="I28" i="34" l="1"/>
  <c r="I30" i="34" s="1"/>
  <c r="I33" i="34" s="1"/>
  <c r="I28" i="21"/>
  <c r="I30" i="21" s="1"/>
  <c r="I33" i="21" s="1"/>
  <c r="G116" i="35"/>
  <c r="E57" i="35"/>
  <c r="E61" i="35"/>
  <c r="E60" i="35"/>
  <c r="E53" i="35"/>
  <c r="G63" i="36"/>
  <c r="I25" i="36"/>
  <c r="G62" i="35"/>
  <c r="I24" i="35"/>
  <c r="G55" i="35"/>
  <c r="I17" i="35"/>
  <c r="I18" i="35"/>
  <c r="G56" i="35"/>
  <c r="I26" i="36"/>
  <c r="G64" i="36"/>
  <c r="G54" i="35"/>
  <c r="G62" i="36"/>
  <c r="I24" i="36"/>
  <c r="G59" i="35"/>
  <c r="I21" i="35"/>
  <c r="G57" i="35"/>
  <c r="E54" i="35"/>
  <c r="E55" i="35"/>
  <c r="C20" i="34"/>
  <c r="B19" i="33"/>
  <c r="G55" i="36"/>
  <c r="I17" i="36"/>
  <c r="G28" i="36"/>
  <c r="G30" i="36" s="1"/>
  <c r="I18" i="36"/>
  <c r="G56" i="36"/>
  <c r="E56" i="35"/>
  <c r="G63" i="35"/>
  <c r="I25" i="35"/>
  <c r="E58" i="35"/>
  <c r="G60" i="35"/>
  <c r="I22" i="35"/>
  <c r="G116" i="36"/>
  <c r="E56" i="36"/>
  <c r="G57" i="36"/>
  <c r="G61" i="36"/>
  <c r="G53" i="36"/>
  <c r="E59" i="36"/>
  <c r="E53" i="36"/>
  <c r="E64" i="36"/>
  <c r="E54" i="36"/>
  <c r="E58" i="36"/>
  <c r="E62" i="36"/>
  <c r="E55" i="36"/>
  <c r="E57" i="36"/>
  <c r="G54" i="36"/>
  <c r="E63" i="36"/>
  <c r="E61" i="36"/>
  <c r="G59" i="36"/>
  <c r="I21" i="36"/>
  <c r="G58" i="35"/>
  <c r="I20" i="35"/>
  <c r="G61" i="35"/>
  <c r="G64" i="35"/>
  <c r="I26" i="35"/>
  <c r="G53" i="35"/>
  <c r="E59" i="35"/>
  <c r="E62" i="35"/>
  <c r="E64" i="35"/>
  <c r="G28" i="35"/>
  <c r="G30" i="35" s="1"/>
  <c r="I22" i="36"/>
  <c r="G60" i="36"/>
  <c r="I60" i="36" s="1"/>
  <c r="E63" i="35"/>
  <c r="G58" i="36"/>
  <c r="I20" i="36"/>
  <c r="I62" i="31"/>
  <c r="I58" i="31"/>
  <c r="I28" i="29"/>
  <c r="I30" i="29" s="1"/>
  <c r="I33" i="29" s="1"/>
  <c r="I19" i="31"/>
  <c r="G57" i="31"/>
  <c r="I57" i="31" s="1"/>
  <c r="G93" i="30"/>
  <c r="G55" i="31"/>
  <c r="I55" i="31" s="1"/>
  <c r="I17" i="31"/>
  <c r="I22" i="30"/>
  <c r="G60" i="30"/>
  <c r="G93" i="31"/>
  <c r="I53" i="31"/>
  <c r="G56" i="30"/>
  <c r="I18" i="30"/>
  <c r="G55" i="30"/>
  <c r="I17" i="30"/>
  <c r="I21" i="31"/>
  <c r="G59" i="31"/>
  <c r="I59" i="31" s="1"/>
  <c r="E61" i="30"/>
  <c r="G116" i="30"/>
  <c r="E62" i="30"/>
  <c r="G64" i="31"/>
  <c r="I64" i="31" s="1"/>
  <c r="I26" i="31"/>
  <c r="E65" i="31"/>
  <c r="E93" i="31"/>
  <c r="G62" i="30"/>
  <c r="I23" i="30"/>
  <c r="G61" i="30"/>
  <c r="I61" i="30" s="1"/>
  <c r="E57" i="30"/>
  <c r="G28" i="30"/>
  <c r="G30" i="30" s="1"/>
  <c r="I26" i="30"/>
  <c r="G64" i="30"/>
  <c r="B21" i="28"/>
  <c r="C22" i="29"/>
  <c r="G61" i="31"/>
  <c r="I61" i="31" s="1"/>
  <c r="I23" i="31"/>
  <c r="E53" i="30"/>
  <c r="I53" i="30" s="1"/>
  <c r="E64" i="30"/>
  <c r="E55" i="30"/>
  <c r="I25" i="30"/>
  <c r="G63" i="30"/>
  <c r="G60" i="31"/>
  <c r="I60" i="31" s="1"/>
  <c r="I22" i="31"/>
  <c r="E58" i="30"/>
  <c r="G58" i="30"/>
  <c r="E59" i="30"/>
  <c r="I54" i="31"/>
  <c r="E54" i="30"/>
  <c r="I54" i="30" s="1"/>
  <c r="I19" i="30"/>
  <c r="G57" i="30"/>
  <c r="I21" i="30"/>
  <c r="G59" i="30"/>
  <c r="G56" i="31"/>
  <c r="I56" i="31" s="1"/>
  <c r="I18" i="31"/>
  <c r="E56" i="30"/>
  <c r="E63" i="30"/>
  <c r="I25" i="31"/>
  <c r="G63" i="31"/>
  <c r="I63" i="31" s="1"/>
  <c r="E60" i="30"/>
  <c r="G28" i="31"/>
  <c r="G30" i="31" s="1"/>
  <c r="I54" i="22"/>
  <c r="G64" i="22"/>
  <c r="I64" i="22" s="1"/>
  <c r="I26" i="22"/>
  <c r="I25" i="22"/>
  <c r="G63" i="22"/>
  <c r="I63" i="22" s="1"/>
  <c r="E94" i="22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G62" i="22"/>
  <c r="I62" i="22" s="1"/>
  <c r="I24" i="22"/>
  <c r="I17" i="22"/>
  <c r="G55" i="22"/>
  <c r="G28" i="22"/>
  <c r="G30" i="22" s="1"/>
  <c r="I21" i="22"/>
  <c r="G59" i="22"/>
  <c r="I59" i="22" s="1"/>
  <c r="G60" i="22"/>
  <c r="I60" i="22" s="1"/>
  <c r="I22" i="22"/>
  <c r="G94" i="22"/>
  <c r="I93" i="22"/>
  <c r="G56" i="22"/>
  <c r="I56" i="22" s="1"/>
  <c r="I18" i="22"/>
  <c r="B20" i="20"/>
  <c r="C21" i="21"/>
  <c r="G58" i="22"/>
  <c r="I58" i="22" s="1"/>
  <c r="I20" i="22"/>
  <c r="G61" i="22"/>
  <c r="I61" i="22" s="1"/>
  <c r="I23" i="22"/>
  <c r="I58" i="35" l="1"/>
  <c r="I57" i="36"/>
  <c r="I58" i="36"/>
  <c r="I56" i="36"/>
  <c r="I62" i="35"/>
  <c r="I57" i="35"/>
  <c r="I55" i="30"/>
  <c r="I58" i="30"/>
  <c r="I62" i="30"/>
  <c r="I63" i="30"/>
  <c r="I55" i="36"/>
  <c r="I28" i="35"/>
  <c r="I30" i="35" s="1"/>
  <c r="I33" i="35" s="1"/>
  <c r="I60" i="35"/>
  <c r="I61" i="35"/>
  <c r="I59" i="36"/>
  <c r="I54" i="35"/>
  <c r="I64" i="35"/>
  <c r="I54" i="36"/>
  <c r="B20" i="33"/>
  <c r="C21" i="34"/>
  <c r="I62" i="36"/>
  <c r="I64" i="36"/>
  <c r="E93" i="36"/>
  <c r="E65" i="36"/>
  <c r="G65" i="36"/>
  <c r="I53" i="36"/>
  <c r="G93" i="36"/>
  <c r="I63" i="35"/>
  <c r="I55" i="35"/>
  <c r="I63" i="36"/>
  <c r="G65" i="35"/>
  <c r="G93" i="35"/>
  <c r="I53" i="35"/>
  <c r="I61" i="36"/>
  <c r="I28" i="36"/>
  <c r="I30" i="36" s="1"/>
  <c r="I33" i="36" s="1"/>
  <c r="I59" i="35"/>
  <c r="I56" i="35"/>
  <c r="E65" i="35"/>
  <c r="E93" i="35"/>
  <c r="I59" i="30"/>
  <c r="I28" i="31"/>
  <c r="I30" i="31" s="1"/>
  <c r="I33" i="31" s="1"/>
  <c r="I28" i="30"/>
  <c r="I30" i="30" s="1"/>
  <c r="I33" i="30" s="1"/>
  <c r="L15" i="2" s="1"/>
  <c r="P15" i="2" s="1"/>
  <c r="I65" i="31"/>
  <c r="I67" i="31" s="1"/>
  <c r="M67" i="31" s="1"/>
  <c r="M53" i="31" s="1"/>
  <c r="C23" i="29"/>
  <c r="B22" i="28"/>
  <c r="E94" i="31"/>
  <c r="E95" i="31" s="1"/>
  <c r="E96" i="31" s="1"/>
  <c r="E97" i="31" s="1"/>
  <c r="E98" i="31" s="1"/>
  <c r="E99" i="31" s="1"/>
  <c r="E100" i="31" s="1"/>
  <c r="E101" i="31" s="1"/>
  <c r="E102" i="31" s="1"/>
  <c r="E103" i="31" s="1"/>
  <c r="E104" i="31" s="1"/>
  <c r="I93" i="31"/>
  <c r="G94" i="31"/>
  <c r="G94" i="30"/>
  <c r="I64" i="30"/>
  <c r="I56" i="30"/>
  <c r="I60" i="30"/>
  <c r="E65" i="30"/>
  <c r="E93" i="30"/>
  <c r="I93" i="30" s="1"/>
  <c r="I57" i="30"/>
  <c r="G65" i="31"/>
  <c r="G65" i="30"/>
  <c r="C22" i="21"/>
  <c r="B21" i="20"/>
  <c r="I55" i="22"/>
  <c r="G65" i="22"/>
  <c r="I28" i="22"/>
  <c r="I30" i="22" s="1"/>
  <c r="I33" i="22" s="1"/>
  <c r="L14" i="2" s="1"/>
  <c r="P14" i="2" s="1"/>
  <c r="I94" i="22"/>
  <c r="G95" i="22"/>
  <c r="E105" i="22"/>
  <c r="E107" i="22" s="1"/>
  <c r="L17" i="2" l="1"/>
  <c r="I65" i="35"/>
  <c r="I67" i="35" s="1"/>
  <c r="G94" i="36"/>
  <c r="I93" i="36"/>
  <c r="E94" i="36"/>
  <c r="E95" i="36" s="1"/>
  <c r="E96" i="36" s="1"/>
  <c r="E97" i="36" s="1"/>
  <c r="E98" i="36" s="1"/>
  <c r="E99" i="36" s="1"/>
  <c r="E100" i="36" s="1"/>
  <c r="E101" i="36" s="1"/>
  <c r="E102" i="36" s="1"/>
  <c r="E103" i="36" s="1"/>
  <c r="E104" i="36" s="1"/>
  <c r="C22" i="34"/>
  <c r="B21" i="33"/>
  <c r="I65" i="36"/>
  <c r="I67" i="36" s="1"/>
  <c r="M67" i="36" s="1"/>
  <c r="M53" i="36" s="1"/>
  <c r="E94" i="35"/>
  <c r="E95" i="35" s="1"/>
  <c r="E96" i="35" s="1"/>
  <c r="E97" i="35" s="1"/>
  <c r="E98" i="35" s="1"/>
  <c r="E99" i="35" s="1"/>
  <c r="E100" i="35" s="1"/>
  <c r="E101" i="35" s="1"/>
  <c r="E102" i="35" s="1"/>
  <c r="E103" i="35" s="1"/>
  <c r="E104" i="35" s="1"/>
  <c r="G94" i="35"/>
  <c r="I93" i="35"/>
  <c r="I65" i="30"/>
  <c r="I67" i="30" s="1"/>
  <c r="I94" i="31"/>
  <c r="G95" i="31"/>
  <c r="B23" i="28"/>
  <c r="C24" i="29"/>
  <c r="E94" i="30"/>
  <c r="E95" i="30" s="1"/>
  <c r="E96" i="30" s="1"/>
  <c r="E97" i="30" s="1"/>
  <c r="E98" i="30" s="1"/>
  <c r="E99" i="30" s="1"/>
  <c r="E100" i="30" s="1"/>
  <c r="E101" i="30" s="1"/>
  <c r="E102" i="30" s="1"/>
  <c r="E103" i="30" s="1"/>
  <c r="E104" i="30" s="1"/>
  <c r="G95" i="30"/>
  <c r="E105" i="31"/>
  <c r="E107" i="31" s="1"/>
  <c r="M93" i="31"/>
  <c r="M54" i="31"/>
  <c r="M55" i="31" s="1"/>
  <c r="M56" i="31" s="1"/>
  <c r="M57" i="31" s="1"/>
  <c r="M58" i="31" s="1"/>
  <c r="M59" i="31" s="1"/>
  <c r="M60" i="31" s="1"/>
  <c r="M61" i="31" s="1"/>
  <c r="M62" i="31" s="1"/>
  <c r="M63" i="31" s="1"/>
  <c r="M64" i="31" s="1"/>
  <c r="I65" i="22"/>
  <c r="I67" i="22" s="1"/>
  <c r="R41" i="2" s="1"/>
  <c r="C23" i="21"/>
  <c r="B22" i="20"/>
  <c r="G96" i="22"/>
  <c r="I95" i="22"/>
  <c r="M67" i="30" l="1"/>
  <c r="M53" i="30" s="1"/>
  <c r="M54" i="30" s="1"/>
  <c r="M55" i="30" s="1"/>
  <c r="M56" i="30" s="1"/>
  <c r="M57" i="30" s="1"/>
  <c r="M58" i="30" s="1"/>
  <c r="M59" i="30" s="1"/>
  <c r="M60" i="30" s="1"/>
  <c r="M61" i="30" s="1"/>
  <c r="M62" i="30" s="1"/>
  <c r="M63" i="30" s="1"/>
  <c r="M64" i="30" s="1"/>
  <c r="R42" i="2"/>
  <c r="M67" i="35"/>
  <c r="M53" i="35" s="1"/>
  <c r="R44" i="2"/>
  <c r="M54" i="36"/>
  <c r="M55" i="36" s="1"/>
  <c r="M56" i="36" s="1"/>
  <c r="M57" i="36" s="1"/>
  <c r="M58" i="36" s="1"/>
  <c r="M59" i="36" s="1"/>
  <c r="M60" i="36" s="1"/>
  <c r="M61" i="36" s="1"/>
  <c r="M62" i="36" s="1"/>
  <c r="M63" i="36" s="1"/>
  <c r="M64" i="36" s="1"/>
  <c r="M93" i="36"/>
  <c r="E105" i="36"/>
  <c r="E107" i="36" s="1"/>
  <c r="B22" i="33"/>
  <c r="C23" i="34"/>
  <c r="E105" i="35"/>
  <c r="E107" i="35" s="1"/>
  <c r="G95" i="35"/>
  <c r="I94" i="35"/>
  <c r="I94" i="36"/>
  <c r="G95" i="36"/>
  <c r="G96" i="30"/>
  <c r="I95" i="30"/>
  <c r="M94" i="31"/>
  <c r="M95" i="31" s="1"/>
  <c r="M96" i="31" s="1"/>
  <c r="M97" i="31" s="1"/>
  <c r="M98" i="31" s="1"/>
  <c r="M99" i="31" s="1"/>
  <c r="M100" i="31" s="1"/>
  <c r="M101" i="31" s="1"/>
  <c r="M102" i="31" s="1"/>
  <c r="M103" i="31" s="1"/>
  <c r="M104" i="31" s="1"/>
  <c r="B24" i="28"/>
  <c r="C25" i="29"/>
  <c r="E105" i="30"/>
  <c r="E107" i="30" s="1"/>
  <c r="M65" i="31"/>
  <c r="I94" i="30"/>
  <c r="I95" i="31"/>
  <c r="G96" i="31"/>
  <c r="C24" i="21"/>
  <c r="B23" i="20"/>
  <c r="M67" i="22"/>
  <c r="M54" i="22" s="1"/>
  <c r="G97" i="22"/>
  <c r="I96" i="22"/>
  <c r="M93" i="30" l="1"/>
  <c r="M94" i="30" s="1"/>
  <c r="M95" i="30" s="1"/>
  <c r="M96" i="30" s="1"/>
  <c r="M97" i="30" s="1"/>
  <c r="M98" i="30" s="1"/>
  <c r="M99" i="30" s="1"/>
  <c r="M100" i="30" s="1"/>
  <c r="M101" i="30" s="1"/>
  <c r="M102" i="30" s="1"/>
  <c r="M103" i="30" s="1"/>
  <c r="M104" i="30" s="1"/>
  <c r="M65" i="30"/>
  <c r="M93" i="35"/>
  <c r="M54" i="35"/>
  <c r="M55" i="35" s="1"/>
  <c r="M56" i="35" s="1"/>
  <c r="M57" i="35" s="1"/>
  <c r="M58" i="35" s="1"/>
  <c r="M59" i="35" s="1"/>
  <c r="M60" i="35" s="1"/>
  <c r="M61" i="35" s="1"/>
  <c r="M62" i="35" s="1"/>
  <c r="M63" i="35" s="1"/>
  <c r="M64" i="35" s="1"/>
  <c r="G96" i="36"/>
  <c r="I95" i="36"/>
  <c r="M65" i="36"/>
  <c r="C24" i="34"/>
  <c r="B23" i="33"/>
  <c r="G96" i="35"/>
  <c r="I95" i="35"/>
  <c r="M94" i="36"/>
  <c r="M95" i="36" s="1"/>
  <c r="M96" i="36" s="1"/>
  <c r="M97" i="36" s="1"/>
  <c r="M98" i="36" s="1"/>
  <c r="M99" i="36" s="1"/>
  <c r="M100" i="36" s="1"/>
  <c r="M101" i="36" s="1"/>
  <c r="M102" i="36" s="1"/>
  <c r="M103" i="36" s="1"/>
  <c r="M104" i="36" s="1"/>
  <c r="G97" i="31"/>
  <c r="I96" i="31"/>
  <c r="B25" i="28"/>
  <c r="C27" i="29" s="1"/>
  <c r="C26" i="29"/>
  <c r="G97" i="30"/>
  <c r="I96" i="30"/>
  <c r="M105" i="31"/>
  <c r="M107" i="31" s="1"/>
  <c r="M110" i="31" s="1"/>
  <c r="M53" i="22"/>
  <c r="M93" i="22" s="1"/>
  <c r="M58" i="22"/>
  <c r="M64" i="22"/>
  <c r="M63" i="22"/>
  <c r="M61" i="22"/>
  <c r="M62" i="22"/>
  <c r="C25" i="21"/>
  <c r="B24" i="20"/>
  <c r="G98" i="22"/>
  <c r="I97" i="22"/>
  <c r="M55" i="22"/>
  <c r="M56" i="22"/>
  <c r="M57" i="22"/>
  <c r="M60" i="22"/>
  <c r="M59" i="22"/>
  <c r="M105" i="30" l="1"/>
  <c r="M107" i="30" s="1"/>
  <c r="M110" i="30" s="1"/>
  <c r="T42" i="2" s="1"/>
  <c r="M65" i="22"/>
  <c r="M65" i="35"/>
  <c r="M94" i="35"/>
  <c r="B24" i="33"/>
  <c r="C25" i="34"/>
  <c r="I96" i="36"/>
  <c r="G97" i="36"/>
  <c r="G97" i="35"/>
  <c r="I96" i="35"/>
  <c r="M105" i="36"/>
  <c r="M107" i="36" s="1"/>
  <c r="M110" i="36" s="1"/>
  <c r="I97" i="31"/>
  <c r="G98" i="31"/>
  <c r="G98" i="30"/>
  <c r="I97" i="30"/>
  <c r="I98" i="22"/>
  <c r="G99" i="22"/>
  <c r="C26" i="21"/>
  <c r="B25" i="20"/>
  <c r="C27" i="21" s="1"/>
  <c r="M94" i="22"/>
  <c r="M95" i="22" s="1"/>
  <c r="M96" i="22" s="1"/>
  <c r="M97" i="22" s="1"/>
  <c r="M98" i="22" s="1"/>
  <c r="M99" i="22" s="1"/>
  <c r="M100" i="22" s="1"/>
  <c r="M101" i="22" s="1"/>
  <c r="M102" i="22" s="1"/>
  <c r="M103" i="22" s="1"/>
  <c r="M104" i="22" s="1"/>
  <c r="M95" i="35" l="1"/>
  <c r="M96" i="35" s="1"/>
  <c r="M97" i="35" s="1"/>
  <c r="M98" i="35" s="1"/>
  <c r="M99" i="35" s="1"/>
  <c r="M100" i="35" s="1"/>
  <c r="M101" i="35" s="1"/>
  <c r="M102" i="35" s="1"/>
  <c r="M103" i="35" s="1"/>
  <c r="M104" i="35" s="1"/>
  <c r="G98" i="36"/>
  <c r="I97" i="36"/>
  <c r="G98" i="35"/>
  <c r="I97" i="35"/>
  <c r="C26" i="34"/>
  <c r="B25" i="33"/>
  <c r="C27" i="34" s="1"/>
  <c r="G99" i="30"/>
  <c r="I98" i="30"/>
  <c r="G99" i="31"/>
  <c r="I98" i="31"/>
  <c r="M105" i="22"/>
  <c r="M107" i="22" s="1"/>
  <c r="M110" i="22" s="1"/>
  <c r="T41" i="2" s="1"/>
  <c r="G100" i="22"/>
  <c r="I99" i="22"/>
  <c r="M105" i="35" l="1"/>
  <c r="M107" i="35" s="1"/>
  <c r="M110" i="35" s="1"/>
  <c r="T44" i="2" s="1"/>
  <c r="G99" i="35"/>
  <c r="I98" i="35"/>
  <c r="I98" i="36"/>
  <c r="G99" i="36"/>
  <c r="I99" i="31"/>
  <c r="G100" i="31"/>
  <c r="I99" i="30"/>
  <c r="G100" i="30"/>
  <c r="G101" i="22"/>
  <c r="I100" i="22"/>
  <c r="G100" i="35" l="1"/>
  <c r="I99" i="35"/>
  <c r="G100" i="36"/>
  <c r="I99" i="36"/>
  <c r="I100" i="31"/>
  <c r="G101" i="31"/>
  <c r="G101" i="30"/>
  <c r="I100" i="30"/>
  <c r="G102" i="22"/>
  <c r="I101" i="22"/>
  <c r="I100" i="36" l="1"/>
  <c r="G101" i="36"/>
  <c r="G101" i="35"/>
  <c r="I100" i="35"/>
  <c r="I101" i="31"/>
  <c r="G102" i="31"/>
  <c r="G102" i="30"/>
  <c r="I101" i="30"/>
  <c r="I102" i="22"/>
  <c r="G103" i="22"/>
  <c r="G102" i="36" l="1"/>
  <c r="I101" i="36"/>
  <c r="G102" i="35"/>
  <c r="I101" i="35"/>
  <c r="G103" i="30"/>
  <c r="I102" i="30"/>
  <c r="I102" i="31"/>
  <c r="G103" i="31"/>
  <c r="G104" i="22"/>
  <c r="I103" i="22"/>
  <c r="G103" i="35" l="1"/>
  <c r="I102" i="35"/>
  <c r="I102" i="36"/>
  <c r="G103" i="36"/>
  <c r="I103" i="31"/>
  <c r="G104" i="31"/>
  <c r="I103" i="30"/>
  <c r="G104" i="30"/>
  <c r="I104" i="22"/>
  <c r="I105" i="22" s="1"/>
  <c r="I107" i="22" s="1"/>
  <c r="I110" i="22" s="1"/>
  <c r="L41" i="2" s="1"/>
  <c r="P41" i="2" s="1"/>
  <c r="G105" i="22"/>
  <c r="G107" i="22" s="1"/>
  <c r="G104" i="36" l="1"/>
  <c r="I103" i="36"/>
  <c r="I103" i="35"/>
  <c r="G104" i="35"/>
  <c r="I104" i="30"/>
  <c r="I105" i="30" s="1"/>
  <c r="I107" i="30" s="1"/>
  <c r="I110" i="30" s="1"/>
  <c r="G105" i="30"/>
  <c r="G107" i="30" s="1"/>
  <c r="I104" i="31"/>
  <c r="I105" i="31" s="1"/>
  <c r="I107" i="31" s="1"/>
  <c r="I110" i="31" s="1"/>
  <c r="G105" i="31"/>
  <c r="G107" i="31" s="1"/>
  <c r="L42" i="2" l="1"/>
  <c r="P42" i="2" s="1"/>
  <c r="I104" i="35"/>
  <c r="I105" i="35" s="1"/>
  <c r="I107" i="35" s="1"/>
  <c r="I110" i="35" s="1"/>
  <c r="G105" i="35"/>
  <c r="G107" i="35" s="1"/>
  <c r="I104" i="36"/>
  <c r="I105" i="36" s="1"/>
  <c r="I107" i="36" s="1"/>
  <c r="I110" i="36" s="1"/>
  <c r="G105" i="36"/>
  <c r="G107" i="36" s="1"/>
  <c r="A5" i="12"/>
  <c r="A5" i="7"/>
  <c r="L44" i="2" l="1"/>
  <c r="A5" i="3"/>
  <c r="M73" i="14" l="1"/>
  <c r="K73" i="14"/>
  <c r="M73" i="9"/>
  <c r="K73" i="9"/>
  <c r="M73" i="5"/>
  <c r="K73" i="5"/>
  <c r="A6" i="15" l="1"/>
  <c r="A75" i="15" s="1"/>
  <c r="A5" i="15"/>
  <c r="A74" i="15" s="1"/>
  <c r="A93" i="14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I92" i="14"/>
  <c r="A54" i="14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17" i="14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16" i="14"/>
  <c r="E11" i="14"/>
  <c r="E88" i="14" s="1"/>
  <c r="A8" i="14"/>
  <c r="A6" i="14"/>
  <c r="A83" i="14" s="1"/>
  <c r="A5" i="14"/>
  <c r="A82" i="14" s="1"/>
  <c r="E22" i="13"/>
  <c r="E22" i="14" s="1"/>
  <c r="E21" i="13"/>
  <c r="E21" i="14" s="1"/>
  <c r="E20" i="13"/>
  <c r="E20" i="14" s="1"/>
  <c r="E19" i="13"/>
  <c r="E19" i="14" s="1"/>
  <c r="E18" i="13"/>
  <c r="E18" i="14" s="1"/>
  <c r="E17" i="13"/>
  <c r="E17" i="14" s="1"/>
  <c r="G16" i="13"/>
  <c r="G26" i="13" s="1"/>
  <c r="E16" i="13"/>
  <c r="C16" i="13"/>
  <c r="C16" i="14" s="1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G15" i="13"/>
  <c r="E15" i="13"/>
  <c r="E15" i="14" s="1"/>
  <c r="C15" i="13"/>
  <c r="C15" i="14" s="1"/>
  <c r="C92" i="14" s="1"/>
  <c r="A6" i="13"/>
  <c r="A5" i="13"/>
  <c r="E23" i="13"/>
  <c r="E23" i="14" s="1"/>
  <c r="B15" i="12"/>
  <c r="B16" i="12" s="1"/>
  <c r="E73" i="14"/>
  <c r="G19" i="13" l="1"/>
  <c r="G19" i="14" s="1"/>
  <c r="G25" i="13"/>
  <c r="G25" i="14" s="1"/>
  <c r="G17" i="13"/>
  <c r="I17" i="13" s="1"/>
  <c r="G21" i="13"/>
  <c r="I21" i="13" s="1"/>
  <c r="G23" i="13"/>
  <c r="G23" i="14" s="1"/>
  <c r="G27" i="13"/>
  <c r="G27" i="14" s="1"/>
  <c r="C18" i="13"/>
  <c r="B17" i="12"/>
  <c r="G15" i="14"/>
  <c r="I15" i="14" s="1"/>
  <c r="I15" i="13"/>
  <c r="C93" i="14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53" i="14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17" i="14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G26" i="14"/>
  <c r="C17" i="13"/>
  <c r="I19" i="13"/>
  <c r="E116" i="14"/>
  <c r="G73" i="14"/>
  <c r="G116" i="14" s="1"/>
  <c r="E16" i="14"/>
  <c r="I16" i="13"/>
  <c r="I23" i="14"/>
  <c r="G16" i="14"/>
  <c r="K67" i="14" s="1"/>
  <c r="E49" i="14"/>
  <c r="C73" i="14" s="1"/>
  <c r="C116" i="14" s="1"/>
  <c r="G18" i="13"/>
  <c r="G20" i="13"/>
  <c r="G22" i="13"/>
  <c r="I23" i="13"/>
  <c r="G24" i="13"/>
  <c r="A43" i="14"/>
  <c r="A44" i="14"/>
  <c r="G21" i="14" l="1"/>
  <c r="G17" i="14"/>
  <c r="G55" i="14" s="1"/>
  <c r="E55" i="14"/>
  <c r="E57" i="14"/>
  <c r="E53" i="14"/>
  <c r="G61" i="14"/>
  <c r="E59" i="14"/>
  <c r="E58" i="14"/>
  <c r="G63" i="14"/>
  <c r="G20" i="14"/>
  <c r="I20" i="13"/>
  <c r="E54" i="14"/>
  <c r="E24" i="13"/>
  <c r="I24" i="13" s="1"/>
  <c r="G57" i="14"/>
  <c r="I19" i="14"/>
  <c r="G28" i="13"/>
  <c r="G30" i="13" s="1"/>
  <c r="I17" i="14"/>
  <c r="B18" i="12"/>
  <c r="C19" i="13"/>
  <c r="G24" i="14"/>
  <c r="G22" i="14"/>
  <c r="I22" i="13"/>
  <c r="G18" i="14"/>
  <c r="I18" i="13"/>
  <c r="G53" i="14"/>
  <c r="I16" i="14"/>
  <c r="G54" i="14"/>
  <c r="E93" i="14"/>
  <c r="E60" i="14"/>
  <c r="G59" i="14"/>
  <c r="I21" i="14"/>
  <c r="E56" i="14"/>
  <c r="G64" i="14"/>
  <c r="E61" i="14"/>
  <c r="I55" i="14" l="1"/>
  <c r="I59" i="14"/>
  <c r="I57" i="14"/>
  <c r="I61" i="14"/>
  <c r="I54" i="14"/>
  <c r="E94" i="14"/>
  <c r="E95" i="14" s="1"/>
  <c r="E96" i="14" s="1"/>
  <c r="E97" i="14" s="1"/>
  <c r="E98" i="14" s="1"/>
  <c r="E99" i="14" s="1"/>
  <c r="E100" i="14" s="1"/>
  <c r="E101" i="14" s="1"/>
  <c r="G93" i="14"/>
  <c r="I53" i="14"/>
  <c r="I18" i="14"/>
  <c r="G56" i="14"/>
  <c r="I56" i="14" s="1"/>
  <c r="G60" i="14"/>
  <c r="I60" i="14" s="1"/>
  <c r="I22" i="14"/>
  <c r="G62" i="14"/>
  <c r="C20" i="13"/>
  <c r="B19" i="12"/>
  <c r="E25" i="13"/>
  <c r="G28" i="14"/>
  <c r="G30" i="14" s="1"/>
  <c r="E24" i="14"/>
  <c r="I24" i="14" s="1"/>
  <c r="I20" i="14"/>
  <c r="G58" i="14"/>
  <c r="I58" i="14" s="1"/>
  <c r="E25" i="14" l="1"/>
  <c r="I25" i="13"/>
  <c r="G65" i="14"/>
  <c r="E62" i="14"/>
  <c r="E102" i="14" s="1"/>
  <c r="E26" i="13"/>
  <c r="E27" i="13"/>
  <c r="B20" i="12"/>
  <c r="C21" i="13"/>
  <c r="G94" i="14"/>
  <c r="I93" i="14"/>
  <c r="I62" i="14" l="1"/>
  <c r="G95" i="14"/>
  <c r="I94" i="14"/>
  <c r="C22" i="13"/>
  <c r="B21" i="12"/>
  <c r="E27" i="14"/>
  <c r="I27" i="14" s="1"/>
  <c r="I27" i="13"/>
  <c r="E63" i="14"/>
  <c r="I63" i="14" s="1"/>
  <c r="I25" i="14"/>
  <c r="E26" i="14"/>
  <c r="I26" i="13"/>
  <c r="E28" i="13"/>
  <c r="E30" i="13" s="1"/>
  <c r="I28" i="13" l="1"/>
  <c r="I30" i="13" s="1"/>
  <c r="I33" i="13" s="1"/>
  <c r="E64" i="14"/>
  <c r="I26" i="14"/>
  <c r="I28" i="14" s="1"/>
  <c r="I30" i="14" s="1"/>
  <c r="I33" i="14" s="1"/>
  <c r="L16" i="2" s="1"/>
  <c r="E28" i="14"/>
  <c r="E30" i="14" s="1"/>
  <c r="B22" i="12"/>
  <c r="C23" i="13"/>
  <c r="G96" i="14"/>
  <c r="I95" i="14"/>
  <c r="E103" i="14"/>
  <c r="E104" i="14" l="1"/>
  <c r="E105" i="14" s="1"/>
  <c r="E107" i="14" s="1"/>
  <c r="G97" i="14"/>
  <c r="I96" i="14"/>
  <c r="C24" i="13"/>
  <c r="B23" i="12"/>
  <c r="I64" i="14"/>
  <c r="E65" i="14"/>
  <c r="I65" i="14" l="1"/>
  <c r="I67" i="14" s="1"/>
  <c r="B24" i="12"/>
  <c r="C25" i="13"/>
  <c r="G98" i="14"/>
  <c r="I97" i="14"/>
  <c r="R43" i="2" l="1"/>
  <c r="M67" i="14"/>
  <c r="M64" i="14" s="1"/>
  <c r="G99" i="14"/>
  <c r="I98" i="14"/>
  <c r="C26" i="13"/>
  <c r="B25" i="12"/>
  <c r="M55" i="14" l="1"/>
  <c r="M61" i="14"/>
  <c r="M63" i="14"/>
  <c r="M54" i="14"/>
  <c r="M53" i="14"/>
  <c r="M93" i="14" s="1"/>
  <c r="M56" i="14"/>
  <c r="M60" i="14"/>
  <c r="M62" i="14"/>
  <c r="M57" i="14"/>
  <c r="M58" i="14"/>
  <c r="M59" i="14"/>
  <c r="C27" i="13"/>
  <c r="G100" i="14"/>
  <c r="I99" i="14"/>
  <c r="M65" i="14" l="1"/>
  <c r="M94" i="14"/>
  <c r="M95" i="14" s="1"/>
  <c r="M96" i="14" s="1"/>
  <c r="M97" i="14" s="1"/>
  <c r="M98" i="14" s="1"/>
  <c r="M99" i="14" s="1"/>
  <c r="M100" i="14" s="1"/>
  <c r="M101" i="14" s="1"/>
  <c r="M102" i="14" s="1"/>
  <c r="M103" i="14" s="1"/>
  <c r="M104" i="14" s="1"/>
  <c r="G101" i="14"/>
  <c r="I100" i="14"/>
  <c r="M105" i="14" l="1"/>
  <c r="M107" i="14" s="1"/>
  <c r="M110" i="14" s="1"/>
  <c r="T43" i="2" s="1"/>
  <c r="G102" i="14"/>
  <c r="I101" i="14"/>
  <c r="G103" i="14" l="1"/>
  <c r="I102" i="14"/>
  <c r="G104" i="14" l="1"/>
  <c r="I103" i="14"/>
  <c r="I104" i="14" l="1"/>
  <c r="I105" i="14" s="1"/>
  <c r="I107" i="14" s="1"/>
  <c r="I110" i="14" s="1"/>
  <c r="L43" i="2" s="1"/>
  <c r="G105" i="14"/>
  <c r="G107" i="14" s="1"/>
  <c r="D40" i="2" l="1"/>
  <c r="B40" i="2"/>
  <c r="A6" i="11"/>
  <c r="A5" i="11"/>
  <c r="A94" i="9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93" i="9"/>
  <c r="I92" i="9"/>
  <c r="A54" i="9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16" i="9"/>
  <c r="E11" i="9"/>
  <c r="A8" i="9"/>
  <c r="A6" i="9"/>
  <c r="A5" i="9"/>
  <c r="E26" i="8"/>
  <c r="E25" i="8"/>
  <c r="E24" i="8"/>
  <c r="E23" i="8"/>
  <c r="E22" i="8"/>
  <c r="E21" i="8"/>
  <c r="E20" i="8"/>
  <c r="E19" i="8"/>
  <c r="E18" i="8"/>
  <c r="E17" i="8"/>
  <c r="G16" i="8"/>
  <c r="E16" i="8"/>
  <c r="C16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G15" i="8"/>
  <c r="E15" i="8"/>
  <c r="C15" i="8"/>
  <c r="A6" i="8"/>
  <c r="A5" i="8"/>
  <c r="E27" i="8"/>
  <c r="B15" i="7"/>
  <c r="E73" i="9"/>
  <c r="B16" i="7" l="1"/>
  <c r="C17" i="8"/>
  <c r="G19" i="8"/>
  <c r="I19" i="8" s="1"/>
  <c r="G23" i="8"/>
  <c r="C16" i="9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G17" i="8"/>
  <c r="G21" i="8"/>
  <c r="G21" i="9" s="1"/>
  <c r="G25" i="8"/>
  <c r="I25" i="8" s="1"/>
  <c r="G27" i="8"/>
  <c r="I27" i="8" s="1"/>
  <c r="E27" i="9"/>
  <c r="E28" i="8"/>
  <c r="E30" i="8" s="1"/>
  <c r="G15" i="9"/>
  <c r="I16" i="8"/>
  <c r="E18" i="9"/>
  <c r="E20" i="9"/>
  <c r="E26" i="9"/>
  <c r="A82" i="9"/>
  <c r="A43" i="9"/>
  <c r="A83" i="9"/>
  <c r="A44" i="9"/>
  <c r="E116" i="9"/>
  <c r="G73" i="9"/>
  <c r="G116" i="9" s="1"/>
  <c r="B17" i="7"/>
  <c r="I15" i="8"/>
  <c r="C18" i="8"/>
  <c r="G18" i="8"/>
  <c r="E19" i="9"/>
  <c r="G20" i="8"/>
  <c r="E21" i="9"/>
  <c r="G22" i="8"/>
  <c r="E23" i="9"/>
  <c r="G24" i="8"/>
  <c r="E25" i="9"/>
  <c r="G26" i="8"/>
  <c r="E15" i="9"/>
  <c r="G16" i="9"/>
  <c r="K67" i="9" s="1"/>
  <c r="E17" i="9"/>
  <c r="C15" i="9"/>
  <c r="C92" i="9" s="1"/>
  <c r="E16" i="9"/>
  <c r="E22" i="9"/>
  <c r="E24" i="9"/>
  <c r="G25" i="9"/>
  <c r="E49" i="9"/>
  <c r="C73" i="9" s="1"/>
  <c r="C116" i="9" s="1"/>
  <c r="E88" i="9"/>
  <c r="C53" i="9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A76" i="11"/>
  <c r="A77" i="11"/>
  <c r="E62" i="9" l="1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E53" i="9"/>
  <c r="E93" i="9" s="1"/>
  <c r="G17" i="9"/>
  <c r="G55" i="9" s="1"/>
  <c r="E60" i="9"/>
  <c r="E55" i="9"/>
  <c r="E63" i="9"/>
  <c r="E57" i="9"/>
  <c r="E61" i="9"/>
  <c r="E59" i="9"/>
  <c r="I17" i="8"/>
  <c r="G23" i="9"/>
  <c r="G61" i="9" s="1"/>
  <c r="G19" i="9"/>
  <c r="I19" i="9" s="1"/>
  <c r="I23" i="8"/>
  <c r="G27" i="9"/>
  <c r="I27" i="9" s="1"/>
  <c r="I21" i="8"/>
  <c r="E64" i="9"/>
  <c r="E58" i="9"/>
  <c r="E56" i="9"/>
  <c r="I25" i="9"/>
  <c r="G63" i="9"/>
  <c r="I63" i="9" s="1"/>
  <c r="E28" i="9"/>
  <c r="E30" i="9" s="1"/>
  <c r="E54" i="9"/>
  <c r="G24" i="9"/>
  <c r="I24" i="8"/>
  <c r="G22" i="9"/>
  <c r="I22" i="8"/>
  <c r="G20" i="9"/>
  <c r="I20" i="8"/>
  <c r="B18" i="7"/>
  <c r="C19" i="8"/>
  <c r="G59" i="9"/>
  <c r="I21" i="9"/>
  <c r="I17" i="9"/>
  <c r="G54" i="9"/>
  <c r="G53" i="9"/>
  <c r="I16" i="9"/>
  <c r="G26" i="9"/>
  <c r="I26" i="8"/>
  <c r="G18" i="9"/>
  <c r="I18" i="8"/>
  <c r="G28" i="8"/>
  <c r="G30" i="8" s="1"/>
  <c r="I15" i="9"/>
  <c r="I23" i="9" l="1"/>
  <c r="I55" i="9"/>
  <c r="I54" i="9"/>
  <c r="I59" i="9"/>
  <c r="G57" i="9"/>
  <c r="I57" i="9" s="1"/>
  <c r="I61" i="9"/>
  <c r="E65" i="9"/>
  <c r="I28" i="8"/>
  <c r="I30" i="8" s="1"/>
  <c r="I33" i="8" s="1"/>
  <c r="G56" i="9"/>
  <c r="I56" i="9" s="1"/>
  <c r="I18" i="9"/>
  <c r="I53" i="9"/>
  <c r="G93" i="9"/>
  <c r="G58" i="9"/>
  <c r="I58" i="9" s="1"/>
  <c r="I20" i="9"/>
  <c r="G60" i="9"/>
  <c r="I60" i="9" s="1"/>
  <c r="I22" i="9"/>
  <c r="G62" i="9"/>
  <c r="I62" i="9" s="1"/>
  <c r="I24" i="9"/>
  <c r="E94" i="9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G64" i="9"/>
  <c r="I64" i="9" s="1"/>
  <c r="I26" i="9"/>
  <c r="G28" i="9"/>
  <c r="G30" i="9" s="1"/>
  <c r="C20" i="8"/>
  <c r="B19" i="7"/>
  <c r="E105" i="9" l="1"/>
  <c r="E107" i="9" s="1"/>
  <c r="I28" i="9"/>
  <c r="I30" i="9" s="1"/>
  <c r="I33" i="9" s="1"/>
  <c r="L13" i="2" s="1"/>
  <c r="G94" i="9"/>
  <c r="I93" i="9"/>
  <c r="G65" i="9"/>
  <c r="C21" i="8"/>
  <c r="B20" i="7"/>
  <c r="I65" i="9"/>
  <c r="I67" i="9" s="1"/>
  <c r="R40" i="2" s="1"/>
  <c r="M67" i="9" l="1"/>
  <c r="M62" i="9" s="1"/>
  <c r="C22" i="8"/>
  <c r="B21" i="7"/>
  <c r="G95" i="9"/>
  <c r="I94" i="9"/>
  <c r="M60" i="9" l="1"/>
  <c r="M53" i="9"/>
  <c r="M93" i="9" s="1"/>
  <c r="M61" i="9"/>
  <c r="M56" i="9"/>
  <c r="M64" i="9"/>
  <c r="M63" i="9"/>
  <c r="M55" i="9"/>
  <c r="M57" i="9"/>
  <c r="M58" i="9"/>
  <c r="M59" i="9"/>
  <c r="M54" i="9"/>
  <c r="B22" i="7"/>
  <c r="C23" i="8"/>
  <c r="G96" i="9"/>
  <c r="I95" i="9"/>
  <c r="M65" i="9" l="1"/>
  <c r="M94" i="9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G97" i="9"/>
  <c r="I96" i="9"/>
  <c r="C24" i="8"/>
  <c r="B23" i="7"/>
  <c r="M105" i="9" l="1"/>
  <c r="M107" i="9" s="1"/>
  <c r="M110" i="9" s="1"/>
  <c r="T40" i="2" s="1"/>
  <c r="C25" i="8"/>
  <c r="B24" i="7"/>
  <c r="G98" i="9"/>
  <c r="I97" i="9"/>
  <c r="G99" i="9" l="1"/>
  <c r="I98" i="9"/>
  <c r="C26" i="8"/>
  <c r="B25" i="7"/>
  <c r="C27" i="8" l="1"/>
  <c r="G100" i="9"/>
  <c r="I99" i="9"/>
  <c r="G101" i="9" l="1"/>
  <c r="I100" i="9"/>
  <c r="G102" i="9" l="1"/>
  <c r="I101" i="9"/>
  <c r="G103" i="9" l="1"/>
  <c r="I102" i="9"/>
  <c r="G104" i="9" l="1"/>
  <c r="I103" i="9"/>
  <c r="I104" i="9" l="1"/>
  <c r="I105" i="9" s="1"/>
  <c r="I107" i="9" s="1"/>
  <c r="I110" i="9" s="1"/>
  <c r="L40" i="2" s="1"/>
  <c r="G105" i="9"/>
  <c r="G107" i="9" s="1"/>
  <c r="D43" i="2" l="1"/>
  <c r="D44" i="2"/>
  <c r="B43" i="2"/>
  <c r="B44" i="2"/>
  <c r="A6" i="6"/>
  <c r="A72" i="6" s="1"/>
  <c r="A5" i="6"/>
  <c r="A71" i="6" s="1"/>
  <c r="A93" i="5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I92" i="5"/>
  <c r="A54" i="5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E11" i="5"/>
  <c r="E88" i="5" s="1"/>
  <c r="A8" i="5"/>
  <c r="A6" i="5"/>
  <c r="A83" i="5" s="1"/>
  <c r="A5" i="5"/>
  <c r="A82" i="5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G16" i="4"/>
  <c r="G27" i="4" s="1"/>
  <c r="C16" i="4"/>
  <c r="C16" i="5" s="1"/>
  <c r="A16" i="4"/>
  <c r="G15" i="4"/>
  <c r="G15" i="5" s="1"/>
  <c r="E15" i="4"/>
  <c r="E15" i="5" s="1"/>
  <c r="C15" i="4"/>
  <c r="C15" i="5" s="1"/>
  <c r="C92" i="5" s="1"/>
  <c r="A6" i="4"/>
  <c r="A5" i="4"/>
  <c r="B15" i="3"/>
  <c r="E16" i="4"/>
  <c r="E73" i="5"/>
  <c r="E16" i="5" l="1"/>
  <c r="G27" i="5"/>
  <c r="I15" i="4"/>
  <c r="C93" i="5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53" i="5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G20" i="4"/>
  <c r="G22" i="4"/>
  <c r="G24" i="4"/>
  <c r="G26" i="4"/>
  <c r="I15" i="5"/>
  <c r="I16" i="4"/>
  <c r="C17" i="4"/>
  <c r="G17" i="4"/>
  <c r="G19" i="4"/>
  <c r="G21" i="4"/>
  <c r="G23" i="4"/>
  <c r="G25" i="4"/>
  <c r="E116" i="5"/>
  <c r="G73" i="5"/>
  <c r="G116" i="5" s="1"/>
  <c r="B16" i="3"/>
  <c r="G16" i="5"/>
  <c r="K67" i="5" s="1"/>
  <c r="G18" i="4"/>
  <c r="A43" i="5"/>
  <c r="A44" i="5"/>
  <c r="E49" i="5"/>
  <c r="C73" i="5" s="1"/>
  <c r="C116" i="5" s="1"/>
  <c r="G28" i="4" l="1"/>
  <c r="G30" i="4" s="1"/>
  <c r="E53" i="5"/>
  <c r="E93" i="5" s="1"/>
  <c r="C18" i="4"/>
  <c r="B17" i="3"/>
  <c r="G23" i="5"/>
  <c r="G19" i="5"/>
  <c r="G26" i="5"/>
  <c r="G22" i="5"/>
  <c r="G18" i="5"/>
  <c r="G54" i="5"/>
  <c r="G53" i="5"/>
  <c r="I16" i="5"/>
  <c r="G25" i="5"/>
  <c r="G21" i="5"/>
  <c r="G17" i="5"/>
  <c r="E17" i="4"/>
  <c r="G24" i="5"/>
  <c r="G20" i="5"/>
  <c r="E54" i="5"/>
  <c r="E94" i="5" l="1"/>
  <c r="E18" i="4"/>
  <c r="G55" i="5"/>
  <c r="G59" i="5"/>
  <c r="G63" i="5"/>
  <c r="G28" i="5"/>
  <c r="G30" i="5" s="1"/>
  <c r="I54" i="5"/>
  <c r="G56" i="5"/>
  <c r="G60" i="5"/>
  <c r="G64" i="5"/>
  <c r="G57" i="5"/>
  <c r="G61" i="5"/>
  <c r="G58" i="5"/>
  <c r="G62" i="5"/>
  <c r="E17" i="5"/>
  <c r="I17" i="4"/>
  <c r="G93" i="5"/>
  <c r="I53" i="5"/>
  <c r="C19" i="4"/>
  <c r="B18" i="3"/>
  <c r="G65" i="5" l="1"/>
  <c r="G94" i="5"/>
  <c r="I93" i="5"/>
  <c r="E55" i="5"/>
  <c r="I55" i="5" s="1"/>
  <c r="I17" i="5"/>
  <c r="E18" i="5"/>
  <c r="I18" i="4"/>
  <c r="B19" i="3"/>
  <c r="C20" i="4"/>
  <c r="E19" i="4"/>
  <c r="E95" i="5" l="1"/>
  <c r="E20" i="4"/>
  <c r="C21" i="4"/>
  <c r="B20" i="3"/>
  <c r="E56" i="5"/>
  <c r="I56" i="5" s="1"/>
  <c r="I18" i="5"/>
  <c r="E19" i="5"/>
  <c r="I19" i="4"/>
  <c r="G95" i="5"/>
  <c r="I94" i="5"/>
  <c r="E96" i="5" l="1"/>
  <c r="G96" i="5"/>
  <c r="I95" i="5"/>
  <c r="E21" i="4"/>
  <c r="E57" i="5"/>
  <c r="I57" i="5" s="1"/>
  <c r="I19" i="5"/>
  <c r="C22" i="4"/>
  <c r="B21" i="3"/>
  <c r="E20" i="5"/>
  <c r="I20" i="4"/>
  <c r="E58" i="5" l="1"/>
  <c r="I58" i="5" s="1"/>
  <c r="I20" i="5"/>
  <c r="E22" i="4"/>
  <c r="G97" i="5"/>
  <c r="I96" i="5"/>
  <c r="C23" i="4"/>
  <c r="B22" i="3"/>
  <c r="E21" i="5"/>
  <c r="I21" i="4"/>
  <c r="E97" i="5"/>
  <c r="E98" i="5" l="1"/>
  <c r="E59" i="5"/>
  <c r="I59" i="5" s="1"/>
  <c r="I21" i="5"/>
  <c r="E23" i="4"/>
  <c r="C24" i="4"/>
  <c r="B23" i="3"/>
  <c r="G98" i="5"/>
  <c r="I97" i="5"/>
  <c r="E22" i="5"/>
  <c r="I22" i="4"/>
  <c r="E60" i="5" l="1"/>
  <c r="I60" i="5" s="1"/>
  <c r="I22" i="5"/>
  <c r="C25" i="4"/>
  <c r="B24" i="3"/>
  <c r="G99" i="5"/>
  <c r="I98" i="5"/>
  <c r="E24" i="4"/>
  <c r="E23" i="5"/>
  <c r="I23" i="4"/>
  <c r="E99" i="5"/>
  <c r="E100" i="5" l="1"/>
  <c r="E25" i="4"/>
  <c r="E61" i="5"/>
  <c r="I61" i="5" s="1"/>
  <c r="I23" i="5"/>
  <c r="E24" i="5"/>
  <c r="I24" i="4"/>
  <c r="G100" i="5"/>
  <c r="I99" i="5"/>
  <c r="C26" i="4"/>
  <c r="B25" i="3"/>
  <c r="C27" i="4" l="1"/>
  <c r="G101" i="5"/>
  <c r="I100" i="5"/>
  <c r="E62" i="5"/>
  <c r="I62" i="5" s="1"/>
  <c r="I24" i="5"/>
  <c r="E26" i="4"/>
  <c r="E27" i="4"/>
  <c r="E25" i="5"/>
  <c r="I25" i="4"/>
  <c r="E101" i="5"/>
  <c r="E102" i="5" l="1"/>
  <c r="E63" i="5"/>
  <c r="I63" i="5" s="1"/>
  <c r="I25" i="5"/>
  <c r="E26" i="5"/>
  <c r="I26" i="4"/>
  <c r="E27" i="5"/>
  <c r="I27" i="4"/>
  <c r="I28" i="4" s="1"/>
  <c r="I30" i="4" s="1"/>
  <c r="I33" i="4" s="1"/>
  <c r="E28" i="4"/>
  <c r="E30" i="4" s="1"/>
  <c r="G102" i="5"/>
  <c r="I101" i="5"/>
  <c r="I27" i="5" l="1"/>
  <c r="E28" i="5"/>
  <c r="E30" i="5" s="1"/>
  <c r="E64" i="5"/>
  <c r="I26" i="5"/>
  <c r="G103" i="5"/>
  <c r="I102" i="5"/>
  <c r="E103" i="5"/>
  <c r="E104" i="5" l="1"/>
  <c r="E105" i="5" s="1"/>
  <c r="E107" i="5" s="1"/>
  <c r="G104" i="5"/>
  <c r="I103" i="5"/>
  <c r="I64" i="5"/>
  <c r="E65" i="5"/>
  <c r="I28" i="5"/>
  <c r="I30" i="5" s="1"/>
  <c r="I33" i="5" s="1"/>
  <c r="L12" i="2" s="1"/>
  <c r="I65" i="5" l="1"/>
  <c r="I67" i="5" s="1"/>
  <c r="I104" i="5"/>
  <c r="I105" i="5" s="1"/>
  <c r="I107" i="5" s="1"/>
  <c r="I110" i="5" s="1"/>
  <c r="L39" i="2" s="1"/>
  <c r="G105" i="5"/>
  <c r="G107" i="5" s="1"/>
  <c r="R39" i="2" l="1"/>
  <c r="R46" i="2" s="1"/>
  <c r="M67" i="5"/>
  <c r="M54" i="5" s="1"/>
  <c r="P13" i="2"/>
  <c r="P16" i="2"/>
  <c r="P17" i="2"/>
  <c r="P44" i="2"/>
  <c r="P40" i="2"/>
  <c r="P43" i="2"/>
  <c r="N46" i="2"/>
  <c r="L46" i="2"/>
  <c r="J46" i="2"/>
  <c r="H46" i="2"/>
  <c r="F46" i="2"/>
  <c r="N19" i="2"/>
  <c r="L19" i="2"/>
  <c r="J19" i="2"/>
  <c r="H19" i="2"/>
  <c r="F19" i="2"/>
  <c r="A13" i="2"/>
  <c r="A14" i="2" l="1"/>
  <c r="M62" i="5"/>
  <c r="M56" i="5"/>
  <c r="M60" i="5"/>
  <c r="M58" i="5"/>
  <c r="M64" i="5"/>
  <c r="M63" i="5"/>
  <c r="M61" i="5"/>
  <c r="M59" i="5"/>
  <c r="M57" i="5"/>
  <c r="M53" i="5"/>
  <c r="M93" i="5" s="1"/>
  <c r="M55" i="5"/>
  <c r="A32" i="2"/>
  <c r="A5" i="2"/>
  <c r="P12" i="2"/>
  <c r="P19" i="2" s="1"/>
  <c r="B39" i="2"/>
  <c r="D39" i="2"/>
  <c r="P39" i="2"/>
  <c r="P46" i="2" s="1"/>
  <c r="B46" i="2"/>
  <c r="D46" i="2"/>
  <c r="B47" i="2"/>
  <c r="D47" i="2"/>
  <c r="B48" i="2"/>
  <c r="D48" i="2"/>
  <c r="B49" i="2"/>
  <c r="B50" i="2"/>
  <c r="B51" i="2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5" i="1"/>
  <c r="F16" i="1"/>
  <c r="F17" i="1"/>
  <c r="F18" i="1"/>
  <c r="F19" i="1"/>
  <c r="F23" i="1"/>
  <c r="F24" i="1"/>
  <c r="F25" i="1"/>
  <c r="F26" i="1"/>
  <c r="F27" i="1"/>
  <c r="F34" i="1"/>
  <c r="A15" i="2" l="1"/>
  <c r="A16" i="2" s="1"/>
  <c r="A17" i="2" s="1"/>
  <c r="A39" i="2" s="1"/>
  <c r="A40" i="2" s="1"/>
  <c r="A41" i="2" s="1"/>
  <c r="A33" i="1"/>
  <c r="A34" i="1" s="1"/>
  <c r="A30" i="1"/>
  <c r="A31" i="1" s="1"/>
  <c r="A32" i="1" s="1"/>
  <c r="M65" i="5"/>
  <c r="M94" i="5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F28" i="1"/>
  <c r="F20" i="1"/>
  <c r="M105" i="5" l="1"/>
  <c r="M107" i="5" s="1"/>
  <c r="M110" i="5" s="1"/>
  <c r="T39" i="2" s="1"/>
  <c r="T46" i="2" s="1"/>
  <c r="F31" i="1" s="1"/>
</calcChain>
</file>

<file path=xl/sharedStrings.xml><?xml version="1.0" encoding="utf-8"?>
<sst xmlns="http://schemas.openxmlformats.org/spreadsheetml/2006/main" count="1295" uniqueCount="186">
  <si>
    <t>Pro-Forma Adjustment - Integrity Management</t>
  </si>
  <si>
    <t>Line</t>
  </si>
  <si>
    <t>Description</t>
  </si>
  <si>
    <t>Amount</t>
  </si>
  <si>
    <t>Reference</t>
  </si>
  <si>
    <t>(a)</t>
  </si>
  <si>
    <t>(b)</t>
  </si>
  <si>
    <t>(c)</t>
  </si>
  <si>
    <t>Pro Forma Adjustment:  Integrity Management</t>
  </si>
  <si>
    <t xml:space="preserve"> </t>
  </si>
  <si>
    <t>Pro Forma Adjustment - Rate Base:</t>
  </si>
  <si>
    <t>Plant in Service -</t>
  </si>
  <si>
    <t xml:space="preserve">  Intangible Plant</t>
  </si>
  <si>
    <t>Exhibit ASR 1.1, WP D, Page 2</t>
  </si>
  <si>
    <t xml:space="preserve">  Production Plant</t>
  </si>
  <si>
    <t xml:space="preserve">  Other Storage Plant</t>
  </si>
  <si>
    <t xml:space="preserve">  Distribution Plant</t>
  </si>
  <si>
    <t xml:space="preserve">  General Plant</t>
  </si>
  <si>
    <t>Pro Forma Adjustment - Plant in Service</t>
  </si>
  <si>
    <t xml:space="preserve"> To Exhibit ASR 1.1, Sch 5</t>
  </si>
  <si>
    <t>Accumulated Depreciation -</t>
  </si>
  <si>
    <t>Exhibit ASR 1.1, WP D, Page 3</t>
  </si>
  <si>
    <t>Pro Forma Adjustment - Acc Depreciation</t>
  </si>
  <si>
    <t>Deductions to Rate Base</t>
  </si>
  <si>
    <t xml:space="preserve">  Accum. Deferred Income Taxes</t>
  </si>
  <si>
    <t>Pro Forma Adjustment - Income Statement:</t>
  </si>
  <si>
    <t>Depreciation Expense</t>
  </si>
  <si>
    <t>Plant</t>
  </si>
  <si>
    <t>Intangible</t>
  </si>
  <si>
    <t>Production</t>
  </si>
  <si>
    <t>Other Storage</t>
  </si>
  <si>
    <t>Distribution</t>
  </si>
  <si>
    <t>General</t>
  </si>
  <si>
    <t>Project</t>
  </si>
  <si>
    <t>Year</t>
  </si>
  <si>
    <t>301-303</t>
  </si>
  <si>
    <t>325-347</t>
  </si>
  <si>
    <t>350-364</t>
  </si>
  <si>
    <t>374-387</t>
  </si>
  <si>
    <t>389-398</t>
  </si>
  <si>
    <t>Total</t>
  </si>
  <si>
    <t>(d)</t>
  </si>
  <si>
    <t>(e)</t>
  </si>
  <si>
    <t>(f)</t>
  </si>
  <si>
    <t>(g)</t>
  </si>
  <si>
    <t>(h)</t>
  </si>
  <si>
    <t>G9BDD: SFS: Canton Southeast Rebuild</t>
  </si>
  <si>
    <t>G9AYR: SFS: Philips Ave Reconstructio</t>
  </si>
  <si>
    <t>G9BCU: YAN: DRS 026 Rebuild</t>
  </si>
  <si>
    <t>G9BDE: SFS: West Sioux Rebuild Y1</t>
  </si>
  <si>
    <t>G9BDS: SD 2023 Reg Station Rebuilds</t>
  </si>
  <si>
    <t>G9BDF: SFS: West Sioux Rebuild Y2</t>
  </si>
  <si>
    <t>TOTAL</t>
  </si>
  <si>
    <t>Federal</t>
  </si>
  <si>
    <t>Accumulated</t>
  </si>
  <si>
    <t>Accumulated Depreciation</t>
  </si>
  <si>
    <t>Depreciation</t>
  </si>
  <si>
    <t>Deferred</t>
  </si>
  <si>
    <t>Expense</t>
  </si>
  <si>
    <t>Income Taxes</t>
  </si>
  <si>
    <t>(i)</t>
  </si>
  <si>
    <t>(j)</t>
  </si>
  <si>
    <t>Project:</t>
  </si>
  <si>
    <t>G9BDD</t>
  </si>
  <si>
    <t>SFS: Canton Southeast Rebuild</t>
  </si>
  <si>
    <t>Gas Utility %</t>
  </si>
  <si>
    <t>So Dak %</t>
  </si>
  <si>
    <t>Federal Tax</t>
  </si>
  <si>
    <t>Property Account Distribution</t>
  </si>
  <si>
    <t>Income</t>
  </si>
  <si>
    <t>Month / Year:</t>
  </si>
  <si>
    <t>Booked Amount</t>
  </si>
  <si>
    <t>Account</t>
  </si>
  <si>
    <t>Per Cent</t>
  </si>
  <si>
    <t>Rate</t>
  </si>
  <si>
    <t>Tax Rate</t>
  </si>
  <si>
    <t>2.376.00</t>
  </si>
  <si>
    <t>0.000.00</t>
  </si>
  <si>
    <t>In-Service Date:</t>
  </si>
  <si>
    <t>Project Amount:</t>
  </si>
  <si>
    <t>Sources:</t>
  </si>
  <si>
    <t>Column (b):</t>
  </si>
  <si>
    <t xml:space="preserve">     Line 15 - Exhibit ASR 1.1, WP D Page 9</t>
  </si>
  <si>
    <t xml:space="preserve">     Line 16 - Exhibit ASR 1.1, WP D Page 9</t>
  </si>
  <si>
    <t>Column (c): Exhibit ASR 1.1, WP D, Page 9</t>
  </si>
  <si>
    <t>Column (d): Exhibit ASR 1.1, WP D, Page 9</t>
  </si>
  <si>
    <t xml:space="preserve">Column (e): Exhibit ASR 1.1, WP D, Page 10 </t>
  </si>
  <si>
    <t>Column (f): MACRS half-year convention tax depreciation rate for year one recovery on Gas Distribution Property</t>
  </si>
  <si>
    <t>Column (g): Federal only income tax rate - no state rate since South Dakota has no state income taxes</t>
  </si>
  <si>
    <t>PLANT IN SERVICE</t>
  </si>
  <si>
    <t>LINE</t>
  </si>
  <si>
    <t>WORK ORDER TOTAL</t>
  </si>
  <si>
    <t>NO.</t>
  </si>
  <si>
    <t>MONTH / YEAR</t>
  </si>
  <si>
    <t>PER BOOKS</t>
  </si>
  <si>
    <t>ANNUALIZED</t>
  </si>
  <si>
    <t>DIFFERENCE</t>
  </si>
  <si>
    <t>12 MO AVERAGE</t>
  </si>
  <si>
    <t>TOTAL ADJMNT</t>
  </si>
  <si>
    <t>To Exhibit ASR 1.1, WP D</t>
  </si>
  <si>
    <t>Page 2, Line 1, Column (f)</t>
  </si>
  <si>
    <t>DEPRECIATION EXPENSE</t>
  </si>
  <si>
    <t>FEDERAL</t>
  </si>
  <si>
    <t>TAX</t>
  </si>
  <si>
    <t xml:space="preserve">DEFERRED </t>
  </si>
  <si>
    <t>DEPRECIATION</t>
  </si>
  <si>
    <t>INCOME TAXES</t>
  </si>
  <si>
    <t>Page 3, Line 7, Column (i)</t>
  </si>
  <si>
    <t>YEAR 1</t>
  </si>
  <si>
    <t>TAX RATE ON</t>
  </si>
  <si>
    <t>ANNUAL</t>
  </si>
  <si>
    <t>MONTHLY</t>
  </si>
  <si>
    <t>TAX RATE</t>
  </si>
  <si>
    <t>TAX VS BOOK</t>
  </si>
  <si>
    <t>DEPR -%-</t>
  </si>
  <si>
    <t xml:space="preserve">GAS DIST </t>
  </si>
  <si>
    <t>TIMING DIFFERENCE</t>
  </si>
  <si>
    <t>MACRS 20</t>
  </si>
  <si>
    <t>ACCUMULATED DEPRECIATION</t>
  </si>
  <si>
    <t xml:space="preserve">ACCUMULATED </t>
  </si>
  <si>
    <t>DEFERRED TAXES</t>
  </si>
  <si>
    <t>12 MO AVG</t>
  </si>
  <si>
    <t>Page 3, Line 7, Column (f)</t>
  </si>
  <si>
    <t>Page 3, Line 7, Column (j)</t>
  </si>
  <si>
    <t>G9AYR</t>
  </si>
  <si>
    <t>SFS: Philips Ave Reconstruction</t>
  </si>
  <si>
    <t xml:space="preserve">     Line 15 - Exhibit ASR 1.1, WP D Page 16</t>
  </si>
  <si>
    <t xml:space="preserve">     Line 16 - Exhibit ASR 1.1, WP D Page 16</t>
  </si>
  <si>
    <t>Column (c): Exhibit ASR 1.1, WP D, Page 16</t>
  </si>
  <si>
    <t>Column (d): Exhibit ASR 1.1, WP D, Page 16</t>
  </si>
  <si>
    <t>Column (e): Exhibit ASR 1.1, WP D, Page 17</t>
  </si>
  <si>
    <t>Page 2, Line 2, Column (f)</t>
  </si>
  <si>
    <t>Page 3, Line 8, Column (i)</t>
  </si>
  <si>
    <t>Page 3, Line 8, Column (f)</t>
  </si>
  <si>
    <t>Page 3, Line 8, Column (j)</t>
  </si>
  <si>
    <t>G9BCU</t>
  </si>
  <si>
    <t>YAN: DRS 026 Rebuild</t>
  </si>
  <si>
    <t>2.378.00</t>
  </si>
  <si>
    <t xml:space="preserve">     Line 15 - Exhibit ASR 1.1, WP D Page 23</t>
  </si>
  <si>
    <t xml:space="preserve">     Line 16 - Exhibit ASR 1.1, WP D Page 23</t>
  </si>
  <si>
    <t>Column (c): Exhibit ASR 1.1, WP D, Page 23</t>
  </si>
  <si>
    <t>Column (d): Exhibit ASR 1.1, WP D, Page 23</t>
  </si>
  <si>
    <t>Column (e): Exhibit ASR 1.1, WP D, Page 24</t>
  </si>
  <si>
    <t>Page 2, Line 3, Column (f)</t>
  </si>
  <si>
    <t>Page 3, Line 9, Column (i)</t>
  </si>
  <si>
    <t>Page 3, Line 9, Column (f)</t>
  </si>
  <si>
    <t>Page 3, Line 9, Column (j)</t>
  </si>
  <si>
    <t>G9BDE</t>
  </si>
  <si>
    <t>SFS: West Sioux Rebuild Y1</t>
  </si>
  <si>
    <t>2.380.00</t>
  </si>
  <si>
    <t xml:space="preserve">     Line 15 - Exhibit ASR 1.1, WP C Page 33</t>
  </si>
  <si>
    <t xml:space="preserve">     Line 16 - Exhibit ASR 1.1, WP C Page 33</t>
  </si>
  <si>
    <t>Column (c): Exhibit ASR 1.1, WP C, Page 33</t>
  </si>
  <si>
    <t>Column (d): Exhibit ASR 1.1, WP C, Page 33</t>
  </si>
  <si>
    <t>Column (e): Exhibit ASR 1.1, WP C, Page 34</t>
  </si>
  <si>
    <t>To Exhibit ASR 1.1, WP C</t>
  </si>
  <si>
    <t>Page 2, Line 4, Column (f)</t>
  </si>
  <si>
    <t>Page 3, Line 10, Column (i)</t>
  </si>
  <si>
    <t>Page 3, Line 10, Column (f)</t>
  </si>
  <si>
    <t>Page 3, Line 10, Column (j)</t>
  </si>
  <si>
    <t>G9BDS</t>
  </si>
  <si>
    <t>SD 2023 Reg Station Rebuilds</t>
  </si>
  <si>
    <t xml:space="preserve">     Line 15 - Exhibit ASR 1.1, WP D Page 40</t>
  </si>
  <si>
    <t xml:space="preserve">     Line 16 - Exhibit ASR 1.1, WP D Page 40</t>
  </si>
  <si>
    <t>Column (c): Exhibit ASR 1.1, WP D, Page 40</t>
  </si>
  <si>
    <t>Column (d): Exhibit ASR 1.1, WP D, Page 40</t>
  </si>
  <si>
    <t>Column (e): Exhibit ASR 1.1, WP D, Page 41</t>
  </si>
  <si>
    <t>Page 2, Line 5, Column (f)</t>
  </si>
  <si>
    <t>Page 3, Line 11, Column (i)</t>
  </si>
  <si>
    <t>Page 3, Line 11, Column (f)</t>
  </si>
  <si>
    <t>Page 3, Line 11, Column (j)</t>
  </si>
  <si>
    <t>G9BDF</t>
  </si>
  <si>
    <t>SFS: West Sioux Rebuild Y2</t>
  </si>
  <si>
    <t xml:space="preserve">     Line 15 - Exhibit ASR 1.1, WP C Page 50</t>
  </si>
  <si>
    <t xml:space="preserve">     Line 16 - Exhibit ASR 1.1, WP C Page 50</t>
  </si>
  <si>
    <t>Column (c): Exhibit ASR 1.1, WP C, Page 50</t>
  </si>
  <si>
    <t>Column (d): Exhibit ASR 1.1, WP C, Page 50</t>
  </si>
  <si>
    <t>Column (e): Exhibit ASR 1.1, WP C, Page 51</t>
  </si>
  <si>
    <t>Page 2, Line 6, Column (f)</t>
  </si>
  <si>
    <t>Page 3, Line 12, Column (i)</t>
  </si>
  <si>
    <t>Page 3, Line 12, Column (f)</t>
  </si>
  <si>
    <t>Page 3, Line 30, Column (j)</t>
  </si>
  <si>
    <t>Page 3, Line 12, Column (j)</t>
  </si>
  <si>
    <t>No.</t>
  </si>
  <si>
    <t xml:space="preserve"> To Exhibit BMG 1.1, WP BMG 8</t>
  </si>
  <si>
    <t>Pro-Forma Adjustment - System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</si>
</sst>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General_)"/>
    <numFmt numFmtId="168" formatCode="mmm\-yy_)"/>
    <numFmt numFmtId="169" formatCode="0.0%"/>
  </numFmts>
  <fonts count="11" x14ac:knownFonts="1">
    <font>
      <sz val="10"/>
      <color theme="1"/>
      <name val="Arial"/>
      <family val="2"/>
    </font>
    <font>
      <sz val="8"/>
      <name val="Helvetica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Century Schoolbook"/>
      <family val="1"/>
    </font>
    <font>
      <sz val="8"/>
      <name val="Helvetica"/>
      <family val="2"/>
    </font>
    <font>
      <sz val="10"/>
      <name val="Courier"/>
      <family val="3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0" fontId="3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0" fontId="7" fillId="0" borderId="0"/>
    <xf numFmtId="167" fontId="9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5" fillId="0" borderId="0" xfId="4" applyFont="1"/>
    <xf numFmtId="0" fontId="4" fillId="0" borderId="2" xfId="4" applyFont="1" applyBorder="1"/>
    <xf numFmtId="165" fontId="5" fillId="0" borderId="0" xfId="1" applyNumberFormat="1" applyFont="1" applyBorder="1"/>
    <xf numFmtId="0" fontId="4" fillId="0" borderId="0" xfId="4" applyFont="1"/>
    <xf numFmtId="10" fontId="5" fillId="0" borderId="0" xfId="3" applyNumberFormat="1" applyFont="1"/>
    <xf numFmtId="164" fontId="5" fillId="0" borderId="0" xfId="2" applyNumberFormat="1" applyFont="1"/>
    <xf numFmtId="165" fontId="5" fillId="0" borderId="0" xfId="1" applyNumberFormat="1" applyFont="1"/>
    <xf numFmtId="164" fontId="4" fillId="0" borderId="1" xfId="4" applyNumberFormat="1" applyFont="1" applyBorder="1"/>
    <xf numFmtId="164" fontId="4" fillId="0" borderId="1" xfId="2" applyNumberFormat="1" applyFont="1" applyBorder="1"/>
    <xf numFmtId="0" fontId="5" fillId="0" borderId="0" xfId="7" applyFont="1"/>
    <xf numFmtId="0" fontId="5" fillId="0" borderId="2" xfId="7" applyFont="1" applyBorder="1" applyAlignment="1">
      <alignment horizontal="centerContinuous"/>
    </xf>
    <xf numFmtId="0" fontId="4" fillId="0" borderId="0" xfId="7" applyFont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quotePrefix="1" applyFont="1" applyBorder="1" applyAlignment="1">
      <alignment horizontal="center"/>
    </xf>
    <xf numFmtId="0" fontId="5" fillId="0" borderId="0" xfId="7" quotePrefix="1" applyFont="1"/>
    <xf numFmtId="0" fontId="5" fillId="0" borderId="0" xfId="7" quotePrefix="1" applyFont="1" applyAlignment="1">
      <alignment horizontal="center"/>
    </xf>
    <xf numFmtId="44" fontId="5" fillId="0" borderId="0" xfId="2" applyFont="1"/>
    <xf numFmtId="41" fontId="5" fillId="0" borderId="0" xfId="7" applyNumberFormat="1" applyFont="1"/>
    <xf numFmtId="0" fontId="4" fillId="0" borderId="0" xfId="7" applyFont="1"/>
    <xf numFmtId="0" fontId="5" fillId="0" borderId="0" xfId="7" applyFont="1" applyAlignment="1">
      <alignment horizontal="center"/>
    </xf>
    <xf numFmtId="44" fontId="5" fillId="0" borderId="3" xfId="2" applyFont="1" applyBorder="1"/>
    <xf numFmtId="43" fontId="5" fillId="0" borderId="0" xfId="1" applyFont="1" applyBorder="1"/>
    <xf numFmtId="0" fontId="4" fillId="0" borderId="4" xfId="7" applyFont="1" applyBorder="1" applyAlignment="1">
      <alignment horizontal="center"/>
    </xf>
    <xf numFmtId="49" fontId="5" fillId="0" borderId="0" xfId="7" quotePrefix="1" applyNumberFormat="1" applyFont="1" applyAlignment="1">
      <alignment horizontal="center"/>
    </xf>
    <xf numFmtId="44" fontId="5" fillId="0" borderId="0" xfId="2" applyFont="1" applyBorder="1"/>
    <xf numFmtId="0" fontId="4" fillId="0" borderId="0" xfId="7" quotePrefix="1" applyFont="1"/>
    <xf numFmtId="43" fontId="5" fillId="0" borderId="0" xfId="7" applyNumberFormat="1" applyFont="1"/>
    <xf numFmtId="0" fontId="4" fillId="0" borderId="0" xfId="7" applyFont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0" xfId="4" applyFont="1" applyAlignment="1">
      <alignment horizontal="center"/>
    </xf>
    <xf numFmtId="0" fontId="4" fillId="0" borderId="0" xfId="7" quotePrefix="1" applyFont="1" applyAlignment="1">
      <alignment horizontal="center"/>
    </xf>
    <xf numFmtId="0" fontId="5" fillId="0" borderId="0" xfId="8" applyFont="1"/>
    <xf numFmtId="0" fontId="4" fillId="0" borderId="0" xfId="8" applyFont="1" applyAlignment="1">
      <alignment horizontal="right"/>
    </xf>
    <xf numFmtId="0" fontId="4" fillId="0" borderId="0" xfId="8" applyFont="1"/>
    <xf numFmtId="0" fontId="5" fillId="0" borderId="5" xfId="8" applyFont="1" applyBorder="1" applyAlignment="1">
      <alignment horizontal="centerContinuous"/>
    </xf>
    <xf numFmtId="0" fontId="5" fillId="0" borderId="0" xfId="8" applyFont="1" applyAlignment="1">
      <alignment horizontal="center"/>
    </xf>
    <xf numFmtId="0" fontId="5" fillId="0" borderId="5" xfId="8" applyFont="1" applyBorder="1" applyAlignment="1">
      <alignment horizontal="center"/>
    </xf>
    <xf numFmtId="0" fontId="5" fillId="2" borderId="0" xfId="8" applyFont="1" applyFill="1"/>
    <xf numFmtId="17" fontId="5" fillId="0" borderId="0" xfId="8" applyNumberFormat="1" applyFont="1"/>
    <xf numFmtId="17" fontId="5" fillId="0" borderId="0" xfId="8" applyNumberFormat="1" applyFont="1" applyAlignment="1">
      <alignment horizontal="right"/>
    </xf>
    <xf numFmtId="9" fontId="5" fillId="0" borderId="0" xfId="3" applyFont="1"/>
    <xf numFmtId="166" fontId="5" fillId="0" borderId="0" xfId="3" applyNumberFormat="1" applyFont="1"/>
    <xf numFmtId="43" fontId="5" fillId="0" borderId="0" xfId="8" applyNumberFormat="1" applyFont="1"/>
    <xf numFmtId="0" fontId="8" fillId="0" borderId="0" xfId="9" applyFont="1"/>
    <xf numFmtId="167" fontId="6" fillId="0" borderId="0" xfId="10" applyFont="1" applyAlignment="1">
      <alignment horizontal="centerContinuous"/>
    </xf>
    <xf numFmtId="167" fontId="10" fillId="0" borderId="0" xfId="10" applyFont="1" applyAlignment="1">
      <alignment horizontal="centerContinuous"/>
    </xf>
    <xf numFmtId="167" fontId="5" fillId="0" borderId="0" xfId="10" applyFont="1" applyAlignment="1">
      <alignment horizontal="centerContinuous"/>
    </xf>
    <xf numFmtId="167" fontId="5" fillId="0" borderId="0" xfId="10" applyFont="1"/>
    <xf numFmtId="167" fontId="4" fillId="0" borderId="0" xfId="10" applyFont="1" applyAlignment="1">
      <alignment horizontal="centerContinuous"/>
    </xf>
    <xf numFmtId="167" fontId="4" fillId="0" borderId="2" xfId="10" applyFont="1" applyBorder="1" applyAlignment="1">
      <alignment horizontal="centerContinuous"/>
    </xf>
    <xf numFmtId="167" fontId="5" fillId="0" borderId="2" xfId="10" applyFont="1" applyBorder="1" applyAlignment="1">
      <alignment horizontal="centerContinuous"/>
    </xf>
    <xf numFmtId="167" fontId="5" fillId="0" borderId="2" xfId="10" applyFont="1" applyBorder="1" applyAlignment="1">
      <alignment horizontal="center"/>
    </xf>
    <xf numFmtId="167" fontId="10" fillId="0" borderId="0" xfId="10" applyFont="1" applyAlignment="1">
      <alignment horizontal="center"/>
    </xf>
    <xf numFmtId="167" fontId="5" fillId="0" borderId="0" xfId="10" applyFont="1" applyAlignment="1">
      <alignment horizontal="center"/>
    </xf>
    <xf numFmtId="168" fontId="5" fillId="0" borderId="0" xfId="10" applyNumberFormat="1" applyFont="1"/>
    <xf numFmtId="44" fontId="5" fillId="0" borderId="0" xfId="2" applyFont="1" applyProtection="1"/>
    <xf numFmtId="39" fontId="5" fillId="0" borderId="0" xfId="10" applyNumberFormat="1" applyFont="1"/>
    <xf numFmtId="43" fontId="5" fillId="0" borderId="0" xfId="1" applyFont="1" applyProtection="1"/>
    <xf numFmtId="43" fontId="5" fillId="0" borderId="0" xfId="10" applyNumberFormat="1" applyFont="1"/>
    <xf numFmtId="43" fontId="5" fillId="0" borderId="5" xfId="1" applyFont="1" applyBorder="1" applyProtection="1"/>
    <xf numFmtId="43" fontId="5" fillId="0" borderId="5" xfId="10" applyNumberFormat="1" applyFont="1" applyBorder="1"/>
    <xf numFmtId="167" fontId="5" fillId="0" borderId="0" xfId="10" applyFont="1" applyAlignment="1">
      <alignment horizontal="right"/>
    </xf>
    <xf numFmtId="44" fontId="5" fillId="0" borderId="0" xfId="10" applyNumberFormat="1" applyFont="1"/>
    <xf numFmtId="7" fontId="5" fillId="0" borderId="0" xfId="10" applyNumberFormat="1" applyFont="1"/>
    <xf numFmtId="167" fontId="5" fillId="0" borderId="0" xfId="10" quotePrefix="1" applyFont="1" applyAlignment="1">
      <alignment horizontal="right"/>
    </xf>
    <xf numFmtId="44" fontId="5" fillId="0" borderId="7" xfId="10" applyNumberFormat="1" applyFont="1" applyBorder="1"/>
    <xf numFmtId="39" fontId="5" fillId="0" borderId="0" xfId="10" applyNumberFormat="1" applyFont="1" applyAlignment="1">
      <alignment horizontal="left"/>
    </xf>
    <xf numFmtId="43" fontId="5" fillId="0" borderId="0" xfId="11" applyNumberFormat="1" applyFont="1" applyProtection="1"/>
    <xf numFmtId="43" fontId="5" fillId="0" borderId="0" xfId="12" applyNumberFormat="1" applyFont="1" applyProtection="1"/>
    <xf numFmtId="43" fontId="5" fillId="0" borderId="5" xfId="12" applyNumberFormat="1" applyFont="1" applyBorder="1" applyProtection="1"/>
    <xf numFmtId="43" fontId="5" fillId="0" borderId="5" xfId="11" applyNumberFormat="1" applyFont="1" applyBorder="1" applyProtection="1"/>
    <xf numFmtId="40" fontId="5" fillId="0" borderId="0" xfId="11" applyFont="1" applyProtection="1"/>
    <xf numFmtId="39" fontId="5" fillId="0" borderId="0" xfId="10" applyNumberFormat="1" applyFont="1" applyAlignment="1">
      <alignment horizontal="center"/>
    </xf>
    <xf numFmtId="39" fontId="5" fillId="0" borderId="2" xfId="10" applyNumberFormat="1" applyFont="1" applyBorder="1" applyAlignment="1">
      <alignment horizontal="center"/>
    </xf>
    <xf numFmtId="167" fontId="5" fillId="0" borderId="0" xfId="10" applyFont="1" applyAlignment="1">
      <alignment horizontal="left"/>
    </xf>
    <xf numFmtId="10" fontId="5" fillId="0" borderId="0" xfId="10" applyNumberFormat="1" applyFont="1"/>
    <xf numFmtId="167" fontId="5" fillId="0" borderId="0" xfId="10" quotePrefix="1" applyFont="1" applyAlignment="1">
      <alignment horizontal="left"/>
    </xf>
    <xf numFmtId="44" fontId="5" fillId="0" borderId="7" xfId="12" applyNumberFormat="1" applyFont="1" applyBorder="1" applyProtection="1"/>
    <xf numFmtId="10" fontId="5" fillId="0" borderId="0" xfId="10" applyNumberFormat="1" applyFont="1" applyAlignment="1">
      <alignment horizontal="right"/>
    </xf>
    <xf numFmtId="0" fontId="5" fillId="0" borderId="0" xfId="13" applyFont="1"/>
    <xf numFmtId="17" fontId="5" fillId="0" borderId="0" xfId="13" applyNumberFormat="1" applyFont="1"/>
    <xf numFmtId="4" fontId="5" fillId="0" borderId="0" xfId="13" applyNumberFormat="1" applyFont="1"/>
    <xf numFmtId="0" fontId="5" fillId="0" borderId="0" xfId="0" applyFont="1"/>
    <xf numFmtId="165" fontId="5" fillId="0" borderId="0" xfId="1" applyNumberFormat="1" applyFont="1" applyProtection="1"/>
    <xf numFmtId="166" fontId="5" fillId="0" borderId="0" xfId="10" applyNumberFormat="1" applyFont="1"/>
    <xf numFmtId="169" fontId="5" fillId="0" borderId="0" xfId="10" applyNumberFormat="1" applyFont="1"/>
    <xf numFmtId="44" fontId="5" fillId="0" borderId="0" xfId="7" applyNumberFormat="1" applyFont="1"/>
    <xf numFmtId="43" fontId="5" fillId="0" borderId="0" xfId="1" applyFont="1"/>
    <xf numFmtId="0" fontId="4" fillId="0" borderId="0" xfId="7" applyFont="1" applyBorder="1" applyAlignment="1">
      <alignment horizontal="left"/>
    </xf>
    <xf numFmtId="0" fontId="4" fillId="0" borderId="2" xfId="7" applyFont="1" applyBorder="1" applyAlignment="1">
      <alignment horizontal="left"/>
    </xf>
    <xf numFmtId="0" fontId="5" fillId="0" borderId="5" xfId="8" applyFont="1" applyBorder="1"/>
    <xf numFmtId="167" fontId="5" fillId="0" borderId="2" xfId="10" applyFont="1" applyBorder="1" applyAlignment="1">
      <alignment horizontal="left"/>
    </xf>
    <xf numFmtId="0" fontId="5" fillId="0" borderId="0" xfId="8" applyFont="1" applyBorder="1"/>
    <xf numFmtId="0" fontId="4" fillId="0" borderId="2" xfId="4" applyFont="1" applyBorder="1" applyAlignment="1">
      <alignment horizontal="center"/>
    </xf>
    <xf numFmtId="0" fontId="4" fillId="0" borderId="0" xfId="10" applyNumberFormat="1" applyFont="1" applyAlignment="1">
      <alignment horizontal="center"/>
    </xf>
    <xf numFmtId="39" fontId="5" fillId="0" borderId="0" xfId="8" applyNumberFormat="1" applyFont="1" applyAlignment="1">
      <alignment horizontal="center"/>
    </xf>
    <xf numFmtId="0" fontId="4" fillId="0" borderId="0" xfId="8" quotePrefix="1" applyFont="1" applyAlignment="1">
      <alignment horizontal="right"/>
    </xf>
    <xf numFmtId="10" fontId="4" fillId="0" borderId="0" xfId="3" applyNumberFormat="1" applyFont="1"/>
    <xf numFmtId="39" fontId="5" fillId="0" borderId="5" xfId="8" applyNumberFormat="1" applyFont="1" applyBorder="1" applyAlignment="1">
      <alignment horizontal="right"/>
    </xf>
    <xf numFmtId="39" fontId="5" fillId="0" borderId="0" xfId="8" applyNumberFormat="1" applyFont="1" applyAlignment="1">
      <alignment horizontal="right"/>
    </xf>
    <xf numFmtId="169" fontId="5" fillId="0" borderId="0" xfId="3" applyNumberFormat="1" applyFont="1"/>
    <xf numFmtId="17" fontId="4" fillId="0" borderId="0" xfId="8" applyNumberFormat="1" applyFont="1"/>
    <xf numFmtId="164" fontId="4" fillId="0" borderId="0" xfId="2" applyNumberFormat="1" applyFont="1"/>
    <xf numFmtId="0" fontId="4" fillId="0" borderId="6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2" xfId="4" applyFont="1" applyBorder="1" applyAlignment="1"/>
    <xf numFmtId="0" fontId="6" fillId="0" borderId="0" xfId="4" applyFont="1" applyAlignment="1">
      <alignment horizontal="center"/>
    </xf>
    <xf numFmtId="0" fontId="6" fillId="0" borderId="0" xfId="7" applyFont="1" applyAlignment="1">
      <alignment horizontal="center"/>
    </xf>
    <xf numFmtId="0" fontId="4" fillId="0" borderId="0" xfId="8" applyFont="1" applyAlignment="1"/>
    <xf numFmtId="0" fontId="5" fillId="0" borderId="0" xfId="8" applyFont="1" applyAlignment="1"/>
    <xf numFmtId="0" fontId="6" fillId="0" borderId="0" xfId="8" applyFont="1" applyAlignment="1">
      <alignment horizontal="center"/>
    </xf>
    <xf numFmtId="167" fontId="6" fillId="0" borderId="0" xfId="10" applyFont="1" applyAlignment="1">
      <alignment horizontal="center"/>
    </xf>
    <xf numFmtId="167" fontId="4" fillId="0" borderId="0" xfId="10" applyFont="1" applyAlignment="1">
      <alignment horizontal="center"/>
    </xf>
    <xf numFmtId="0" fontId="4" fillId="0" borderId="0" xfId="10" applyNumberFormat="1" applyFont="1" applyAlignment="1">
      <alignment horizontal="center"/>
    </xf>
    <xf numFmtId="0" fontId="6" fillId="0" borderId="0" xfId="13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8" applyFont="1" applyAlignment="1">
      <alignment horizontal="left"/>
    </xf>
  </cellXfs>
  <cellStyles count="14">
    <cellStyle name="Comma" xfId="1" builtinId="3"/>
    <cellStyle name="Comma 2" xfId="5" xr:uid="{00000000-0005-0000-0000-000001000000}"/>
    <cellStyle name="Comma_CB3DustCollector" xfId="11" xr:uid="{00000000-0005-0000-0000-000002000000}"/>
    <cellStyle name="Currency" xfId="2" builtinId="4"/>
    <cellStyle name="Currency_CB3DustCollector" xfId="12" xr:uid="{00000000-0005-0000-0000-000004000000}"/>
    <cellStyle name="Normal" xfId="0" builtinId="0"/>
    <cellStyle name="Normal 2" xfId="6" xr:uid="{00000000-0005-0000-0000-000006000000}"/>
    <cellStyle name="Normal 3" xfId="13" xr:uid="{00000000-0005-0000-0000-000007000000}"/>
    <cellStyle name="Normal_CB3DustCollector" xfId="10" xr:uid="{00000000-0005-0000-0000-000008000000}"/>
    <cellStyle name="Normal_GasProjSum_SD" xfId="7" xr:uid="{00000000-0005-0000-0000-000009000000}"/>
    <cellStyle name="Normal_Project 11045 - Work Management System - Workpaper B" xfId="9" xr:uid="{00000000-0005-0000-0000-00000A000000}"/>
    <cellStyle name="Normal_Project 11094" xfId="8" xr:uid="{00000000-0005-0000-0000-00000B000000}"/>
    <cellStyle name="Normal_Workpaper F" xfId="4" xr:uid="{00000000-0005-0000-0000-00000D000000}"/>
    <cellStyle name="Percent" xfId="3" builtinId="5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7</xdr:row>
      <xdr:rowOff>6348</xdr:rowOff>
    </xdr:from>
    <xdr:to>
      <xdr:col>12</xdr:col>
      <xdr:colOff>437570</xdr:colOff>
      <xdr:row>65</xdr:row>
      <xdr:rowOff>31749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A5AE3-33BB-46E8-8981-D54242D2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006473"/>
          <a:ext cx="6425620" cy="831215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75</xdr:row>
      <xdr:rowOff>15875</xdr:rowOff>
    </xdr:from>
    <xdr:to>
      <xdr:col>13</xdr:col>
      <xdr:colOff>449563</xdr:colOff>
      <xdr:row>91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A8231E-9D78-4B0C-ACCA-8262E13B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10302875"/>
          <a:ext cx="7212313" cy="2333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7</xdr:row>
      <xdr:rowOff>19050</xdr:rowOff>
    </xdr:from>
    <xdr:to>
      <xdr:col>11</xdr:col>
      <xdr:colOff>602454</xdr:colOff>
      <xdr:row>68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6FFA65A-64AF-4BB2-93E2-0B21A43E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75" y="1133475"/>
          <a:ext cx="6777829" cy="87344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82</xdr:row>
      <xdr:rowOff>0</xdr:rowOff>
    </xdr:from>
    <xdr:to>
      <xdr:col>12</xdr:col>
      <xdr:colOff>443668</xdr:colOff>
      <xdr:row>99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49465D-1BB5-4A62-A1D5-ACAF196B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1944350"/>
          <a:ext cx="7625518" cy="2447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8</xdr:row>
      <xdr:rowOff>1</xdr:rowOff>
    </xdr:from>
    <xdr:to>
      <xdr:col>11</xdr:col>
      <xdr:colOff>460374</xdr:colOff>
      <xdr:row>69</xdr:row>
      <xdr:rowOff>21698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AD8DFA-8704-4870-B30A-4F97F2C9F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4" y="1143001"/>
          <a:ext cx="6746875" cy="873707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79</xdr:row>
      <xdr:rowOff>15875</xdr:rowOff>
    </xdr:from>
    <xdr:to>
      <xdr:col>12</xdr:col>
      <xdr:colOff>504824</xdr:colOff>
      <xdr:row>96</xdr:row>
      <xdr:rowOff>50494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1E09AD-1110-4A6D-A103-617D4C58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11531600"/>
          <a:ext cx="7667625" cy="2463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8</xdr:row>
      <xdr:rowOff>117476</xdr:rowOff>
    </xdr:from>
    <xdr:to>
      <xdr:col>13</xdr:col>
      <xdr:colOff>0</xdr:colOff>
      <xdr:row>70</xdr:row>
      <xdr:rowOff>33368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E86ED8-1295-4E11-907E-83D848A69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1260476"/>
          <a:ext cx="6762750" cy="877414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80</xdr:row>
      <xdr:rowOff>63500</xdr:rowOff>
    </xdr:from>
    <xdr:to>
      <xdr:col>13</xdr:col>
      <xdr:colOff>508000</xdr:colOff>
      <xdr:row>97</xdr:row>
      <xdr:rowOff>98119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3428E7-4DDE-4BB5-8FCD-FCBACBC48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0207625"/>
          <a:ext cx="7620000" cy="24634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60326</xdr:colOff>
      <xdr:row>7</xdr:row>
      <xdr:rowOff>95250</xdr:rowOff>
    </xdr:from>
    <xdr:to>
      <xdr:col>13</xdr:col>
      <xdr:colOff>31750</xdr:colOff>
      <xdr:row>68</xdr:row>
      <xdr:rowOff>61922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C7646D-8D3A-4219-AB4C-6E0712926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095375"/>
          <a:ext cx="6670674" cy="868204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78</xdr:row>
      <xdr:rowOff>31750</xdr:rowOff>
    </xdr:from>
    <xdr:to>
      <xdr:col>14</xdr:col>
      <xdr:colOff>0</xdr:colOff>
      <xdr:row>95</xdr:row>
      <xdr:rowOff>66369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4E2CD3-1927-493B-AC33-430EE0B0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1404600"/>
          <a:ext cx="7648575" cy="2463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107949</xdr:colOff>
      <xdr:row>7</xdr:row>
      <xdr:rowOff>25399</xdr:rowOff>
    </xdr:from>
    <xdr:to>
      <xdr:col>13</xdr:col>
      <xdr:colOff>53965</xdr:colOff>
      <xdr:row>69</xdr:row>
      <xdr:rowOff>15874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8D65BC-3E7A-44B3-B118-2EBBD6515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4" y="1025524"/>
          <a:ext cx="6819891" cy="884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81</xdr:row>
      <xdr:rowOff>0</xdr:rowOff>
    </xdr:from>
    <xdr:to>
      <xdr:col>13</xdr:col>
      <xdr:colOff>568325</xdr:colOff>
      <xdr:row>98</xdr:row>
      <xdr:rowOff>34619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13B705-0DE6-4C08-BD69-A18317C26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1572875"/>
          <a:ext cx="7600950" cy="24634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q12_2000\CB3DustColl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talWO"/>
      <sheetName val="Acct1"/>
      <sheetName val="Acct2"/>
      <sheetName val="Acct3"/>
      <sheetName val="Acct4"/>
      <sheetName val="Acct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A2" sqref="A2:H2"/>
    </sheetView>
  </sheetViews>
  <sheetFormatPr defaultColWidth="8" defaultRowHeight="11.25" x14ac:dyDescent="0.2"/>
  <cols>
    <col min="1" max="1" width="4.42578125" style="1" customWidth="1"/>
    <col min="2" max="2" width="0.85546875" style="1" customWidth="1"/>
    <col min="3" max="3" width="15.140625" style="1" customWidth="1"/>
    <col min="4" max="4" width="17.85546875" style="1" customWidth="1"/>
    <col min="5" max="5" width="0.85546875" style="1" customWidth="1"/>
    <col min="6" max="6" width="12.7109375" style="1" customWidth="1"/>
    <col min="7" max="7" width="0.85546875" style="1" customWidth="1"/>
    <col min="8" max="8" width="23.7109375" style="1" customWidth="1"/>
    <col min="9" max="16384" width="8" style="1"/>
  </cols>
  <sheetData>
    <row r="1" spans="1:8" x14ac:dyDescent="0.2">
      <c r="A1" s="107"/>
      <c r="B1" s="107"/>
      <c r="C1" s="107"/>
      <c r="D1" s="107"/>
      <c r="E1" s="107"/>
      <c r="F1" s="107"/>
      <c r="G1" s="107"/>
      <c r="H1" s="107"/>
    </row>
    <row r="2" spans="1:8" x14ac:dyDescent="0.2">
      <c r="A2" s="107"/>
      <c r="B2" s="107"/>
      <c r="C2" s="107"/>
      <c r="D2" s="107"/>
      <c r="E2" s="107"/>
      <c r="F2" s="107"/>
      <c r="G2" s="107"/>
      <c r="H2" s="107"/>
    </row>
    <row r="4" spans="1:8" x14ac:dyDescent="0.2">
      <c r="A4" s="107"/>
      <c r="B4" s="107"/>
      <c r="C4" s="107"/>
      <c r="D4" s="107"/>
      <c r="E4" s="107"/>
      <c r="F4" s="107"/>
      <c r="G4" s="107"/>
      <c r="H4" s="107"/>
    </row>
    <row r="5" spans="1:8" x14ac:dyDescent="0.2">
      <c r="A5" s="107" t="s">
        <v>0</v>
      </c>
      <c r="B5" s="107"/>
      <c r="C5" s="107"/>
      <c r="D5" s="107"/>
      <c r="E5" s="107"/>
      <c r="F5" s="107"/>
      <c r="G5" s="107"/>
      <c r="H5" s="107"/>
    </row>
    <row r="6" spans="1:8" x14ac:dyDescent="0.2">
      <c r="A6" s="4" t="s">
        <v>1</v>
      </c>
    </row>
    <row r="7" spans="1:8" ht="12" thickBot="1" x14ac:dyDescent="0.25">
      <c r="A7" s="2" t="s">
        <v>183</v>
      </c>
      <c r="C7" s="105" t="s">
        <v>2</v>
      </c>
      <c r="D7" s="106"/>
      <c r="F7" s="94" t="s">
        <v>3</v>
      </c>
      <c r="H7" s="94" t="s">
        <v>4</v>
      </c>
    </row>
    <row r="8" spans="1:8" x14ac:dyDescent="0.2">
      <c r="A8" s="4"/>
      <c r="C8" s="104" t="s">
        <v>5</v>
      </c>
      <c r="D8" s="104"/>
      <c r="F8" s="30" t="s">
        <v>6</v>
      </c>
      <c r="H8" s="30" t="s">
        <v>7</v>
      </c>
    </row>
    <row r="9" spans="1:8" x14ac:dyDescent="0.2">
      <c r="A9" s="4"/>
      <c r="C9" s="30"/>
      <c r="F9" s="30"/>
      <c r="H9" s="30"/>
    </row>
    <row r="10" spans="1:8" x14ac:dyDescent="0.2">
      <c r="A10" s="1">
        <v>1</v>
      </c>
      <c r="C10" s="1" t="s">
        <v>8</v>
      </c>
    </row>
    <row r="11" spans="1:8" x14ac:dyDescent="0.2">
      <c r="A11" s="1">
        <f t="shared" ref="A11:A34" si="0">A10+1</f>
        <v>2</v>
      </c>
      <c r="C11" s="1" t="s">
        <v>9</v>
      </c>
      <c r="F11" s="3" t="s">
        <v>9</v>
      </c>
      <c r="H11" s="1" t="s">
        <v>9</v>
      </c>
    </row>
    <row r="12" spans="1:8" x14ac:dyDescent="0.2">
      <c r="A12" s="1">
        <f t="shared" si="0"/>
        <v>3</v>
      </c>
      <c r="C12" s="4" t="s">
        <v>10</v>
      </c>
      <c r="H12" s="1" t="s">
        <v>9</v>
      </c>
    </row>
    <row r="13" spans="1:8" x14ac:dyDescent="0.2">
      <c r="A13" s="1">
        <f t="shared" si="0"/>
        <v>4</v>
      </c>
    </row>
    <row r="14" spans="1:8" x14ac:dyDescent="0.2">
      <c r="A14" s="1">
        <f t="shared" si="0"/>
        <v>5</v>
      </c>
      <c r="C14" s="4" t="s">
        <v>11</v>
      </c>
      <c r="D14" s="5" t="s">
        <v>9</v>
      </c>
    </row>
    <row r="15" spans="1:8" x14ac:dyDescent="0.2">
      <c r="A15" s="1">
        <f t="shared" si="0"/>
        <v>6</v>
      </c>
      <c r="C15" s="1" t="s">
        <v>12</v>
      </c>
      <c r="D15" s="5" t="s">
        <v>9</v>
      </c>
      <c r="F15" s="6">
        <f>'WP D, pg 2 &amp; 3'!F19</f>
        <v>0</v>
      </c>
      <c r="H15" s="1" t="s">
        <v>13</v>
      </c>
    </row>
    <row r="16" spans="1:8" x14ac:dyDescent="0.2">
      <c r="A16" s="1">
        <f t="shared" si="0"/>
        <v>7</v>
      </c>
      <c r="C16" s="1" t="s">
        <v>14</v>
      </c>
      <c r="F16" s="3">
        <f>SUM('WP D, pg 2 &amp; 3'!H19)</f>
        <v>0</v>
      </c>
      <c r="H16" s="1" t="s">
        <v>13</v>
      </c>
    </row>
    <row r="17" spans="1:8" x14ac:dyDescent="0.2">
      <c r="A17" s="1">
        <f t="shared" si="0"/>
        <v>8</v>
      </c>
      <c r="C17" s="1" t="s">
        <v>15</v>
      </c>
      <c r="F17" s="7">
        <f>SUM('WP D, pg 2 &amp; 3'!J19)</f>
        <v>0</v>
      </c>
      <c r="H17" s="1" t="s">
        <v>13</v>
      </c>
    </row>
    <row r="18" spans="1:8" x14ac:dyDescent="0.2">
      <c r="A18" s="1">
        <f t="shared" si="0"/>
        <v>9</v>
      </c>
      <c r="C18" s="1" t="s">
        <v>16</v>
      </c>
      <c r="F18" s="7">
        <f>SUM('WP D, pg 2 &amp; 3'!L19)</f>
        <v>2565045</v>
      </c>
      <c r="H18" s="1" t="s">
        <v>13</v>
      </c>
    </row>
    <row r="19" spans="1:8" ht="12" thickBot="1" x14ac:dyDescent="0.25">
      <c r="A19" s="1">
        <f t="shared" si="0"/>
        <v>10</v>
      </c>
      <c r="C19" s="1" t="s">
        <v>17</v>
      </c>
      <c r="F19" s="7">
        <f>SUM('WP D, pg 2 &amp; 3'!N19)</f>
        <v>0</v>
      </c>
      <c r="H19" s="1" t="s">
        <v>13</v>
      </c>
    </row>
    <row r="20" spans="1:8" ht="12" thickBot="1" x14ac:dyDescent="0.25">
      <c r="A20" s="1">
        <f t="shared" si="0"/>
        <v>11</v>
      </c>
      <c r="C20" s="4" t="s">
        <v>18</v>
      </c>
      <c r="F20" s="8">
        <f>SUM(F15:F19)</f>
        <v>2565045</v>
      </c>
      <c r="H20" s="1" t="s">
        <v>19</v>
      </c>
    </row>
    <row r="21" spans="1:8" x14ac:dyDescent="0.2">
      <c r="A21" s="1">
        <f t="shared" si="0"/>
        <v>12</v>
      </c>
    </row>
    <row r="22" spans="1:8" x14ac:dyDescent="0.2">
      <c r="A22" s="1">
        <f t="shared" si="0"/>
        <v>13</v>
      </c>
      <c r="C22" s="4" t="s">
        <v>20</v>
      </c>
    </row>
    <row r="23" spans="1:8" x14ac:dyDescent="0.2">
      <c r="A23" s="1">
        <f t="shared" si="0"/>
        <v>14</v>
      </c>
      <c r="C23" s="1" t="s">
        <v>12</v>
      </c>
      <c r="D23" s="5" t="s">
        <v>9</v>
      </c>
      <c r="F23" s="6">
        <f>SUM('WP D, pg 2 &amp; 3'!F46)</f>
        <v>0</v>
      </c>
      <c r="H23" s="1" t="s">
        <v>21</v>
      </c>
    </row>
    <row r="24" spans="1:8" x14ac:dyDescent="0.2">
      <c r="A24" s="1">
        <f t="shared" si="0"/>
        <v>15</v>
      </c>
      <c r="C24" s="1" t="s">
        <v>14</v>
      </c>
      <c r="F24" s="3">
        <f>SUM('WP D, pg 2 &amp; 3'!H46)</f>
        <v>0</v>
      </c>
      <c r="H24" s="1" t="s">
        <v>21</v>
      </c>
    </row>
    <row r="25" spans="1:8" x14ac:dyDescent="0.2">
      <c r="A25" s="1">
        <f t="shared" si="0"/>
        <v>16</v>
      </c>
      <c r="C25" s="1" t="s">
        <v>15</v>
      </c>
      <c r="F25" s="7">
        <f>SUM('WP D, pg 2 &amp; 3'!J46)</f>
        <v>0</v>
      </c>
      <c r="H25" s="1" t="s">
        <v>21</v>
      </c>
    </row>
    <row r="26" spans="1:8" x14ac:dyDescent="0.2">
      <c r="A26" s="1">
        <f t="shared" si="0"/>
        <v>17</v>
      </c>
      <c r="C26" s="1" t="s">
        <v>16</v>
      </c>
      <c r="F26" s="7">
        <f>SUM('WP D, pg 2 &amp; 3'!L46)</f>
        <v>31507.93</v>
      </c>
      <c r="H26" s="1" t="s">
        <v>21</v>
      </c>
    </row>
    <row r="27" spans="1:8" ht="12" thickBot="1" x14ac:dyDescent="0.25">
      <c r="A27" s="1">
        <f t="shared" si="0"/>
        <v>18</v>
      </c>
      <c r="C27" s="1" t="s">
        <v>17</v>
      </c>
      <c r="F27" s="7">
        <f>SUM('WP D, pg 2 &amp; 3'!N46)</f>
        <v>0</v>
      </c>
      <c r="H27" s="1" t="s">
        <v>21</v>
      </c>
    </row>
    <row r="28" spans="1:8" ht="12" thickBot="1" x14ac:dyDescent="0.25">
      <c r="A28" s="1">
        <f t="shared" si="0"/>
        <v>19</v>
      </c>
      <c r="C28" s="4" t="s">
        <v>22</v>
      </c>
      <c r="F28" s="8">
        <f>SUM(F23:F27)</f>
        <v>31507.93</v>
      </c>
      <c r="H28" s="1" t="s">
        <v>19</v>
      </c>
    </row>
    <row r="29" spans="1:8" x14ac:dyDescent="0.2">
      <c r="A29" s="1">
        <f t="shared" si="0"/>
        <v>20</v>
      </c>
    </row>
    <row r="30" spans="1:8" ht="12" thickBot="1" x14ac:dyDescent="0.25">
      <c r="A30" s="1">
        <f t="shared" si="0"/>
        <v>21</v>
      </c>
      <c r="C30" s="4" t="s">
        <v>23</v>
      </c>
    </row>
    <row r="31" spans="1:8" ht="12" thickBot="1" x14ac:dyDescent="0.25">
      <c r="A31" s="1">
        <f t="shared" si="0"/>
        <v>22</v>
      </c>
      <c r="C31" s="83" t="s">
        <v>24</v>
      </c>
      <c r="F31" s="8">
        <f>+'WP D, pg 2 &amp; 3'!T46</f>
        <v>4324.9699999999993</v>
      </c>
      <c r="H31" s="1" t="s">
        <v>21</v>
      </c>
    </row>
    <row r="32" spans="1:8" x14ac:dyDescent="0.2">
      <c r="A32" s="1">
        <f t="shared" si="0"/>
        <v>23</v>
      </c>
      <c r="H32" s="1" t="s">
        <v>19</v>
      </c>
    </row>
    <row r="33" spans="1:8" ht="12" thickBot="1" x14ac:dyDescent="0.25">
      <c r="A33" s="1">
        <f t="shared" si="0"/>
        <v>24</v>
      </c>
      <c r="C33" s="4" t="s">
        <v>25</v>
      </c>
    </row>
    <row r="34" spans="1:8" ht="12" thickBot="1" x14ac:dyDescent="0.25">
      <c r="A34" s="1">
        <f t="shared" si="0"/>
        <v>25</v>
      </c>
      <c r="C34" s="4" t="s">
        <v>26</v>
      </c>
      <c r="F34" s="9">
        <f>SUM('WP D, pg 2 &amp; 3'!R46)</f>
        <v>58168.439999999988</v>
      </c>
      <c r="H34" s="1" t="s">
        <v>21</v>
      </c>
    </row>
    <row r="35" spans="1:8" x14ac:dyDescent="0.2">
      <c r="H35" s="1" t="s">
        <v>184</v>
      </c>
    </row>
  </sheetData>
  <mergeCells count="6">
    <mergeCell ref="C8:D8"/>
    <mergeCell ref="C7:D7"/>
    <mergeCell ref="A1:H1"/>
    <mergeCell ref="A2:H2"/>
    <mergeCell ref="A5:H5"/>
    <mergeCell ref="A4:H4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7"/>
  <sheetViews>
    <sheetView zoomScaleNormal="100" workbookViewId="0">
      <selection activeCell="A2" sqref="A2:H2"/>
    </sheetView>
  </sheetViews>
  <sheetFormatPr defaultRowHeight="11.25" x14ac:dyDescent="0.2"/>
  <cols>
    <col min="1" max="1" width="4.140625" style="80" customWidth="1"/>
    <col min="2" max="2" width="0.85546875" style="80" customWidth="1"/>
    <col min="3" max="3" width="9.140625" style="80"/>
    <col min="4" max="4" width="0.85546875" style="80" customWidth="1"/>
    <col min="5" max="6" width="9.140625" style="80"/>
    <col min="7" max="7" width="17" style="80" customWidth="1"/>
    <col min="8" max="8" width="16.7109375" style="80" customWidth="1"/>
    <col min="9" max="9" width="14.42578125" style="80" customWidth="1"/>
    <col min="10" max="16384" width="9.140625" style="80"/>
  </cols>
  <sheetData>
    <row r="1" spans="1:13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</row>
    <row r="2" spans="1:13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</row>
    <row r="4" spans="1:13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</row>
    <row r="5" spans="1:13" ht="12.75" x14ac:dyDescent="0.2">
      <c r="A5" s="115" t="str">
        <f>'G9AYR Input'!A5:J5</f>
        <v>Pro-Forma Adjustment - Integrity Management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</row>
    <row r="6" spans="1:13" ht="12.75" x14ac:dyDescent="0.2">
      <c r="A6" s="117" t="str">
        <f>'G9AYR Input'!F6</f>
        <v>SFS: Philips Ave Reconstruction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</row>
    <row r="72" spans="1:13" ht="12.75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6"/>
      <c r="L72" s="116"/>
      <c r="M72" s="116"/>
    </row>
    <row r="73" spans="1:13" ht="12.75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6"/>
      <c r="L73" s="116"/>
      <c r="M73" s="116"/>
    </row>
    <row r="75" spans="1:13" ht="12.75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6"/>
      <c r="L75" s="116"/>
      <c r="M75" s="116"/>
    </row>
    <row r="76" spans="1:13" ht="12.75" x14ac:dyDescent="0.2">
      <c r="A76" s="115" t="str">
        <f>A5</f>
        <v>Pro-Forma Adjustment - Integrity Management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6"/>
      <c r="L76" s="116"/>
      <c r="M76" s="116"/>
    </row>
    <row r="77" spans="1:13" ht="12.75" x14ac:dyDescent="0.2">
      <c r="A77" s="117" t="str">
        <f t="shared" ref="A77" si="0">A6</f>
        <v>SFS: Philips Ave Reconstruction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6"/>
      <c r="L77" s="116"/>
      <c r="M77" s="116"/>
    </row>
  </sheetData>
  <mergeCells count="10">
    <mergeCell ref="A77:M77"/>
    <mergeCell ref="A1:M1"/>
    <mergeCell ref="A2:M2"/>
    <mergeCell ref="A5:M5"/>
    <mergeCell ref="A4:M4"/>
    <mergeCell ref="A6:M6"/>
    <mergeCell ref="A72:M72"/>
    <mergeCell ref="A73:M73"/>
    <mergeCell ref="A76:M76"/>
    <mergeCell ref="A75:M75"/>
  </mergeCells>
  <pageMargins left="0.75" right="0.75" top="1" bottom="1" header="0.5" footer="0.5"/>
  <pageSetup scale="7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7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C82C-4174-42BE-9690-B0C8C08F366D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4" x14ac:dyDescent="0.2">
      <c r="A5" s="111" t="str">
        <f>'WP D , pg 1'!A5:H5</f>
        <v>Pro-Forma Adjustment - Integrity Management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135</v>
      </c>
      <c r="E6" s="34"/>
      <c r="F6" s="109" t="s">
        <v>136</v>
      </c>
      <c r="G6" s="110"/>
      <c r="H6" s="110"/>
      <c r="I6" s="110"/>
      <c r="J6" s="110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93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137</v>
      </c>
      <c r="H13" s="5">
        <v>1</v>
      </c>
      <c r="J13" s="42">
        <f>1.45/52</f>
        <v>2.7884615384615383E-2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77</v>
      </c>
      <c r="H14" s="5">
        <v>0</v>
      </c>
      <c r="J14" s="42">
        <v>0</v>
      </c>
    </row>
    <row r="15" spans="1:14" x14ac:dyDescent="0.2">
      <c r="A15" s="36">
        <v>3</v>
      </c>
      <c r="B15" s="40">
        <f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ref="B16:B25" si="0">B15+30</f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44743</v>
      </c>
    </row>
    <row r="28" spans="1:10" x14ac:dyDescent="0.2">
      <c r="A28" s="36">
        <v>16</v>
      </c>
      <c r="B28" s="34" t="s">
        <v>79</v>
      </c>
      <c r="D28" s="103">
        <v>91754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138</v>
      </c>
    </row>
    <row r="33" spans="2:2" x14ac:dyDescent="0.2">
      <c r="B33" s="44" t="s">
        <v>139</v>
      </c>
    </row>
    <row r="34" spans="2:2" x14ac:dyDescent="0.2">
      <c r="B34" s="44" t="s">
        <v>140</v>
      </c>
    </row>
    <row r="35" spans="2:2" x14ac:dyDescent="0.2">
      <c r="B35" s="44" t="s">
        <v>141</v>
      </c>
    </row>
    <row r="36" spans="2:2" x14ac:dyDescent="0.2">
      <c r="B36" s="44" t="s">
        <v>142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5">
    <mergeCell ref="F6:J6"/>
    <mergeCell ref="A1:J1"/>
    <mergeCell ref="A2:J2"/>
    <mergeCell ref="A5:J5"/>
    <mergeCell ref="A4:J4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29FD-A632-4F75-B56A-690793D3E530}">
  <sheetPr syncVertical="1" syncRef="A1" transitionEvaluation="1" transitionEntry="1"/>
  <dimension ref="A1:J433"/>
  <sheetViews>
    <sheetView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A4" s="112"/>
      <c r="B4" s="112"/>
      <c r="C4" s="112"/>
      <c r="D4" s="112"/>
      <c r="E4" s="112"/>
      <c r="F4" s="112"/>
      <c r="G4" s="112"/>
      <c r="H4" s="112"/>
      <c r="I4" s="112"/>
      <c r="J4" s="47"/>
    </row>
    <row r="5" spans="1:10" x14ac:dyDescent="0.2">
      <c r="A5" s="45" t="str">
        <f>'G9BCU Input'!A5:J5</f>
        <v>Pro-Forma Adjustment - Integrity Management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'G9BCU Input'!F6</f>
        <v>YAN: DRS 026 Rebuild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'G9BCU Input'!B13</f>
        <v>44180</v>
      </c>
      <c r="D15" s="55"/>
      <c r="E15" s="56">
        <f>'G9BCU Input'!D13*'G9BCU Input'!$D$7*'G9BCU Input'!$H$7</f>
        <v>0</v>
      </c>
      <c r="F15" s="57"/>
      <c r="G15" s="56">
        <f>'G9BCU Input'!D27*'G9BCU Input'!D6*'G9BCU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'G9BCU Input'!B14</f>
        <v>44211</v>
      </c>
      <c r="D16" s="55"/>
      <c r="E16" s="58">
        <f>'G9BCU Input'!D14*'G9BCU Input'!$D$7*'G9BCU Input'!$H$7</f>
        <v>0</v>
      </c>
      <c r="F16" s="57"/>
      <c r="G16" s="58">
        <f>'G9BCU Input'!D28*'G9BCU Input'!D7*'G9BCU Input'!H7</f>
        <v>91754</v>
      </c>
      <c r="H16" s="57"/>
      <c r="I16" s="58">
        <f t="shared" si="0"/>
        <v>91754</v>
      </c>
    </row>
    <row r="17" spans="1:10" x14ac:dyDescent="0.2">
      <c r="A17" s="48">
        <f t="shared" si="1"/>
        <v>3</v>
      </c>
      <c r="C17" s="55">
        <f>'G9BCU Input'!B15</f>
        <v>44241</v>
      </c>
      <c r="D17" s="55"/>
      <c r="E17" s="58">
        <f>'G9BCU Input'!D15*'G9BCU Input'!$D$7*'G9BCU Input'!$H$7</f>
        <v>0</v>
      </c>
      <c r="F17" s="57"/>
      <c r="G17" s="59">
        <f t="shared" ref="G17:G27" si="2">$G$16</f>
        <v>91754</v>
      </c>
      <c r="H17" s="57"/>
      <c r="I17" s="59">
        <f t="shared" si="0"/>
        <v>91754</v>
      </c>
      <c r="J17" s="57"/>
    </row>
    <row r="18" spans="1:10" x14ac:dyDescent="0.2">
      <c r="A18" s="48">
        <f t="shared" si="1"/>
        <v>4</v>
      </c>
      <c r="C18" s="55">
        <f>'G9BCU Input'!B16</f>
        <v>44271</v>
      </c>
      <c r="D18" s="55"/>
      <c r="E18" s="58">
        <f>'G9BCU Input'!D16*'G9BCU Input'!$D$7*'G9BCU Input'!$H$7</f>
        <v>0</v>
      </c>
      <c r="F18" s="57"/>
      <c r="G18" s="59">
        <f t="shared" si="2"/>
        <v>91754</v>
      </c>
      <c r="H18" s="57"/>
      <c r="I18" s="59">
        <f t="shared" si="0"/>
        <v>91754</v>
      </c>
      <c r="J18" s="57"/>
    </row>
    <row r="19" spans="1:10" x14ac:dyDescent="0.2">
      <c r="A19" s="48">
        <f t="shared" si="1"/>
        <v>5</v>
      </c>
      <c r="C19" s="55">
        <f>'G9BCU Input'!B17</f>
        <v>44301</v>
      </c>
      <c r="D19" s="55"/>
      <c r="E19" s="58">
        <f>'G9BCU Input'!D17*'G9BCU Input'!$D$7*'G9BCU Input'!$H$7</f>
        <v>0</v>
      </c>
      <c r="F19" s="57"/>
      <c r="G19" s="59">
        <f t="shared" si="2"/>
        <v>91754</v>
      </c>
      <c r="H19" s="57"/>
      <c r="I19" s="59">
        <f t="shared" si="0"/>
        <v>91754</v>
      </c>
      <c r="J19" s="57"/>
    </row>
    <row r="20" spans="1:10" x14ac:dyDescent="0.2">
      <c r="A20" s="48">
        <f t="shared" si="1"/>
        <v>6</v>
      </c>
      <c r="C20" s="55">
        <f>'G9BCU Input'!B18</f>
        <v>44331</v>
      </c>
      <c r="D20" s="55"/>
      <c r="E20" s="58">
        <f>'G9BCU Input'!D18*'G9BCU Input'!$D$7*'G9BCU Input'!$H$7</f>
        <v>0</v>
      </c>
      <c r="F20" s="57"/>
      <c r="G20" s="59">
        <f t="shared" si="2"/>
        <v>91754</v>
      </c>
      <c r="H20" s="57"/>
      <c r="I20" s="59">
        <f t="shared" si="0"/>
        <v>91754</v>
      </c>
      <c r="J20" s="57"/>
    </row>
    <row r="21" spans="1:10" x14ac:dyDescent="0.2">
      <c r="A21" s="48">
        <f t="shared" si="1"/>
        <v>7</v>
      </c>
      <c r="C21" s="55">
        <f>'G9BCU Input'!B19</f>
        <v>44361</v>
      </c>
      <c r="D21" s="55"/>
      <c r="E21" s="58">
        <f>'G9BCU Input'!D19*'G9BCU Input'!$D$7*'G9BCU Input'!$H$7</f>
        <v>0</v>
      </c>
      <c r="F21" s="57"/>
      <c r="G21" s="59">
        <f t="shared" si="2"/>
        <v>91754</v>
      </c>
      <c r="H21" s="57"/>
      <c r="I21" s="59">
        <f t="shared" si="0"/>
        <v>91754</v>
      </c>
      <c r="J21" s="57"/>
    </row>
    <row r="22" spans="1:10" x14ac:dyDescent="0.2">
      <c r="A22" s="48">
        <f t="shared" si="1"/>
        <v>8</v>
      </c>
      <c r="C22" s="55">
        <f>'G9BCU Input'!B20</f>
        <v>44391</v>
      </c>
      <c r="D22" s="55"/>
      <c r="E22" s="58">
        <f>'G9BCU Input'!D20*'G9BCU Input'!$D$7*'G9BCU Input'!$H$7</f>
        <v>0</v>
      </c>
      <c r="F22" s="57"/>
      <c r="G22" s="59">
        <f t="shared" si="2"/>
        <v>91754</v>
      </c>
      <c r="H22" s="57"/>
      <c r="I22" s="59">
        <f t="shared" si="0"/>
        <v>91754</v>
      </c>
      <c r="J22" s="57"/>
    </row>
    <row r="23" spans="1:10" x14ac:dyDescent="0.2">
      <c r="A23" s="48">
        <f t="shared" si="1"/>
        <v>9</v>
      </c>
      <c r="C23" s="55">
        <f>'G9BCU Input'!B21</f>
        <v>44421</v>
      </c>
      <c r="D23" s="55"/>
      <c r="E23" s="58">
        <f>'G9BCU Input'!D21*'G9BCU Input'!$D$7*'G9BCU Input'!$H$7</f>
        <v>0</v>
      </c>
      <c r="F23" s="57"/>
      <c r="G23" s="59">
        <f t="shared" si="2"/>
        <v>91754</v>
      </c>
      <c r="H23" s="57"/>
      <c r="I23" s="59">
        <f t="shared" si="0"/>
        <v>91754</v>
      </c>
      <c r="J23" s="57"/>
    </row>
    <row r="24" spans="1:10" x14ac:dyDescent="0.2">
      <c r="A24" s="48">
        <f t="shared" si="1"/>
        <v>10</v>
      </c>
      <c r="C24" s="55">
        <f>'G9BCU Input'!B22</f>
        <v>44451</v>
      </c>
      <c r="D24" s="55"/>
      <c r="E24" s="58">
        <f>'G9BCU Input'!D22*'G9BCU Input'!$D$7*'G9BCU Input'!$H$7</f>
        <v>0</v>
      </c>
      <c r="F24" s="57"/>
      <c r="G24" s="59">
        <f t="shared" si="2"/>
        <v>91754</v>
      </c>
      <c r="H24" s="57"/>
      <c r="I24" s="59">
        <f t="shared" si="0"/>
        <v>91754</v>
      </c>
      <c r="J24" s="57"/>
    </row>
    <row r="25" spans="1:10" x14ac:dyDescent="0.2">
      <c r="A25" s="48">
        <f t="shared" si="1"/>
        <v>11</v>
      </c>
      <c r="C25" s="55">
        <f>'G9BCU Input'!B23</f>
        <v>44481</v>
      </c>
      <c r="D25" s="55"/>
      <c r="E25" s="58">
        <f>'G9BCU Input'!D23*'G9BCU Input'!$D$7*'G9BCU Input'!$H$7</f>
        <v>0</v>
      </c>
      <c r="F25" s="57"/>
      <c r="G25" s="59">
        <f t="shared" si="2"/>
        <v>91754</v>
      </c>
      <c r="H25" s="57"/>
      <c r="I25" s="59">
        <f t="shared" si="0"/>
        <v>91754</v>
      </c>
      <c r="J25" s="57"/>
    </row>
    <row r="26" spans="1:10" x14ac:dyDescent="0.2">
      <c r="A26" s="48">
        <f t="shared" si="1"/>
        <v>12</v>
      </c>
      <c r="C26" s="55">
        <f>'G9BCU Input'!B24</f>
        <v>44511</v>
      </c>
      <c r="D26" s="55"/>
      <c r="E26" s="58">
        <f>'G9BCU Input'!D24*'G9BCU Input'!$D$7*'G9BCU Input'!$H$7</f>
        <v>0</v>
      </c>
      <c r="F26" s="57"/>
      <c r="G26" s="59">
        <f t="shared" si="2"/>
        <v>91754</v>
      </c>
      <c r="H26" s="57"/>
      <c r="I26" s="59">
        <f t="shared" si="0"/>
        <v>91754</v>
      </c>
      <c r="J26" s="57"/>
    </row>
    <row r="27" spans="1:10" x14ac:dyDescent="0.2">
      <c r="A27" s="48">
        <f t="shared" si="1"/>
        <v>13</v>
      </c>
      <c r="C27" s="55">
        <f>'G9BCU Input'!B25</f>
        <v>44541</v>
      </c>
      <c r="D27" s="55"/>
      <c r="E27" s="60">
        <f>'G9BCU Input'!D25*'G9BCU Input'!$D$7*'G9BCU Input'!$H$7</f>
        <v>0</v>
      </c>
      <c r="F27" s="57"/>
      <c r="G27" s="61">
        <f t="shared" si="2"/>
        <v>91754</v>
      </c>
      <c r="H27" s="57"/>
      <c r="I27" s="61">
        <f t="shared" si="0"/>
        <v>91754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1101048</v>
      </c>
      <c r="H28" s="64"/>
      <c r="I28" s="63">
        <f>SUM(I16:I27)</f>
        <v>1101048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91754</v>
      </c>
      <c r="H30" s="64"/>
      <c r="I30" s="66">
        <f>ROUND(+I28/12,2)</f>
        <v>91754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91754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861-CFDF-40B9-B999-BA82501F7362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13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0.855468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'G9BCU Input'!A5:J5</f>
        <v>Pro-Forma Adjustment - Integrity Management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'G9BCU Input'!F6</f>
        <v>YAN: DRS 026 Rebuild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'G9BCU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"&amp;'G9BCU Input'!F13</f>
        <v>Acct 2.378.00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'G9BCU TotalWO'!C15</f>
        <v>44180</v>
      </c>
      <c r="D15" s="55"/>
      <c r="E15" s="56">
        <f>'G9BCU TotalWO'!E15*'G9BCU Input'!$H$13</f>
        <v>0</v>
      </c>
      <c r="F15" s="68"/>
      <c r="G15" s="56">
        <f>'G9BCU TotalWO'!G15*'G9BCU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'G9BCU TotalWO'!C16</f>
        <v>44211</v>
      </c>
      <c r="D16" s="55"/>
      <c r="E16" s="58">
        <f>'G9BCU TotalWO'!E16*'G9BCU Input'!$H$13</f>
        <v>0</v>
      </c>
      <c r="F16" s="68"/>
      <c r="G16" s="58">
        <f>'G9BCU TotalWO'!G16*'G9BCU Input'!$H$13</f>
        <v>91754</v>
      </c>
      <c r="H16" s="59"/>
      <c r="I16" s="58">
        <f t="shared" si="0"/>
        <v>91754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'G9BCU TotalWO'!E17*'G9BCU Input'!$H$13</f>
        <v>0</v>
      </c>
      <c r="F17" s="68"/>
      <c r="G17" s="68">
        <f>'G9BCU TotalWO'!G17*'G9BCU Input'!$H$13</f>
        <v>91754</v>
      </c>
      <c r="H17" s="59"/>
      <c r="I17" s="59">
        <f t="shared" si="0"/>
        <v>91754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'G9BCU TotalWO'!E18*'G9BCU Input'!$H$13</f>
        <v>0</v>
      </c>
      <c r="F18" s="68"/>
      <c r="G18" s="68">
        <f>'G9BCU TotalWO'!G18*'G9BCU Input'!$H$13</f>
        <v>91754</v>
      </c>
      <c r="H18" s="59"/>
      <c r="I18" s="59">
        <f t="shared" si="0"/>
        <v>91754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'G9BCU TotalWO'!E19*'G9BCU Input'!$H$13</f>
        <v>0</v>
      </c>
      <c r="F19" s="68"/>
      <c r="G19" s="68">
        <f>'G9BCU TotalWO'!G19*'G9BCU Input'!$H$13</f>
        <v>91754</v>
      </c>
      <c r="H19" s="59"/>
      <c r="I19" s="59">
        <f t="shared" si="0"/>
        <v>91754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'G9BCU TotalWO'!E20*'G9BCU Input'!$H$13</f>
        <v>0</v>
      </c>
      <c r="F20" s="68"/>
      <c r="G20" s="68">
        <f>'G9BCU TotalWO'!G20*'G9BCU Input'!$H$13</f>
        <v>91754</v>
      </c>
      <c r="H20" s="59"/>
      <c r="I20" s="59">
        <f t="shared" si="0"/>
        <v>91754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'G9BCU TotalWO'!E21*'G9BCU Input'!$H$13</f>
        <v>0</v>
      </c>
      <c r="F21" s="68"/>
      <c r="G21" s="68">
        <f>'G9BCU TotalWO'!G21*'G9BCU Input'!$H$13</f>
        <v>91754</v>
      </c>
      <c r="H21" s="59"/>
      <c r="I21" s="59">
        <f t="shared" si="0"/>
        <v>91754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'G9BCU TotalWO'!E22*'G9BCU Input'!$H$13</f>
        <v>0</v>
      </c>
      <c r="F22" s="68"/>
      <c r="G22" s="68">
        <f>'G9BCU TotalWO'!G22*'G9BCU Input'!$H$13</f>
        <v>91754</v>
      </c>
      <c r="H22" s="59"/>
      <c r="I22" s="59">
        <f t="shared" si="0"/>
        <v>91754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'G9BCU TotalWO'!E23*'G9BCU Input'!$H$13</f>
        <v>0</v>
      </c>
      <c r="F23" s="68"/>
      <c r="G23" s="68">
        <f>'G9BCU TotalWO'!G23*'G9BCU Input'!$H$13</f>
        <v>91754</v>
      </c>
      <c r="H23" s="59"/>
      <c r="I23" s="59">
        <f t="shared" si="0"/>
        <v>91754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'G9BCU TotalWO'!E24*'G9BCU Input'!$H$13</f>
        <v>0</v>
      </c>
      <c r="F24" s="68"/>
      <c r="G24" s="68">
        <f>'G9BCU TotalWO'!G24*'G9BCU Input'!$H$13</f>
        <v>91754</v>
      </c>
      <c r="H24" s="59"/>
      <c r="I24" s="59">
        <f t="shared" si="0"/>
        <v>91754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'G9BCU TotalWO'!E25*'G9BCU Input'!$H$13</f>
        <v>0</v>
      </c>
      <c r="F25" s="68"/>
      <c r="G25" s="68">
        <f>'G9BCU TotalWO'!G25*'G9BCU Input'!$H$13</f>
        <v>91754</v>
      </c>
      <c r="H25" s="59"/>
      <c r="I25" s="59">
        <f t="shared" si="0"/>
        <v>91754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'G9BCU TotalWO'!E26*'G9BCU Input'!$H$13</f>
        <v>0</v>
      </c>
      <c r="F26" s="68"/>
      <c r="G26" s="68">
        <f>'G9BCU TotalWO'!G26*'G9BCU Input'!$H$13</f>
        <v>91754</v>
      </c>
      <c r="H26" s="59"/>
      <c r="I26" s="59">
        <f t="shared" si="0"/>
        <v>91754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'G9BCU TotalWO'!E27*'G9BCU Input'!$H$13</f>
        <v>0</v>
      </c>
      <c r="F27" s="68"/>
      <c r="G27" s="71">
        <f>'G9BCU TotalWO'!G27*'G9BCU Input'!$H$13</f>
        <v>91754</v>
      </c>
      <c r="H27" s="59"/>
      <c r="I27" s="61">
        <f t="shared" si="0"/>
        <v>91754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1101048</v>
      </c>
      <c r="H28" s="64"/>
      <c r="I28" s="63">
        <f>SUM(I16:I27)</f>
        <v>1101048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91754</v>
      </c>
      <c r="H30" s="64"/>
      <c r="I30" s="66">
        <f>ROUND(+I28/12,2)</f>
        <v>91754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91754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99</v>
      </c>
    </row>
    <row r="36" spans="1:13" x14ac:dyDescent="0.2">
      <c r="A36" s="48">
        <f t="shared" si="1"/>
        <v>22</v>
      </c>
      <c r="I36" s="62" t="s">
        <v>143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Integrity Management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YAN: DRS 026 Rebuild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2.378.00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213.21</v>
      </c>
      <c r="H53" s="64"/>
      <c r="I53" s="63">
        <f t="shared" ref="I53:I64" si="4">G53-E53</f>
        <v>213.21</v>
      </c>
      <c r="K53" s="58"/>
      <c r="M53" s="63">
        <f>+ROUND(I53/I$67*M$67,2)</f>
        <v>15.44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213.21</v>
      </c>
      <c r="H54" s="57"/>
      <c r="I54" s="59">
        <f t="shared" si="4"/>
        <v>213.21</v>
      </c>
      <c r="M54" s="59">
        <f t="shared" ref="M54:M60" si="8">+ROUND(I54/I$67*M$67,2)</f>
        <v>15.44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213.21</v>
      </c>
      <c r="H55" s="57"/>
      <c r="I55" s="59">
        <f t="shared" si="4"/>
        <v>213.21</v>
      </c>
      <c r="M55" s="59">
        <f t="shared" si="8"/>
        <v>15.44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213.21</v>
      </c>
      <c r="H56" s="57"/>
      <c r="I56" s="59">
        <f t="shared" si="4"/>
        <v>213.21</v>
      </c>
      <c r="M56" s="59">
        <f t="shared" si="8"/>
        <v>15.44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213.21</v>
      </c>
      <c r="H57" s="57"/>
      <c r="I57" s="59">
        <f t="shared" si="4"/>
        <v>213.21</v>
      </c>
      <c r="M57" s="59">
        <f t="shared" si="8"/>
        <v>15.44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213.21</v>
      </c>
      <c r="H58" s="57"/>
      <c r="I58" s="59">
        <f t="shared" si="4"/>
        <v>213.21</v>
      </c>
      <c r="M58" s="59">
        <f t="shared" si="8"/>
        <v>15.44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213.21</v>
      </c>
      <c r="H59" s="57"/>
      <c r="I59" s="59">
        <f t="shared" si="4"/>
        <v>213.21</v>
      </c>
      <c r="M59" s="59">
        <f t="shared" si="8"/>
        <v>15.44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213.21</v>
      </c>
      <c r="H60" s="57"/>
      <c r="I60" s="59">
        <f t="shared" si="4"/>
        <v>213.21</v>
      </c>
      <c r="M60" s="59">
        <f t="shared" si="8"/>
        <v>15.44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213.21</v>
      </c>
      <c r="H61" s="57"/>
      <c r="I61" s="59">
        <f t="shared" si="4"/>
        <v>213.21</v>
      </c>
      <c r="M61" s="59">
        <f>+ROUND(I61/I$67*M$67,2)+0.01</f>
        <v>15.45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213.21</v>
      </c>
      <c r="H62" s="57"/>
      <c r="I62" s="59">
        <f t="shared" si="4"/>
        <v>213.21</v>
      </c>
      <c r="M62" s="59">
        <f>+ROUND(I62/I$67*M$67,2)+0.01</f>
        <v>15.45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213.21</v>
      </c>
      <c r="H63" s="57"/>
      <c r="I63" s="59">
        <f t="shared" si="4"/>
        <v>213.21</v>
      </c>
      <c r="M63" s="59">
        <f>+ROUND(I63/I$67*M$67,2)+0.01</f>
        <v>15.45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213.21</v>
      </c>
      <c r="H64" s="57"/>
      <c r="I64" s="61">
        <f t="shared" si="4"/>
        <v>213.21</v>
      </c>
      <c r="M64" s="61">
        <f>+ROUND(I64/I$67*M$67,2)+0.01</f>
        <v>15.45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2558.52</v>
      </c>
      <c r="H65" s="64"/>
      <c r="I65" s="63">
        <f>SUM(I53:I64)</f>
        <v>2558.52</v>
      </c>
      <c r="M65" s="63">
        <f>SUM(M53:M64)</f>
        <v>185.31999999999996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2558.52</v>
      </c>
      <c r="K67" s="66">
        <f>ROUND(G16*K73,2)</f>
        <v>3440.78</v>
      </c>
      <c r="M67" s="66">
        <f>ROUND(+(K67-I67)*M73,2)</f>
        <v>185.27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99</v>
      </c>
    </row>
    <row r="69" spans="1:13" x14ac:dyDescent="0.2">
      <c r="A69" s="48">
        <f t="shared" si="5"/>
        <v>17</v>
      </c>
      <c r="I69" s="62" t="s">
        <v>144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2.378.00</v>
      </c>
      <c r="D73" s="75"/>
      <c r="E73" s="76">
        <f>'G9BCU Input'!J13</f>
        <v>2.7884615384615383E-2</v>
      </c>
      <c r="F73" s="76"/>
      <c r="G73" s="76">
        <f>E73/12</f>
        <v>2.3237179487179487E-3</v>
      </c>
      <c r="K73" s="85">
        <f>+'G9BCU Input'!L13</f>
        <v>3.7499999999999999E-2</v>
      </c>
      <c r="M73" s="86">
        <f>+'G9BCU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Integrity Management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YAN: DRS 026 Rebuild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2.378.00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213.21</v>
      </c>
      <c r="H93" s="57"/>
      <c r="I93" s="58">
        <f t="shared" si="9"/>
        <v>213.21</v>
      </c>
      <c r="M93" s="58">
        <f>+M53</f>
        <v>15.44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426.42</v>
      </c>
      <c r="H94" s="57"/>
      <c r="I94" s="59">
        <f t="shared" si="9"/>
        <v>426.42</v>
      </c>
      <c r="M94" s="59">
        <f>+M93+M54</f>
        <v>30.88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639.63</v>
      </c>
      <c r="H95" s="57"/>
      <c r="I95" s="59">
        <f t="shared" si="9"/>
        <v>639.63</v>
      </c>
      <c r="M95" s="59">
        <f t="shared" ref="M95:M104" si="14">+M94+M55</f>
        <v>46.32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852.84</v>
      </c>
      <c r="H96" s="57"/>
      <c r="I96" s="59">
        <f t="shared" si="9"/>
        <v>852.84</v>
      </c>
      <c r="M96" s="59">
        <f t="shared" si="14"/>
        <v>61.76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1066.05</v>
      </c>
      <c r="H97" s="57"/>
      <c r="I97" s="59">
        <f t="shared" si="9"/>
        <v>1066.05</v>
      </c>
      <c r="M97" s="59">
        <f t="shared" si="14"/>
        <v>77.2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1279.26</v>
      </c>
      <c r="H98" s="57"/>
      <c r="I98" s="59">
        <f t="shared" si="9"/>
        <v>1279.26</v>
      </c>
      <c r="M98" s="59">
        <f t="shared" si="14"/>
        <v>92.64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1492.47</v>
      </c>
      <c r="H99" s="57"/>
      <c r="I99" s="59">
        <f t="shared" si="9"/>
        <v>1492.47</v>
      </c>
      <c r="M99" s="59">
        <f t="shared" si="14"/>
        <v>108.08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1705.68</v>
      </c>
      <c r="H100" s="57"/>
      <c r="I100" s="59">
        <f t="shared" si="9"/>
        <v>1705.68</v>
      </c>
      <c r="M100" s="59">
        <f t="shared" si="14"/>
        <v>123.52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1918.89</v>
      </c>
      <c r="H101" s="57"/>
      <c r="I101" s="59">
        <f t="shared" si="9"/>
        <v>1918.89</v>
      </c>
      <c r="M101" s="59">
        <f t="shared" si="14"/>
        <v>138.97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2132.1</v>
      </c>
      <c r="H102" s="57"/>
      <c r="I102" s="59">
        <f t="shared" si="9"/>
        <v>2132.1</v>
      </c>
      <c r="M102" s="59">
        <f t="shared" si="14"/>
        <v>154.41999999999999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2345.31</v>
      </c>
      <c r="H103" s="57"/>
      <c r="I103" s="59">
        <f t="shared" si="9"/>
        <v>2345.31</v>
      </c>
      <c r="M103" s="59">
        <f t="shared" si="14"/>
        <v>169.86999999999998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2558.52</v>
      </c>
      <c r="H104" s="57"/>
      <c r="I104" s="61">
        <f t="shared" si="9"/>
        <v>2558.52</v>
      </c>
      <c r="M104" s="61">
        <f t="shared" si="14"/>
        <v>185.31999999999996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16630.38</v>
      </c>
      <c r="H105" s="64"/>
      <c r="I105" s="63">
        <f>SUM(I93:I104)</f>
        <v>16630.38</v>
      </c>
      <c r="M105" s="63">
        <f>SUM(M93:M104)</f>
        <v>1204.42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1385.87</v>
      </c>
      <c r="H107" s="64"/>
      <c r="I107" s="66">
        <f>ROUND(+I105/12,2)</f>
        <v>1385.87</v>
      </c>
      <c r="M107" s="66">
        <f>ROUND(+M105/12,2)</f>
        <v>100.37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1385.87</v>
      </c>
      <c r="M110" s="78">
        <f>+M107</f>
        <v>100.37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99</v>
      </c>
      <c r="M111" s="62" t="s">
        <v>99</v>
      </c>
    </row>
    <row r="112" spans="1:13" x14ac:dyDescent="0.2">
      <c r="A112" s="48">
        <f t="shared" si="10"/>
        <v>21</v>
      </c>
      <c r="I112" s="62" t="s">
        <v>145</v>
      </c>
      <c r="M112" s="62" t="s">
        <v>146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2.378.00</v>
      </c>
      <c r="D116" s="75"/>
      <c r="E116" s="79">
        <f>E73</f>
        <v>2.7884615384615383E-2</v>
      </c>
      <c r="F116" s="79"/>
      <c r="G116" s="79">
        <f>G73</f>
        <v>2.3237179487179487E-3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9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1756-A3D1-4A3B-9B66-98775155D244}">
  <dimension ref="A1:M76"/>
  <sheetViews>
    <sheetView zoomScaleNormal="100" workbookViewId="0">
      <selection activeCell="A2" sqref="A2:H2"/>
    </sheetView>
  </sheetViews>
  <sheetFormatPr defaultRowHeight="11.25" x14ac:dyDescent="0.2"/>
  <cols>
    <col min="1" max="1" width="4.140625" style="80" customWidth="1"/>
    <col min="2" max="2" width="0.85546875" style="80" customWidth="1"/>
    <col min="3" max="3" width="9.140625" style="80"/>
    <col min="4" max="4" width="0.85546875" style="80" customWidth="1"/>
    <col min="5" max="6" width="9.140625" style="80"/>
    <col min="7" max="7" width="17" style="80" customWidth="1"/>
    <col min="8" max="8" width="16.7109375" style="80" customWidth="1"/>
    <col min="9" max="9" width="14.42578125" style="80" customWidth="1"/>
    <col min="10" max="16384" width="9.140625" style="80"/>
  </cols>
  <sheetData>
    <row r="1" spans="1:13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</row>
    <row r="2" spans="1:13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</row>
    <row r="4" spans="1:13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</row>
    <row r="5" spans="1:13" ht="12.75" x14ac:dyDescent="0.2">
      <c r="A5" s="115" t="str">
        <f>'G9BCU Input'!A5:J5</f>
        <v>Pro-Forma Adjustment - Integrity Management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</row>
    <row r="6" spans="1:13" ht="12.75" x14ac:dyDescent="0.2">
      <c r="A6" s="117" t="str">
        <f>'G9BCU Input'!F6</f>
        <v>YAN: DRS 026 Rebuild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</row>
    <row r="71" spans="1:13" ht="12.75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6"/>
      <c r="L71" s="116"/>
      <c r="M71" s="116"/>
    </row>
    <row r="72" spans="1:13" ht="12.75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6"/>
      <c r="L72" s="116"/>
      <c r="M72" s="116"/>
    </row>
    <row r="74" spans="1:13" ht="12.75" x14ac:dyDescent="0.2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6"/>
      <c r="L74" s="116"/>
      <c r="M74" s="116"/>
    </row>
    <row r="75" spans="1:13" ht="12.75" x14ac:dyDescent="0.2">
      <c r="A75" s="115" t="str">
        <f>A5</f>
        <v>Pro-Forma Adjustment - Integrity Management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6"/>
      <c r="L75" s="116"/>
      <c r="M75" s="116"/>
    </row>
    <row r="76" spans="1:13" ht="12.75" x14ac:dyDescent="0.2">
      <c r="A76" s="117" t="str">
        <f t="shared" ref="A76" si="0">A6</f>
        <v>YAN: DRS 026 Rebuild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6"/>
      <c r="L76" s="116"/>
      <c r="M76" s="116"/>
    </row>
  </sheetData>
  <mergeCells count="10">
    <mergeCell ref="A1:M1"/>
    <mergeCell ref="A2:M2"/>
    <mergeCell ref="A5:M5"/>
    <mergeCell ref="A4:M4"/>
    <mergeCell ref="A76:M76"/>
    <mergeCell ref="A6:M6"/>
    <mergeCell ref="A71:M71"/>
    <mergeCell ref="A72:M72"/>
    <mergeCell ref="A75:M75"/>
    <mergeCell ref="A74:M74"/>
  </mergeCells>
  <pageMargins left="0.75" right="0.75" top="1" bottom="1" header="0.5" footer="0.5"/>
  <pageSetup scale="7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70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CDB9-83B2-4D0B-BE09-C39C45FE0D7F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/>
    <row r="5" spans="1:14" x14ac:dyDescent="0.2">
      <c r="A5" s="111" t="s">
        <v>185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147</v>
      </c>
      <c r="E6" s="34"/>
      <c r="F6" s="118" t="s">
        <v>148</v>
      </c>
      <c r="G6" s="118"/>
      <c r="H6" s="118"/>
      <c r="I6" s="118"/>
      <c r="J6" s="118"/>
      <c r="K6" s="118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32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76</v>
      </c>
      <c r="H13" s="5">
        <v>0.54878778850934218</v>
      </c>
      <c r="J13" s="42">
        <f>1.5/68</f>
        <v>2.2058823529411766E-2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149</v>
      </c>
      <c r="H14" s="5">
        <v>0.45121221149065782</v>
      </c>
      <c r="J14" s="42">
        <f>2/57</f>
        <v>3.5087719298245612E-2</v>
      </c>
    </row>
    <row r="15" spans="1:14" x14ac:dyDescent="0.2">
      <c r="A15" s="36">
        <v>3</v>
      </c>
      <c r="B15" s="40">
        <f t="shared" ref="B15:B25" si="0"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si="0"/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44835</v>
      </c>
    </row>
    <row r="28" spans="1:10" x14ac:dyDescent="0.2">
      <c r="A28" s="36">
        <v>16</v>
      </c>
      <c r="B28" s="34" t="s">
        <v>79</v>
      </c>
      <c r="D28" s="103">
        <v>1064047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150</v>
      </c>
    </row>
    <row r="33" spans="2:2" x14ac:dyDescent="0.2">
      <c r="B33" s="44" t="s">
        <v>151</v>
      </c>
    </row>
    <row r="34" spans="2:2" x14ac:dyDescent="0.2">
      <c r="B34" s="44" t="s">
        <v>152</v>
      </c>
    </row>
    <row r="35" spans="2:2" x14ac:dyDescent="0.2">
      <c r="B35" s="44" t="s">
        <v>153</v>
      </c>
    </row>
    <row r="36" spans="2:2" x14ac:dyDescent="0.2">
      <c r="B36" s="44" t="s">
        <v>154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4">
    <mergeCell ref="F6:K6"/>
    <mergeCell ref="A1:J1"/>
    <mergeCell ref="A2:J2"/>
    <mergeCell ref="A5:J5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A790-63B7-495C-99D9-85444D21C3E5}">
  <sheetPr syncVertical="1" syncRef="A1" transitionEvaluation="1" transitionEntry="1"/>
  <dimension ref="A1:J433"/>
  <sheetViews>
    <sheetView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J4" s="47"/>
    </row>
    <row r="5" spans="1:10" x14ac:dyDescent="0.2">
      <c r="A5" s="45" t="str">
        <f>'G9BDE Input'!A5:J5</f>
        <v>Pro-Forma Adjustment - System Reliability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'G9BDE Input'!F6</f>
        <v>SFS: West Sioux Rebuild Y1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'G9BDE Input'!B13</f>
        <v>44180</v>
      </c>
      <c r="D15" s="55"/>
      <c r="E15" s="56">
        <f>'G9BDE Input'!D13*'G9BDE Input'!$D$7*'G9BDE Input'!$H$7</f>
        <v>0</v>
      </c>
      <c r="F15" s="57"/>
      <c r="G15" s="56">
        <f>'G9BDE Input'!D27*'G9BDE Input'!D6*'G9BDE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'G9BDE Input'!B14</f>
        <v>44211</v>
      </c>
      <c r="D16" s="55"/>
      <c r="E16" s="58">
        <f>'G9BDE Input'!D14*'G9BDE Input'!$D$7*'G9BDE Input'!$H$7</f>
        <v>0</v>
      </c>
      <c r="F16" s="57"/>
      <c r="G16" s="58">
        <f>'G9BDE Input'!D28*'G9BDE Input'!D7*'G9BDE Input'!H7</f>
        <v>1064047</v>
      </c>
      <c r="H16" s="57"/>
      <c r="I16" s="58">
        <f t="shared" si="0"/>
        <v>1064047</v>
      </c>
    </row>
    <row r="17" spans="1:10" x14ac:dyDescent="0.2">
      <c r="A17" s="48">
        <f t="shared" si="1"/>
        <v>3</v>
      </c>
      <c r="C17" s="55">
        <f>'G9BDE Input'!B15</f>
        <v>44241</v>
      </c>
      <c r="D17" s="55"/>
      <c r="E17" s="58">
        <f>'G9BDE Input'!D15*'G9BDE Input'!$D$7*'G9BDE Input'!$H$7</f>
        <v>0</v>
      </c>
      <c r="F17" s="57"/>
      <c r="G17" s="59">
        <f t="shared" ref="G17:G27" si="2">$G$16</f>
        <v>1064047</v>
      </c>
      <c r="H17" s="57"/>
      <c r="I17" s="59">
        <f t="shared" si="0"/>
        <v>1064047</v>
      </c>
      <c r="J17" s="57"/>
    </row>
    <row r="18" spans="1:10" x14ac:dyDescent="0.2">
      <c r="A18" s="48">
        <f t="shared" si="1"/>
        <v>4</v>
      </c>
      <c r="C18" s="55">
        <f>'G9BDE Input'!B16</f>
        <v>44271</v>
      </c>
      <c r="D18" s="55"/>
      <c r="E18" s="58">
        <f>'G9BDE Input'!D16*'G9BDE Input'!$D$7*'G9BDE Input'!$H$7</f>
        <v>0</v>
      </c>
      <c r="F18" s="57"/>
      <c r="G18" s="59">
        <f t="shared" si="2"/>
        <v>1064047</v>
      </c>
      <c r="H18" s="57"/>
      <c r="I18" s="59">
        <f t="shared" si="0"/>
        <v>1064047</v>
      </c>
      <c r="J18" s="57"/>
    </row>
    <row r="19" spans="1:10" x14ac:dyDescent="0.2">
      <c r="A19" s="48">
        <f t="shared" si="1"/>
        <v>5</v>
      </c>
      <c r="C19" s="55">
        <f>'G9BDE Input'!B17</f>
        <v>44301</v>
      </c>
      <c r="D19" s="55"/>
      <c r="E19" s="58">
        <f>'G9BDE Input'!D17*'G9BDE Input'!$D$7*'G9BDE Input'!$H$7</f>
        <v>0</v>
      </c>
      <c r="F19" s="57"/>
      <c r="G19" s="59">
        <f t="shared" si="2"/>
        <v>1064047</v>
      </c>
      <c r="H19" s="57"/>
      <c r="I19" s="59">
        <f t="shared" si="0"/>
        <v>1064047</v>
      </c>
      <c r="J19" s="57"/>
    </row>
    <row r="20" spans="1:10" x14ac:dyDescent="0.2">
      <c r="A20" s="48">
        <f t="shared" si="1"/>
        <v>6</v>
      </c>
      <c r="C20" s="55">
        <f>'G9BDE Input'!B18</f>
        <v>44331</v>
      </c>
      <c r="D20" s="55"/>
      <c r="E20" s="58">
        <f>'G9BDE Input'!D18*'G9BDE Input'!$D$7*'G9BDE Input'!$H$7</f>
        <v>0</v>
      </c>
      <c r="F20" s="57"/>
      <c r="G20" s="59">
        <f t="shared" si="2"/>
        <v>1064047</v>
      </c>
      <c r="H20" s="57"/>
      <c r="I20" s="59">
        <f t="shared" si="0"/>
        <v>1064047</v>
      </c>
      <c r="J20" s="57"/>
    </row>
    <row r="21" spans="1:10" x14ac:dyDescent="0.2">
      <c r="A21" s="48">
        <f t="shared" si="1"/>
        <v>7</v>
      </c>
      <c r="C21" s="55">
        <f>'G9BDE Input'!B19</f>
        <v>44361</v>
      </c>
      <c r="D21" s="55"/>
      <c r="E21" s="58">
        <f>'G9BDE Input'!D19*'G9BDE Input'!$D$7*'G9BDE Input'!$H$7</f>
        <v>0</v>
      </c>
      <c r="F21" s="57"/>
      <c r="G21" s="59">
        <f t="shared" si="2"/>
        <v>1064047</v>
      </c>
      <c r="H21" s="57"/>
      <c r="I21" s="59">
        <f t="shared" si="0"/>
        <v>1064047</v>
      </c>
      <c r="J21" s="57"/>
    </row>
    <row r="22" spans="1:10" x14ac:dyDescent="0.2">
      <c r="A22" s="48">
        <f t="shared" si="1"/>
        <v>8</v>
      </c>
      <c r="C22" s="55">
        <f>'G9BDE Input'!B20</f>
        <v>44391</v>
      </c>
      <c r="D22" s="55"/>
      <c r="E22" s="58">
        <f>'G9BDE Input'!D20*'G9BDE Input'!$D$7*'G9BDE Input'!$H$7</f>
        <v>0</v>
      </c>
      <c r="F22" s="57"/>
      <c r="G22" s="59">
        <f t="shared" si="2"/>
        <v>1064047</v>
      </c>
      <c r="H22" s="57"/>
      <c r="I22" s="59">
        <f t="shared" si="0"/>
        <v>1064047</v>
      </c>
      <c r="J22" s="57"/>
    </row>
    <row r="23" spans="1:10" x14ac:dyDescent="0.2">
      <c r="A23" s="48">
        <f t="shared" si="1"/>
        <v>9</v>
      </c>
      <c r="C23" s="55">
        <f>'G9BDE Input'!B21</f>
        <v>44421</v>
      </c>
      <c r="D23" s="55"/>
      <c r="E23" s="58">
        <f>'G9BDE Input'!D21*'G9BDE Input'!$D$7*'G9BDE Input'!$H$7</f>
        <v>0</v>
      </c>
      <c r="F23" s="57"/>
      <c r="G23" s="59">
        <f t="shared" si="2"/>
        <v>1064047</v>
      </c>
      <c r="H23" s="57"/>
      <c r="I23" s="59">
        <f t="shared" si="0"/>
        <v>1064047</v>
      </c>
      <c r="J23" s="57"/>
    </row>
    <row r="24" spans="1:10" x14ac:dyDescent="0.2">
      <c r="A24" s="48">
        <f t="shared" si="1"/>
        <v>10</v>
      </c>
      <c r="C24" s="55">
        <f>'G9BDE Input'!B22</f>
        <v>44451</v>
      </c>
      <c r="D24" s="55"/>
      <c r="E24" s="58">
        <f>'G9BDE Input'!D22*'G9BDE Input'!$D$7*'G9BDE Input'!$H$7</f>
        <v>0</v>
      </c>
      <c r="F24" s="57"/>
      <c r="G24" s="59">
        <f t="shared" si="2"/>
        <v>1064047</v>
      </c>
      <c r="H24" s="57"/>
      <c r="I24" s="59">
        <f t="shared" si="0"/>
        <v>1064047</v>
      </c>
      <c r="J24" s="57"/>
    </row>
    <row r="25" spans="1:10" x14ac:dyDescent="0.2">
      <c r="A25" s="48">
        <f t="shared" si="1"/>
        <v>11</v>
      </c>
      <c r="C25" s="55">
        <f>'G9BDE Input'!B23</f>
        <v>44481</v>
      </c>
      <c r="D25" s="55"/>
      <c r="E25" s="58">
        <f>'G9BDE Input'!D23*'G9BDE Input'!$D$7*'G9BDE Input'!$H$7</f>
        <v>0</v>
      </c>
      <c r="F25" s="57"/>
      <c r="G25" s="59">
        <f t="shared" si="2"/>
        <v>1064047</v>
      </c>
      <c r="H25" s="57"/>
      <c r="I25" s="59">
        <f t="shared" si="0"/>
        <v>1064047</v>
      </c>
      <c r="J25" s="57"/>
    </row>
    <row r="26" spans="1:10" x14ac:dyDescent="0.2">
      <c r="A26" s="48">
        <f t="shared" si="1"/>
        <v>12</v>
      </c>
      <c r="C26" s="55">
        <f>'G9BDE Input'!B24</f>
        <v>44511</v>
      </c>
      <c r="D26" s="55"/>
      <c r="E26" s="58">
        <f>'G9BDE Input'!D24*'G9BDE Input'!$D$7*'G9BDE Input'!$H$7</f>
        <v>0</v>
      </c>
      <c r="F26" s="57"/>
      <c r="G26" s="59">
        <f t="shared" si="2"/>
        <v>1064047</v>
      </c>
      <c r="H26" s="57"/>
      <c r="I26" s="59">
        <f t="shared" si="0"/>
        <v>1064047</v>
      </c>
      <c r="J26" s="57"/>
    </row>
    <row r="27" spans="1:10" x14ac:dyDescent="0.2">
      <c r="A27" s="48">
        <f t="shared" si="1"/>
        <v>13</v>
      </c>
      <c r="C27" s="55">
        <f>'G9BDE Input'!B25</f>
        <v>44541</v>
      </c>
      <c r="D27" s="55"/>
      <c r="E27" s="60">
        <f>'G9BDE Input'!D25*'G9BDE Input'!$D$7*'G9BDE Input'!$H$7</f>
        <v>0</v>
      </c>
      <c r="F27" s="57"/>
      <c r="G27" s="61">
        <f t="shared" si="2"/>
        <v>1064047</v>
      </c>
      <c r="H27" s="57"/>
      <c r="I27" s="61">
        <f t="shared" si="0"/>
        <v>1064047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12768564</v>
      </c>
      <c r="H28" s="64"/>
      <c r="I28" s="63">
        <f>SUM(I16:I27)</f>
        <v>12768564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1064047</v>
      </c>
      <c r="H30" s="64"/>
      <c r="I30" s="66">
        <f>ROUND(+I28/12,2)</f>
        <v>1064047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1064047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1"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2480-D2EC-4E02-9752-6F6718A9AB92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20.710937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1.71093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'G9BDE Input'!A5:J5</f>
        <v>Pro-Forma Adjustment - System Reliability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'G9BDE Input'!F6</f>
        <v>SFS: West Sioux Rebuild Y1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'G9BDE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"&amp;'G9BDE Input'!F13</f>
        <v>Acct 2.376.00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'G9BDE TotalWO'!C15</f>
        <v>44180</v>
      </c>
      <c r="D15" s="55"/>
      <c r="E15" s="56">
        <f>'G9BDE TotalWO'!E15*'G9BDE Input'!$H$13</f>
        <v>0</v>
      </c>
      <c r="F15" s="68"/>
      <c r="G15" s="56">
        <f>'G9BDE TotalWO'!G15*'G9BDE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'G9BDE TotalWO'!C16</f>
        <v>44211</v>
      </c>
      <c r="D16" s="55"/>
      <c r="E16" s="58">
        <f>'G9BDE TotalWO'!E16*'G9BDE Input'!$H$13</f>
        <v>0</v>
      </c>
      <c r="F16" s="68"/>
      <c r="G16" s="58">
        <f>'G9BDE TotalWO'!G16*'G9BDE Input'!$H$13</f>
        <v>583936</v>
      </c>
      <c r="H16" s="59"/>
      <c r="I16" s="58">
        <f t="shared" si="0"/>
        <v>583936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'G9BDE TotalWO'!E17*'G9BDE Input'!$H$13</f>
        <v>0</v>
      </c>
      <c r="F17" s="68"/>
      <c r="G17" s="68">
        <f>'G9BDE TotalWO'!G17*'G9BDE Input'!$H$13</f>
        <v>583936</v>
      </c>
      <c r="H17" s="59"/>
      <c r="I17" s="59">
        <f t="shared" si="0"/>
        <v>583936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'G9BDE TotalWO'!E18*'G9BDE Input'!$H$13</f>
        <v>0</v>
      </c>
      <c r="F18" s="68"/>
      <c r="G18" s="68">
        <f>'G9BDE TotalWO'!G18*'G9BDE Input'!$H$13</f>
        <v>583936</v>
      </c>
      <c r="H18" s="59"/>
      <c r="I18" s="59">
        <f t="shared" si="0"/>
        <v>583936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'G9BDE TotalWO'!E19*'G9BDE Input'!$H$13</f>
        <v>0</v>
      </c>
      <c r="F19" s="68"/>
      <c r="G19" s="68">
        <f>'G9BDE TotalWO'!G19*'G9BDE Input'!$H$13</f>
        <v>583936</v>
      </c>
      <c r="H19" s="59"/>
      <c r="I19" s="59">
        <f t="shared" si="0"/>
        <v>583936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'G9BDE TotalWO'!E20*'G9BDE Input'!$H$13</f>
        <v>0</v>
      </c>
      <c r="F20" s="68"/>
      <c r="G20" s="68">
        <f>'G9BDE TotalWO'!G20*'G9BDE Input'!$H$13</f>
        <v>583936</v>
      </c>
      <c r="H20" s="59"/>
      <c r="I20" s="59">
        <f t="shared" si="0"/>
        <v>583936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'G9BDE TotalWO'!E21*'G9BDE Input'!$H$13</f>
        <v>0</v>
      </c>
      <c r="F21" s="68"/>
      <c r="G21" s="68">
        <f>'G9BDE TotalWO'!G21*'G9BDE Input'!$H$13</f>
        <v>583936</v>
      </c>
      <c r="H21" s="59"/>
      <c r="I21" s="59">
        <f t="shared" si="0"/>
        <v>583936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'G9BDE TotalWO'!E22*'G9BDE Input'!$H$13</f>
        <v>0</v>
      </c>
      <c r="F22" s="68"/>
      <c r="G22" s="68">
        <f>'G9BDE TotalWO'!G22*'G9BDE Input'!$H$13</f>
        <v>583936</v>
      </c>
      <c r="H22" s="59"/>
      <c r="I22" s="59">
        <f t="shared" si="0"/>
        <v>583936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'G9BDE TotalWO'!E23*'G9BDE Input'!$H$13</f>
        <v>0</v>
      </c>
      <c r="F23" s="68"/>
      <c r="G23" s="68">
        <f>'G9BDE TotalWO'!G23*'G9BDE Input'!$H$13</f>
        <v>583936</v>
      </c>
      <c r="H23" s="59"/>
      <c r="I23" s="59">
        <f t="shared" si="0"/>
        <v>583936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'G9BDE TotalWO'!E24*'G9BDE Input'!$H$13</f>
        <v>0</v>
      </c>
      <c r="F24" s="68"/>
      <c r="G24" s="68">
        <f>'G9BDE TotalWO'!G24*'G9BDE Input'!$H$13</f>
        <v>583936</v>
      </c>
      <c r="H24" s="59"/>
      <c r="I24" s="59">
        <f t="shared" si="0"/>
        <v>583936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'G9BDE TotalWO'!E25*'G9BDE Input'!$H$13</f>
        <v>0</v>
      </c>
      <c r="F25" s="68"/>
      <c r="G25" s="68">
        <f>'G9BDE TotalWO'!G25*'G9BDE Input'!$H$13</f>
        <v>583936</v>
      </c>
      <c r="H25" s="59"/>
      <c r="I25" s="59">
        <f t="shared" si="0"/>
        <v>583936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'G9BDE TotalWO'!E26*'G9BDE Input'!$H$13</f>
        <v>0</v>
      </c>
      <c r="F26" s="68"/>
      <c r="G26" s="68">
        <f>'G9BDE TotalWO'!G26*'G9BDE Input'!$H$13</f>
        <v>583936</v>
      </c>
      <c r="H26" s="59"/>
      <c r="I26" s="59">
        <f t="shared" si="0"/>
        <v>583936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'G9BDE TotalWO'!E27*'G9BDE Input'!$H$13</f>
        <v>0</v>
      </c>
      <c r="F27" s="68"/>
      <c r="G27" s="71">
        <f>'G9BDE TotalWO'!G27*'G9BDE Input'!$H$13</f>
        <v>583936</v>
      </c>
      <c r="H27" s="59"/>
      <c r="I27" s="61">
        <f t="shared" si="0"/>
        <v>583936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7007232</v>
      </c>
      <c r="H28" s="64"/>
      <c r="I28" s="63">
        <f>SUM(I16:I27)</f>
        <v>7007232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583936</v>
      </c>
      <c r="H30" s="64"/>
      <c r="I30" s="66">
        <f>ROUND(+I28/12,2)</f>
        <v>583936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583936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155</v>
      </c>
    </row>
    <row r="36" spans="1:13" x14ac:dyDescent="0.2">
      <c r="A36" s="48">
        <f t="shared" si="1"/>
        <v>22</v>
      </c>
      <c r="I36" s="62" t="s">
        <v>156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System Reliability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West Sioux Rebuild Y1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2.376.00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1073.4100000000001</v>
      </c>
      <c r="H53" s="64"/>
      <c r="I53" s="63">
        <f t="shared" ref="I53:I64" si="4">G53-E53</f>
        <v>1073.4100000000001</v>
      </c>
      <c r="K53" s="58"/>
      <c r="M53" s="17">
        <f>+ROUND(M67/12,2)</f>
        <v>157.79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1073.4100000000001</v>
      </c>
      <c r="H54" s="57"/>
      <c r="I54" s="59">
        <f t="shared" si="4"/>
        <v>1073.4100000000001</v>
      </c>
      <c r="M54" s="88">
        <f t="shared" ref="M54:M60" si="8">+M53</f>
        <v>157.79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1073.4100000000001</v>
      </c>
      <c r="H55" s="57"/>
      <c r="I55" s="59">
        <f t="shared" si="4"/>
        <v>1073.4100000000001</v>
      </c>
      <c r="M55" s="88">
        <f t="shared" si="8"/>
        <v>157.79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1073.4100000000001</v>
      </c>
      <c r="H56" s="57"/>
      <c r="I56" s="59">
        <f t="shared" si="4"/>
        <v>1073.4100000000001</v>
      </c>
      <c r="M56" s="88">
        <f t="shared" si="8"/>
        <v>157.79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1073.4100000000001</v>
      </c>
      <c r="H57" s="57"/>
      <c r="I57" s="59">
        <f t="shared" si="4"/>
        <v>1073.4100000000001</v>
      </c>
      <c r="M57" s="88">
        <f t="shared" si="8"/>
        <v>157.79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1073.4100000000001</v>
      </c>
      <c r="H58" s="57"/>
      <c r="I58" s="59">
        <f t="shared" si="4"/>
        <v>1073.4100000000001</v>
      </c>
      <c r="M58" s="88">
        <f t="shared" si="8"/>
        <v>157.79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1073.4100000000001</v>
      </c>
      <c r="H59" s="57"/>
      <c r="I59" s="59">
        <f t="shared" si="4"/>
        <v>1073.4100000000001</v>
      </c>
      <c r="M59" s="88">
        <f t="shared" si="8"/>
        <v>157.79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1073.4100000000001</v>
      </c>
      <c r="H60" s="57"/>
      <c r="I60" s="59">
        <f t="shared" si="4"/>
        <v>1073.4100000000001</v>
      </c>
      <c r="M60" s="88">
        <f t="shared" si="8"/>
        <v>157.79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1073.4100000000001</v>
      </c>
      <c r="H61" s="57"/>
      <c r="I61" s="59">
        <f t="shared" si="4"/>
        <v>1073.4100000000001</v>
      </c>
      <c r="M61" s="88">
        <f>+M60+0.01</f>
        <v>157.79999999999998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1073.4100000000001</v>
      </c>
      <c r="H62" s="57"/>
      <c r="I62" s="59">
        <f t="shared" si="4"/>
        <v>1073.4100000000001</v>
      </c>
      <c r="M62" s="88">
        <f>+M61</f>
        <v>157.79999999999998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1073.4100000000001</v>
      </c>
      <c r="H63" s="57"/>
      <c r="I63" s="59">
        <f t="shared" si="4"/>
        <v>1073.4100000000001</v>
      </c>
      <c r="M63" s="88">
        <f>+M62</f>
        <v>157.79999999999998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1073.4100000000001</v>
      </c>
      <c r="H64" s="57"/>
      <c r="I64" s="61">
        <f t="shared" si="4"/>
        <v>1073.4100000000001</v>
      </c>
      <c r="M64" s="61">
        <f>+M63</f>
        <v>157.79999999999998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12880.92</v>
      </c>
      <c r="H65" s="64"/>
      <c r="I65" s="63">
        <f>SUM(I53:I64)</f>
        <v>12880.92</v>
      </c>
      <c r="M65" s="63">
        <f>SUM(M53:M64)</f>
        <v>1893.5199999999998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12880.92</v>
      </c>
      <c r="K67" s="66">
        <f>ROUND(G16*K73,2)</f>
        <v>21897.599999999999</v>
      </c>
      <c r="M67" s="66">
        <f>ROUND(+(K67-I67)*M73,2)</f>
        <v>1893.5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155</v>
      </c>
    </row>
    <row r="69" spans="1:13" x14ac:dyDescent="0.2">
      <c r="A69" s="48">
        <f t="shared" si="5"/>
        <v>17</v>
      </c>
      <c r="I69" s="62" t="s">
        <v>157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2.376.00</v>
      </c>
      <c r="D73" s="75"/>
      <c r="E73" s="76">
        <f>'G9BDE Input'!J13</f>
        <v>2.2058823529411766E-2</v>
      </c>
      <c r="F73" s="76"/>
      <c r="G73" s="76">
        <f>E73/12</f>
        <v>1.8382352941176473E-3</v>
      </c>
      <c r="K73" s="85">
        <f>+'G9BDE Input'!L13</f>
        <v>3.7499999999999999E-2</v>
      </c>
      <c r="M73" s="86">
        <f>+'G9BDE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System Reliability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West Sioux Rebuild Y1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2.376.00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1073.4100000000001</v>
      </c>
      <c r="H93" s="57"/>
      <c r="I93" s="58">
        <f t="shared" si="9"/>
        <v>1073.4100000000001</v>
      </c>
      <c r="M93" s="58">
        <f>+M53</f>
        <v>157.79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2146.8200000000002</v>
      </c>
      <c r="H94" s="57"/>
      <c r="I94" s="59">
        <f t="shared" si="9"/>
        <v>2146.8200000000002</v>
      </c>
      <c r="M94" s="59">
        <f t="shared" ref="M94:M104" si="14">+M93+M54</f>
        <v>315.58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3220.2300000000005</v>
      </c>
      <c r="H95" s="57"/>
      <c r="I95" s="59">
        <f t="shared" si="9"/>
        <v>3220.2300000000005</v>
      </c>
      <c r="M95" s="59">
        <f t="shared" si="14"/>
        <v>473.37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4293.6400000000003</v>
      </c>
      <c r="H96" s="57"/>
      <c r="I96" s="59">
        <f t="shared" si="9"/>
        <v>4293.6400000000003</v>
      </c>
      <c r="M96" s="59">
        <f t="shared" si="14"/>
        <v>631.16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5367.05</v>
      </c>
      <c r="H97" s="57"/>
      <c r="I97" s="59">
        <f t="shared" si="9"/>
        <v>5367.05</v>
      </c>
      <c r="M97" s="59">
        <f t="shared" si="14"/>
        <v>788.94999999999993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6440.46</v>
      </c>
      <c r="H98" s="57"/>
      <c r="I98" s="59">
        <f t="shared" si="9"/>
        <v>6440.46</v>
      </c>
      <c r="M98" s="59">
        <f t="shared" si="14"/>
        <v>946.7399999999999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7513.87</v>
      </c>
      <c r="H99" s="57"/>
      <c r="I99" s="59">
        <f t="shared" si="9"/>
        <v>7513.87</v>
      </c>
      <c r="M99" s="59">
        <f t="shared" si="14"/>
        <v>1104.53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8587.2800000000007</v>
      </c>
      <c r="H100" s="57"/>
      <c r="I100" s="59">
        <f t="shared" si="9"/>
        <v>8587.2800000000007</v>
      </c>
      <c r="M100" s="59">
        <f t="shared" si="14"/>
        <v>1262.32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9660.69</v>
      </c>
      <c r="H101" s="57"/>
      <c r="I101" s="59">
        <f t="shared" si="9"/>
        <v>9660.69</v>
      </c>
      <c r="M101" s="59">
        <f t="shared" si="14"/>
        <v>1420.12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10734.1</v>
      </c>
      <c r="H102" s="57"/>
      <c r="I102" s="59">
        <f t="shared" si="9"/>
        <v>10734.1</v>
      </c>
      <c r="M102" s="59">
        <f t="shared" si="14"/>
        <v>1577.9199999999998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11807.51</v>
      </c>
      <c r="H103" s="57"/>
      <c r="I103" s="59">
        <f t="shared" si="9"/>
        <v>11807.51</v>
      </c>
      <c r="M103" s="59">
        <f t="shared" si="14"/>
        <v>1735.7199999999998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12880.92</v>
      </c>
      <c r="H104" s="57"/>
      <c r="I104" s="61">
        <f t="shared" si="9"/>
        <v>12880.92</v>
      </c>
      <c r="M104" s="61">
        <f t="shared" si="14"/>
        <v>1893.5199999999998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83725.98</v>
      </c>
      <c r="H105" s="64"/>
      <c r="I105" s="63">
        <f>SUM(I93:I104)</f>
        <v>83725.98</v>
      </c>
      <c r="M105" s="63">
        <f>SUM(M93:M104)</f>
        <v>12307.72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6977.17</v>
      </c>
      <c r="H107" s="64"/>
      <c r="I107" s="66">
        <f>ROUND(+I105/12,2)</f>
        <v>6977.17</v>
      </c>
      <c r="M107" s="66">
        <f>ROUND(+M105/12,2)</f>
        <v>1025.6400000000001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6977.17</v>
      </c>
      <c r="M110" s="78">
        <f>+M107</f>
        <v>1025.6400000000001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155</v>
      </c>
      <c r="M111" s="62" t="s">
        <v>155</v>
      </c>
    </row>
    <row r="112" spans="1:13" x14ac:dyDescent="0.2">
      <c r="A112" s="48">
        <f t="shared" si="10"/>
        <v>21</v>
      </c>
      <c r="I112" s="62" t="s">
        <v>158</v>
      </c>
      <c r="M112" s="62" t="s">
        <v>159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2.376.00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8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9B42-16C5-47D2-9BD2-10E8F8F0D438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20.710937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1.71093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'G9BDE Input'!A5:J5</f>
        <v>Pro-Forma Adjustment - System Reliability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'G9BDE Input'!F6</f>
        <v>SFS: West Sioux Rebuild Y1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'G9BDE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"&amp;'G9BDE Input'!F14</f>
        <v>Acct 2.380.00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'G9BDE TotalWO'!C15</f>
        <v>44180</v>
      </c>
      <c r="D15" s="55"/>
      <c r="E15" s="56">
        <f>'G9BDE TotalWO'!E15*'G9BDE Input'!$H$13</f>
        <v>0</v>
      </c>
      <c r="F15" s="68"/>
      <c r="G15" s="56">
        <f>'G9BDE TotalWO'!G15*'G9BDE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'G9BDE TotalWO'!C16</f>
        <v>44211</v>
      </c>
      <c r="D16" s="55"/>
      <c r="E16" s="58">
        <f>'G9BDE TotalWO'!E16*'G9BDE Input'!$H$13</f>
        <v>0</v>
      </c>
      <c r="F16" s="68"/>
      <c r="G16" s="58">
        <f>'G9BDE TotalWO'!G16*'G9BDE Input'!$H$14</f>
        <v>480111</v>
      </c>
      <c r="H16" s="59"/>
      <c r="I16" s="58">
        <f t="shared" si="0"/>
        <v>480111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'G9BDE TotalWO'!E17*'G9BDE Input'!$H$13</f>
        <v>0</v>
      </c>
      <c r="F17" s="68"/>
      <c r="G17" s="68">
        <f>'G9BDE TotalWO'!G17*'G9BDE Input'!$H$14</f>
        <v>480111</v>
      </c>
      <c r="H17" s="59"/>
      <c r="I17" s="59">
        <f t="shared" si="0"/>
        <v>480111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'G9BDE TotalWO'!E18*'G9BDE Input'!$H$13</f>
        <v>0</v>
      </c>
      <c r="F18" s="68"/>
      <c r="G18" s="68">
        <f>'G9BDE TotalWO'!G18*'G9BDE Input'!$H$14</f>
        <v>480111</v>
      </c>
      <c r="H18" s="59"/>
      <c r="I18" s="59">
        <f t="shared" si="0"/>
        <v>480111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'G9BDE TotalWO'!E19*'G9BDE Input'!$H$13</f>
        <v>0</v>
      </c>
      <c r="F19" s="68"/>
      <c r="G19" s="68">
        <f>'G9BDE TotalWO'!G19*'G9BDE Input'!$H$14</f>
        <v>480111</v>
      </c>
      <c r="H19" s="59"/>
      <c r="I19" s="59">
        <f t="shared" si="0"/>
        <v>480111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'G9BDE TotalWO'!E20*'G9BDE Input'!$H$13</f>
        <v>0</v>
      </c>
      <c r="F20" s="68"/>
      <c r="G20" s="68">
        <f>'G9BDE TotalWO'!G20*'G9BDE Input'!$H$14</f>
        <v>480111</v>
      </c>
      <c r="H20" s="59"/>
      <c r="I20" s="59">
        <f t="shared" si="0"/>
        <v>480111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'G9BDE TotalWO'!E21*'G9BDE Input'!$H$13</f>
        <v>0</v>
      </c>
      <c r="F21" s="68"/>
      <c r="G21" s="68">
        <f>'G9BDE TotalWO'!G21*'G9BDE Input'!$H$14</f>
        <v>480111</v>
      </c>
      <c r="H21" s="59"/>
      <c r="I21" s="59">
        <f t="shared" si="0"/>
        <v>480111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'G9BDE TotalWO'!E22*'G9BDE Input'!$H$13</f>
        <v>0</v>
      </c>
      <c r="F22" s="68"/>
      <c r="G22" s="68">
        <f>'G9BDE TotalWO'!G22*'G9BDE Input'!$H$14</f>
        <v>480111</v>
      </c>
      <c r="H22" s="59"/>
      <c r="I22" s="59">
        <f t="shared" si="0"/>
        <v>480111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'G9BDE TotalWO'!E23*'G9BDE Input'!$H$13</f>
        <v>0</v>
      </c>
      <c r="F23" s="68"/>
      <c r="G23" s="68">
        <f>'G9BDE TotalWO'!G23*'G9BDE Input'!$H$14</f>
        <v>480111</v>
      </c>
      <c r="H23" s="59"/>
      <c r="I23" s="59">
        <f t="shared" si="0"/>
        <v>480111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'G9BDE TotalWO'!E24*'G9BDE Input'!$H$13</f>
        <v>0</v>
      </c>
      <c r="F24" s="68"/>
      <c r="G24" s="68">
        <f>'G9BDE TotalWO'!G24*'G9BDE Input'!$H$14</f>
        <v>480111</v>
      </c>
      <c r="H24" s="59"/>
      <c r="I24" s="59">
        <f t="shared" si="0"/>
        <v>480111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'G9BDE TotalWO'!E25*'G9BDE Input'!$H$13</f>
        <v>0</v>
      </c>
      <c r="F25" s="68"/>
      <c r="G25" s="68">
        <f>'G9BDE TotalWO'!G25*'G9BDE Input'!$H$14</f>
        <v>480111</v>
      </c>
      <c r="H25" s="59"/>
      <c r="I25" s="59">
        <f t="shared" si="0"/>
        <v>480111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'G9BDE TotalWO'!E26*'G9BDE Input'!$H$13</f>
        <v>0</v>
      </c>
      <c r="F26" s="68"/>
      <c r="G26" s="68">
        <f>'G9BDE TotalWO'!G26*'G9BDE Input'!$H$14</f>
        <v>480111</v>
      </c>
      <c r="H26" s="59"/>
      <c r="I26" s="59">
        <f t="shared" si="0"/>
        <v>480111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'G9BDE TotalWO'!E27*'G9BDE Input'!$H$13</f>
        <v>0</v>
      </c>
      <c r="F27" s="68"/>
      <c r="G27" s="71">
        <f>'G9BDE TotalWO'!G27*'G9BDE Input'!$H$14</f>
        <v>480111</v>
      </c>
      <c r="H27" s="59"/>
      <c r="I27" s="61">
        <f t="shared" si="0"/>
        <v>480111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5761332</v>
      </c>
      <c r="H28" s="64"/>
      <c r="I28" s="63">
        <f>SUM(I16:I27)</f>
        <v>5761332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480111</v>
      </c>
      <c r="H30" s="64"/>
      <c r="I30" s="66">
        <f>ROUND(+I28/12,2)</f>
        <v>480111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480111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155</v>
      </c>
    </row>
    <row r="36" spans="1:13" x14ac:dyDescent="0.2">
      <c r="A36" s="48">
        <f t="shared" si="1"/>
        <v>22</v>
      </c>
      <c r="I36" s="62" t="s">
        <v>156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System Reliability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West Sioux Rebuild Y1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2.380.00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882.56</v>
      </c>
      <c r="H53" s="64"/>
      <c r="I53" s="63">
        <f t="shared" ref="I53:I64" si="4">G53-E53</f>
        <v>882.56</v>
      </c>
      <c r="K53" s="58"/>
      <c r="M53" s="17">
        <f>+ROUND(M67/12,2)</f>
        <v>129.74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882.56</v>
      </c>
      <c r="H54" s="57"/>
      <c r="I54" s="59">
        <f t="shared" si="4"/>
        <v>882.56</v>
      </c>
      <c r="M54" s="88">
        <f t="shared" ref="M54:M60" si="8">+M53</f>
        <v>129.74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882.56</v>
      </c>
      <c r="H55" s="57"/>
      <c r="I55" s="59">
        <f t="shared" si="4"/>
        <v>882.56</v>
      </c>
      <c r="M55" s="88">
        <f t="shared" si="8"/>
        <v>129.74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882.56</v>
      </c>
      <c r="H56" s="57"/>
      <c r="I56" s="59">
        <f t="shared" si="4"/>
        <v>882.56</v>
      </c>
      <c r="M56" s="88">
        <f t="shared" si="8"/>
        <v>129.74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882.56</v>
      </c>
      <c r="H57" s="57"/>
      <c r="I57" s="59">
        <f t="shared" si="4"/>
        <v>882.56</v>
      </c>
      <c r="M57" s="88">
        <f t="shared" si="8"/>
        <v>129.74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882.56</v>
      </c>
      <c r="H58" s="57"/>
      <c r="I58" s="59">
        <f t="shared" si="4"/>
        <v>882.56</v>
      </c>
      <c r="M58" s="88">
        <f t="shared" si="8"/>
        <v>129.74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882.56</v>
      </c>
      <c r="H59" s="57"/>
      <c r="I59" s="59">
        <f t="shared" si="4"/>
        <v>882.56</v>
      </c>
      <c r="M59" s="88">
        <f t="shared" si="8"/>
        <v>129.74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882.56</v>
      </c>
      <c r="H60" s="57"/>
      <c r="I60" s="59">
        <f t="shared" si="4"/>
        <v>882.56</v>
      </c>
      <c r="M60" s="88">
        <f t="shared" si="8"/>
        <v>129.74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882.56</v>
      </c>
      <c r="H61" s="57"/>
      <c r="I61" s="59">
        <f t="shared" si="4"/>
        <v>882.56</v>
      </c>
      <c r="M61" s="88">
        <f>+M60+0.01</f>
        <v>129.75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882.56</v>
      </c>
      <c r="H62" s="57"/>
      <c r="I62" s="59">
        <f t="shared" si="4"/>
        <v>882.56</v>
      </c>
      <c r="M62" s="88">
        <f>+M61</f>
        <v>129.75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882.56</v>
      </c>
      <c r="H63" s="57"/>
      <c r="I63" s="59">
        <f t="shared" si="4"/>
        <v>882.56</v>
      </c>
      <c r="M63" s="88">
        <f>+M62</f>
        <v>129.75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882.56</v>
      </c>
      <c r="H64" s="57"/>
      <c r="I64" s="61">
        <f t="shared" si="4"/>
        <v>882.56</v>
      </c>
      <c r="M64" s="61">
        <f>+M63</f>
        <v>129.75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10590.719999999996</v>
      </c>
      <c r="H65" s="64"/>
      <c r="I65" s="63">
        <f>SUM(I53:I64)</f>
        <v>10590.719999999996</v>
      </c>
      <c r="M65" s="63">
        <f>SUM(M53:M64)</f>
        <v>1556.92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10590.719999999996</v>
      </c>
      <c r="K67" s="66">
        <f>ROUND(G16*K73,2)</f>
        <v>18004.16</v>
      </c>
      <c r="M67" s="66">
        <f>ROUND(+(K67-I67)*M73,2)</f>
        <v>1556.82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155</v>
      </c>
    </row>
    <row r="69" spans="1:13" x14ac:dyDescent="0.2">
      <c r="A69" s="48">
        <f t="shared" si="5"/>
        <v>17</v>
      </c>
      <c r="I69" s="62" t="s">
        <v>157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2.380.00</v>
      </c>
      <c r="D73" s="75"/>
      <c r="E73" s="76">
        <f>'G9BDE Input'!J13</f>
        <v>2.2058823529411766E-2</v>
      </c>
      <c r="F73" s="76"/>
      <c r="G73" s="76">
        <f>E73/12</f>
        <v>1.8382352941176473E-3</v>
      </c>
      <c r="K73" s="85">
        <f>+'G9BDE Input'!L13</f>
        <v>3.7499999999999999E-2</v>
      </c>
      <c r="M73" s="86">
        <f>+'G9BDE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System Reliability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West Sioux Rebuild Y1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2.380.00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882.56</v>
      </c>
      <c r="H93" s="57"/>
      <c r="I93" s="58">
        <f t="shared" si="9"/>
        <v>882.56</v>
      </c>
      <c r="M93" s="58">
        <f>+M53</f>
        <v>129.74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1765.12</v>
      </c>
      <c r="H94" s="57"/>
      <c r="I94" s="59">
        <f t="shared" si="9"/>
        <v>1765.12</v>
      </c>
      <c r="M94" s="59">
        <f t="shared" ref="M94:M104" si="14">+M93+M54</f>
        <v>259.48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2647.68</v>
      </c>
      <c r="H95" s="57"/>
      <c r="I95" s="59">
        <f t="shared" si="9"/>
        <v>2647.68</v>
      </c>
      <c r="M95" s="59">
        <f t="shared" si="14"/>
        <v>389.22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3530.24</v>
      </c>
      <c r="H96" s="57"/>
      <c r="I96" s="59">
        <f t="shared" si="9"/>
        <v>3530.24</v>
      </c>
      <c r="M96" s="59">
        <f t="shared" si="14"/>
        <v>518.96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4412.7999999999993</v>
      </c>
      <c r="H97" s="57"/>
      <c r="I97" s="59">
        <f t="shared" si="9"/>
        <v>4412.7999999999993</v>
      </c>
      <c r="M97" s="59">
        <f t="shared" si="14"/>
        <v>648.70000000000005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5295.3599999999988</v>
      </c>
      <c r="H98" s="57"/>
      <c r="I98" s="59">
        <f t="shared" si="9"/>
        <v>5295.3599999999988</v>
      </c>
      <c r="M98" s="59">
        <f t="shared" si="14"/>
        <v>778.44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6177.9199999999983</v>
      </c>
      <c r="H99" s="57"/>
      <c r="I99" s="59">
        <f t="shared" si="9"/>
        <v>6177.9199999999983</v>
      </c>
      <c r="M99" s="59">
        <f t="shared" si="14"/>
        <v>908.18000000000006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7060.4799999999977</v>
      </c>
      <c r="H100" s="57"/>
      <c r="I100" s="59">
        <f t="shared" si="9"/>
        <v>7060.4799999999977</v>
      </c>
      <c r="M100" s="59">
        <f t="shared" si="14"/>
        <v>1037.92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7943.0399999999972</v>
      </c>
      <c r="H101" s="57"/>
      <c r="I101" s="59">
        <f t="shared" si="9"/>
        <v>7943.0399999999972</v>
      </c>
      <c r="M101" s="59">
        <f t="shared" si="14"/>
        <v>1167.67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8825.5999999999967</v>
      </c>
      <c r="H102" s="57"/>
      <c r="I102" s="59">
        <f t="shared" si="9"/>
        <v>8825.5999999999967</v>
      </c>
      <c r="M102" s="59">
        <f t="shared" si="14"/>
        <v>1297.42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9708.1599999999962</v>
      </c>
      <c r="H103" s="57"/>
      <c r="I103" s="59">
        <f t="shared" si="9"/>
        <v>9708.1599999999962</v>
      </c>
      <c r="M103" s="59">
        <f t="shared" si="14"/>
        <v>1427.17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10590.719999999996</v>
      </c>
      <c r="H104" s="57"/>
      <c r="I104" s="61">
        <f t="shared" si="9"/>
        <v>10590.719999999996</v>
      </c>
      <c r="M104" s="61">
        <f t="shared" si="14"/>
        <v>1556.92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68839.679999999978</v>
      </c>
      <c r="H105" s="64"/>
      <c r="I105" s="63">
        <f>SUM(I93:I104)</f>
        <v>68839.679999999978</v>
      </c>
      <c r="M105" s="63">
        <f>SUM(M93:M104)</f>
        <v>10119.820000000002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5736.64</v>
      </c>
      <c r="H107" s="64"/>
      <c r="I107" s="66">
        <f>ROUND(+I105/12,2)</f>
        <v>5736.64</v>
      </c>
      <c r="M107" s="66">
        <f>ROUND(+M105/12,2)</f>
        <v>843.32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5736.64</v>
      </c>
      <c r="M110" s="78">
        <f>+M107</f>
        <v>843.32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155</v>
      </c>
      <c r="M111" s="62" t="s">
        <v>155</v>
      </c>
    </row>
    <row r="112" spans="1:13" x14ac:dyDescent="0.2">
      <c r="A112" s="48">
        <f t="shared" si="10"/>
        <v>21</v>
      </c>
      <c r="I112" s="62" t="s">
        <v>158</v>
      </c>
      <c r="M112" s="62" t="s">
        <v>159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2.380.00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8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491A-3221-468A-AA92-6BCCFC284F8F}">
  <dimension ref="A1:N77"/>
  <sheetViews>
    <sheetView zoomScaleNormal="100" workbookViewId="0">
      <selection activeCell="A2" sqref="A2:H2"/>
    </sheetView>
  </sheetViews>
  <sheetFormatPr defaultColWidth="9.140625" defaultRowHeight="11.25" x14ac:dyDescent="0.2"/>
  <cols>
    <col min="1" max="1" width="4.42578125" style="80" customWidth="1"/>
    <col min="2" max="2" width="9.140625" style="80"/>
    <col min="3" max="3" width="0.85546875" style="80" customWidth="1"/>
    <col min="4" max="4" width="14.7109375" style="80" customWidth="1"/>
    <col min="5" max="5" width="5.85546875" style="80" customWidth="1"/>
    <col min="6" max="16384" width="9.140625" style="80"/>
  </cols>
  <sheetData>
    <row r="1" spans="1:14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6"/>
    </row>
    <row r="2" spans="1:14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6"/>
    </row>
    <row r="4" spans="1:14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  <c r="N4" s="116"/>
    </row>
    <row r="5" spans="1:14" ht="12.75" x14ac:dyDescent="0.2">
      <c r="A5" s="115" t="str">
        <f>'G9BDE Input'!A5:J5</f>
        <v>Pro-Forma Adjustment - System Reliability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</row>
    <row r="6" spans="1:14" ht="12.75" x14ac:dyDescent="0.2">
      <c r="A6" s="117" t="str">
        <f>'G9BDE Input'!F6</f>
        <v>SFS: West Sioux Rebuild Y1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  <c r="N6" s="116"/>
    </row>
    <row r="9" spans="1:14" x14ac:dyDescent="0.2">
      <c r="B9" s="81"/>
      <c r="D9" s="82"/>
    </row>
    <row r="10" spans="1:14" x14ac:dyDescent="0.2">
      <c r="B10" s="81"/>
      <c r="D10" s="82"/>
    </row>
    <row r="13" spans="1:14" x14ac:dyDescent="0.2">
      <c r="B13" s="81"/>
      <c r="D13" s="82"/>
    </row>
    <row r="14" spans="1:14" x14ac:dyDescent="0.2">
      <c r="B14" s="81"/>
      <c r="D14" s="82"/>
    </row>
    <row r="15" spans="1:14" x14ac:dyDescent="0.2">
      <c r="B15" s="81"/>
      <c r="D15" s="82"/>
    </row>
    <row r="16" spans="1:14" x14ac:dyDescent="0.2">
      <c r="B16" s="81"/>
      <c r="D16" s="82"/>
    </row>
    <row r="17" spans="2:4" x14ac:dyDescent="0.2">
      <c r="B17" s="81"/>
      <c r="D17" s="82"/>
    </row>
    <row r="18" spans="2:4" x14ac:dyDescent="0.2">
      <c r="B18" s="81"/>
      <c r="D18" s="82"/>
    </row>
    <row r="19" spans="2:4" x14ac:dyDescent="0.2">
      <c r="B19" s="81"/>
      <c r="D19" s="82"/>
    </row>
    <row r="20" spans="2:4" x14ac:dyDescent="0.2">
      <c r="B20" s="81"/>
      <c r="D20" s="82"/>
    </row>
    <row r="21" spans="2:4" x14ac:dyDescent="0.2">
      <c r="B21" s="81"/>
      <c r="D21" s="82"/>
    </row>
    <row r="22" spans="2:4" x14ac:dyDescent="0.2">
      <c r="B22" s="81"/>
      <c r="D22" s="82"/>
    </row>
    <row r="23" spans="2:4" x14ac:dyDescent="0.2">
      <c r="B23" s="81"/>
      <c r="D23" s="82"/>
    </row>
    <row r="24" spans="2:4" x14ac:dyDescent="0.2">
      <c r="B24" s="81"/>
      <c r="D24" s="82"/>
    </row>
    <row r="25" spans="2:4" x14ac:dyDescent="0.2">
      <c r="B25" s="81"/>
      <c r="D25" s="82"/>
    </row>
    <row r="26" spans="2:4" x14ac:dyDescent="0.2">
      <c r="B26" s="81"/>
      <c r="D26" s="82"/>
    </row>
    <row r="27" spans="2:4" x14ac:dyDescent="0.2">
      <c r="B27" s="81"/>
      <c r="D27" s="82"/>
    </row>
    <row r="28" spans="2:4" x14ac:dyDescent="0.2">
      <c r="B28" s="81"/>
      <c r="D28" s="82"/>
    </row>
    <row r="29" spans="2:4" x14ac:dyDescent="0.2">
      <c r="B29" s="81"/>
      <c r="D29" s="82"/>
    </row>
    <row r="30" spans="2:4" x14ac:dyDescent="0.2">
      <c r="B30" s="81"/>
      <c r="D30" s="82"/>
    </row>
    <row r="31" spans="2:4" x14ac:dyDescent="0.2">
      <c r="B31" s="81"/>
      <c r="D31" s="82"/>
    </row>
    <row r="32" spans="2:4" x14ac:dyDescent="0.2">
      <c r="B32" s="81"/>
      <c r="D32" s="82"/>
    </row>
    <row r="33" spans="2:4" x14ac:dyDescent="0.2">
      <c r="B33" s="81"/>
      <c r="D33" s="82"/>
    </row>
    <row r="34" spans="2:4" x14ac:dyDescent="0.2">
      <c r="B34" s="81"/>
      <c r="D34" s="82"/>
    </row>
    <row r="35" spans="2:4" x14ac:dyDescent="0.2">
      <c r="B35" s="81"/>
      <c r="D35" s="82"/>
    </row>
    <row r="36" spans="2:4" x14ac:dyDescent="0.2">
      <c r="B36" s="81"/>
      <c r="D36" s="82"/>
    </row>
    <row r="37" spans="2:4" x14ac:dyDescent="0.2">
      <c r="B37" s="81"/>
      <c r="D37" s="82"/>
    </row>
    <row r="38" spans="2:4" x14ac:dyDescent="0.2">
      <c r="B38" s="81"/>
      <c r="D38" s="82"/>
    </row>
    <row r="39" spans="2:4" x14ac:dyDescent="0.2">
      <c r="B39" s="81"/>
      <c r="D39" s="82"/>
    </row>
    <row r="40" spans="2:4" x14ac:dyDescent="0.2">
      <c r="B40" s="81"/>
      <c r="D40" s="82"/>
    </row>
    <row r="41" spans="2:4" x14ac:dyDescent="0.2">
      <c r="B41" s="81"/>
      <c r="D41" s="82"/>
    </row>
    <row r="42" spans="2:4" x14ac:dyDescent="0.2">
      <c r="B42" s="81"/>
      <c r="D42" s="82"/>
    </row>
    <row r="43" spans="2:4" x14ac:dyDescent="0.2">
      <c r="B43" s="81"/>
      <c r="D43" s="82"/>
    </row>
    <row r="44" spans="2:4" x14ac:dyDescent="0.2">
      <c r="B44" s="81"/>
      <c r="D44" s="82"/>
    </row>
    <row r="45" spans="2:4" x14ac:dyDescent="0.2">
      <c r="B45" s="81"/>
      <c r="D45" s="82"/>
    </row>
    <row r="46" spans="2:4" x14ac:dyDescent="0.2">
      <c r="B46" s="81"/>
      <c r="D46" s="82"/>
    </row>
    <row r="47" spans="2:4" x14ac:dyDescent="0.2">
      <c r="B47" s="81"/>
      <c r="D47" s="82"/>
    </row>
    <row r="48" spans="2:4" x14ac:dyDescent="0.2">
      <c r="B48" s="81"/>
      <c r="D48" s="82"/>
    </row>
    <row r="49" spans="2:4" x14ac:dyDescent="0.2">
      <c r="B49" s="81"/>
      <c r="D49" s="82"/>
    </row>
    <row r="50" spans="2:4" x14ac:dyDescent="0.2">
      <c r="B50" s="81"/>
      <c r="D50" s="82"/>
    </row>
    <row r="51" spans="2:4" x14ac:dyDescent="0.2">
      <c r="B51" s="81"/>
      <c r="D51" s="82"/>
    </row>
    <row r="52" spans="2:4" x14ac:dyDescent="0.2">
      <c r="B52" s="81"/>
      <c r="D52" s="82"/>
    </row>
    <row r="53" spans="2:4" x14ac:dyDescent="0.2">
      <c r="B53" s="81"/>
      <c r="D53" s="82"/>
    </row>
    <row r="54" spans="2:4" x14ac:dyDescent="0.2">
      <c r="B54" s="81"/>
      <c r="D54" s="82"/>
    </row>
    <row r="55" spans="2:4" x14ac:dyDescent="0.2">
      <c r="B55" s="81"/>
      <c r="D55" s="82"/>
    </row>
    <row r="56" spans="2:4" x14ac:dyDescent="0.2">
      <c r="B56" s="81"/>
      <c r="D56" s="82"/>
    </row>
    <row r="57" spans="2:4" x14ac:dyDescent="0.2">
      <c r="B57" s="81"/>
      <c r="D57" s="82"/>
    </row>
    <row r="58" spans="2:4" x14ac:dyDescent="0.2">
      <c r="B58" s="81"/>
      <c r="D58" s="82"/>
    </row>
    <row r="59" spans="2:4" x14ac:dyDescent="0.2">
      <c r="B59" s="81"/>
      <c r="D59" s="82"/>
    </row>
    <row r="60" spans="2:4" x14ac:dyDescent="0.2">
      <c r="B60" s="81"/>
      <c r="D60" s="82"/>
    </row>
    <row r="61" spans="2:4" x14ac:dyDescent="0.2">
      <c r="B61" s="81"/>
      <c r="D61" s="82"/>
    </row>
    <row r="62" spans="2:4" x14ac:dyDescent="0.2">
      <c r="B62" s="81"/>
      <c r="D62" s="82"/>
    </row>
    <row r="63" spans="2:4" x14ac:dyDescent="0.2">
      <c r="B63" s="81"/>
      <c r="D63" s="82"/>
    </row>
    <row r="64" spans="2:4" x14ac:dyDescent="0.2">
      <c r="B64" s="81"/>
      <c r="D64" s="82"/>
    </row>
    <row r="65" spans="1:14" x14ac:dyDescent="0.2">
      <c r="B65" s="81"/>
      <c r="D65" s="82"/>
    </row>
    <row r="66" spans="1:14" x14ac:dyDescent="0.2">
      <c r="B66" s="81"/>
      <c r="D66" s="82"/>
    </row>
    <row r="67" spans="1:14" x14ac:dyDescent="0.2">
      <c r="B67" s="81"/>
      <c r="D67" s="82"/>
    </row>
    <row r="68" spans="1:14" x14ac:dyDescent="0.2">
      <c r="B68" s="81"/>
      <c r="D68" s="82"/>
    </row>
    <row r="69" spans="1:14" x14ac:dyDescent="0.2">
      <c r="B69" s="81"/>
      <c r="D69" s="82"/>
    </row>
    <row r="72" spans="1:14" ht="12.75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6"/>
      <c r="L72" s="116"/>
      <c r="M72" s="116"/>
      <c r="N72" s="116"/>
    </row>
    <row r="73" spans="1:14" ht="12.75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6"/>
      <c r="L73" s="116"/>
      <c r="M73" s="116"/>
      <c r="N73" s="116"/>
    </row>
    <row r="75" spans="1:14" ht="12.75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6"/>
      <c r="L75" s="116"/>
      <c r="M75" s="116"/>
      <c r="N75" s="116"/>
    </row>
    <row r="76" spans="1:14" ht="12.75" x14ac:dyDescent="0.2">
      <c r="A76" s="115" t="str">
        <f>A5</f>
        <v>Pro-Forma Adjustment - System Reliability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6"/>
      <c r="L76" s="116"/>
      <c r="M76" s="116"/>
      <c r="N76" s="116"/>
    </row>
    <row r="77" spans="1:14" ht="12.75" x14ac:dyDescent="0.2">
      <c r="A77" s="117" t="str">
        <f>A6</f>
        <v>SFS: West Sioux Rebuild Y1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6"/>
      <c r="L77" s="116"/>
      <c r="M77" s="116"/>
      <c r="N77" s="116"/>
    </row>
  </sheetData>
  <mergeCells count="10">
    <mergeCell ref="A1:N1"/>
    <mergeCell ref="A2:N2"/>
    <mergeCell ref="A5:N5"/>
    <mergeCell ref="A4:N4"/>
    <mergeCell ref="A77:N77"/>
    <mergeCell ref="A6:N6"/>
    <mergeCell ref="A72:N72"/>
    <mergeCell ref="A73:N73"/>
    <mergeCell ref="A76:N76"/>
    <mergeCell ref="A75:N75"/>
  </mergeCells>
  <pageMargins left="0.75" right="0.75" top="1" bottom="1" header="0.5" footer="0.5"/>
  <pageSetup scale="7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topLeftCell="A4" zoomScaleNormal="100" workbookViewId="0">
      <selection activeCell="A2" sqref="A2:R2"/>
    </sheetView>
  </sheetViews>
  <sheetFormatPr defaultColWidth="8" defaultRowHeight="11.25" x14ac:dyDescent="0.2"/>
  <cols>
    <col min="1" max="1" width="3.85546875" style="10" bestFit="1" customWidth="1"/>
    <col min="2" max="2" width="29" style="10" bestFit="1" customWidth="1"/>
    <col min="3" max="3" width="0.85546875" style="10" customWidth="1"/>
    <col min="4" max="4" width="5.5703125" style="10" bestFit="1" customWidth="1"/>
    <col min="5" max="5" width="0.85546875" style="10" customWidth="1"/>
    <col min="6" max="6" width="10.140625" style="10" bestFit="1" customWidth="1"/>
    <col min="7" max="7" width="0.85546875" style="10" customWidth="1"/>
    <col min="8" max="8" width="10.85546875" style="10" bestFit="1" customWidth="1"/>
    <col min="9" max="9" width="2.5703125" style="10" bestFit="1" customWidth="1"/>
    <col min="10" max="10" width="13.28515625" style="10" bestFit="1" customWidth="1"/>
    <col min="11" max="11" width="0.85546875" style="10" customWidth="1"/>
    <col min="12" max="12" width="12" style="10" bestFit="1" customWidth="1"/>
    <col min="13" max="13" width="0.85546875" style="10" customWidth="1"/>
    <col min="14" max="14" width="8.28515625" style="10" bestFit="1" customWidth="1"/>
    <col min="15" max="15" width="0.85546875" style="10" customWidth="1"/>
    <col min="16" max="16" width="12" style="10" bestFit="1" customWidth="1"/>
    <col min="17" max="17" width="0.85546875" style="10" customWidth="1"/>
    <col min="18" max="18" width="12.5703125" style="10" bestFit="1" customWidth="1"/>
    <col min="19" max="19" width="0.85546875" style="10" customWidth="1"/>
    <col min="20" max="20" width="12.7109375" style="10" bestFit="1" customWidth="1"/>
    <col min="21" max="16384" width="8" style="10"/>
  </cols>
  <sheetData>
    <row r="1" spans="1:18" ht="12.7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2.7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2.75" customHeight="1" x14ac:dyDescent="0.2"/>
    <row r="4" spans="1:18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x14ac:dyDescent="0.2">
      <c r="A5" s="108" t="str">
        <f>'WP D , pg 1'!A5:H5</f>
        <v>Pro-Forma Adjustment - Integrity Management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8" ht="12" thickBot="1" x14ac:dyDescent="0.25">
      <c r="F7" s="29" t="s">
        <v>27</v>
      </c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x14ac:dyDescent="0.2">
      <c r="A8" s="89" t="s">
        <v>1</v>
      </c>
      <c r="F8" s="12" t="s">
        <v>28</v>
      </c>
      <c r="H8" s="12" t="s">
        <v>29</v>
      </c>
      <c r="J8" s="12" t="s">
        <v>30</v>
      </c>
      <c r="L8" s="12" t="s">
        <v>31</v>
      </c>
      <c r="N8" s="12" t="s">
        <v>32</v>
      </c>
    </row>
    <row r="9" spans="1:18" ht="12" thickBot="1" x14ac:dyDescent="0.25">
      <c r="A9" s="90" t="s">
        <v>183</v>
      </c>
      <c r="B9" s="13" t="s">
        <v>33</v>
      </c>
      <c r="C9" s="13"/>
      <c r="D9" s="13" t="s">
        <v>34</v>
      </c>
      <c r="F9" s="14" t="s">
        <v>35</v>
      </c>
      <c r="H9" s="14" t="s">
        <v>36</v>
      </c>
      <c r="J9" s="14" t="s">
        <v>37</v>
      </c>
      <c r="L9" s="14" t="s">
        <v>38</v>
      </c>
      <c r="N9" s="14" t="s">
        <v>39</v>
      </c>
      <c r="P9" s="13" t="s">
        <v>40</v>
      </c>
    </row>
    <row r="10" spans="1:18" x14ac:dyDescent="0.2">
      <c r="B10" s="12" t="s">
        <v>5</v>
      </c>
      <c r="C10" s="12"/>
      <c r="D10" s="12" t="s">
        <v>6</v>
      </c>
      <c r="F10" s="31" t="s">
        <v>7</v>
      </c>
      <c r="H10" s="31" t="s">
        <v>41</v>
      </c>
      <c r="J10" s="31" t="s">
        <v>42</v>
      </c>
      <c r="L10" s="31" t="s">
        <v>43</v>
      </c>
      <c r="N10" s="31" t="s">
        <v>44</v>
      </c>
      <c r="P10" s="12" t="s">
        <v>45</v>
      </c>
    </row>
    <row r="11" spans="1:18" x14ac:dyDescent="0.2">
      <c r="B11" s="12"/>
      <c r="C11" s="12"/>
      <c r="D11" s="12"/>
      <c r="F11" s="31"/>
      <c r="H11" s="31"/>
      <c r="J11" s="31"/>
      <c r="L11" s="31"/>
      <c r="N11" s="31"/>
      <c r="P11" s="12"/>
    </row>
    <row r="12" spans="1:18" x14ac:dyDescent="0.2">
      <c r="A12" s="20">
        <v>1</v>
      </c>
      <c r="B12" s="10" t="s">
        <v>46</v>
      </c>
      <c r="C12" s="15"/>
      <c r="D12" s="16">
        <v>2022</v>
      </c>
      <c r="F12" s="17">
        <v>0</v>
      </c>
      <c r="G12" s="18"/>
      <c r="H12" s="17">
        <v>0</v>
      </c>
      <c r="I12" s="18" t="s">
        <v>9</v>
      </c>
      <c r="J12" s="17">
        <v>0</v>
      </c>
      <c r="K12" s="18"/>
      <c r="L12" s="17">
        <f>'G9BDD Acct1'!I33</f>
        <v>138012</v>
      </c>
      <c r="M12" s="18"/>
      <c r="N12" s="17">
        <v>0</v>
      </c>
      <c r="O12" s="18"/>
      <c r="P12" s="17">
        <f>SUM(F12:N12)</f>
        <v>138012</v>
      </c>
    </row>
    <row r="13" spans="1:18" x14ac:dyDescent="0.2">
      <c r="A13" s="20">
        <f>A12+1</f>
        <v>2</v>
      </c>
      <c r="B13" s="10" t="s">
        <v>47</v>
      </c>
      <c r="C13" s="15"/>
      <c r="D13" s="16">
        <v>2022</v>
      </c>
      <c r="F13" s="22">
        <v>0</v>
      </c>
      <c r="G13" s="27"/>
      <c r="H13" s="22">
        <v>0</v>
      </c>
      <c r="I13" s="27"/>
      <c r="J13" s="22">
        <v>0</v>
      </c>
      <c r="K13" s="27"/>
      <c r="L13" s="22">
        <f>'G9AYR Acct1'!I33</f>
        <v>90766</v>
      </c>
      <c r="M13" s="27"/>
      <c r="N13" s="22">
        <v>0</v>
      </c>
      <c r="O13" s="27"/>
      <c r="P13" s="22">
        <f t="shared" ref="P13:P17" si="0">SUM(F13:N13)</f>
        <v>90766</v>
      </c>
    </row>
    <row r="14" spans="1:18" x14ac:dyDescent="0.2">
      <c r="A14" s="20">
        <f t="shared" ref="A14:A17" si="1">A13+1</f>
        <v>3</v>
      </c>
      <c r="B14" s="10" t="s">
        <v>48</v>
      </c>
      <c r="C14" s="15"/>
      <c r="D14" s="16">
        <v>2022</v>
      </c>
      <c r="F14" s="22">
        <v>0</v>
      </c>
      <c r="G14" s="27"/>
      <c r="H14" s="22">
        <v>0</v>
      </c>
      <c r="I14" s="27"/>
      <c r="J14" s="22">
        <v>0</v>
      </c>
      <c r="K14" s="27"/>
      <c r="L14" s="22">
        <f>'G9BCU Acct1'!I33</f>
        <v>91754</v>
      </c>
      <c r="M14" s="27"/>
      <c r="N14" s="22">
        <v>0</v>
      </c>
      <c r="O14" s="27"/>
      <c r="P14" s="22">
        <f t="shared" si="0"/>
        <v>91754</v>
      </c>
    </row>
    <row r="15" spans="1:18" x14ac:dyDescent="0.2">
      <c r="A15" s="20">
        <f t="shared" si="1"/>
        <v>4</v>
      </c>
      <c r="B15" s="10" t="s">
        <v>49</v>
      </c>
      <c r="C15" s="15"/>
      <c r="D15" s="16">
        <v>2022</v>
      </c>
      <c r="F15" s="22">
        <v>0</v>
      </c>
      <c r="G15" s="27"/>
      <c r="H15" s="22">
        <v>0</v>
      </c>
      <c r="I15" s="27"/>
      <c r="J15" s="22">
        <v>0</v>
      </c>
      <c r="K15" s="27"/>
      <c r="L15" s="22">
        <f>'G9BDE Acct1'!I33+'G9BDE Acct2'!I33</f>
        <v>1064047</v>
      </c>
      <c r="M15" s="27"/>
      <c r="N15" s="22">
        <v>0</v>
      </c>
      <c r="O15" s="27"/>
      <c r="P15" s="22">
        <f t="shared" si="0"/>
        <v>1064047</v>
      </c>
    </row>
    <row r="16" spans="1:18" x14ac:dyDescent="0.2">
      <c r="A16" s="20">
        <f t="shared" si="1"/>
        <v>5</v>
      </c>
      <c r="B16" s="10" t="s">
        <v>50</v>
      </c>
      <c r="C16" s="15"/>
      <c r="D16" s="16">
        <v>2023</v>
      </c>
      <c r="F16" s="22">
        <v>0</v>
      </c>
      <c r="G16" s="18"/>
      <c r="H16" s="22">
        <v>0</v>
      </c>
      <c r="I16" s="18"/>
      <c r="J16" s="22">
        <v>0</v>
      </c>
      <c r="K16" s="18"/>
      <c r="L16" s="22">
        <f>'G9BDS Acct1'!I33</f>
        <v>180558</v>
      </c>
      <c r="M16" s="18"/>
      <c r="N16" s="3">
        <v>0</v>
      </c>
      <c r="O16" s="18"/>
      <c r="P16" s="22">
        <f t="shared" si="0"/>
        <v>180558</v>
      </c>
    </row>
    <row r="17" spans="1:18" x14ac:dyDescent="0.2">
      <c r="A17" s="20">
        <f t="shared" si="1"/>
        <v>6</v>
      </c>
      <c r="B17" s="10" t="s">
        <v>51</v>
      </c>
      <c r="C17" s="15"/>
      <c r="D17" s="16">
        <v>2023</v>
      </c>
      <c r="F17" s="22">
        <v>0</v>
      </c>
      <c r="G17" s="18"/>
      <c r="H17" s="22">
        <v>0</v>
      </c>
      <c r="I17" s="18"/>
      <c r="J17" s="22">
        <v>0</v>
      </c>
      <c r="K17" s="18"/>
      <c r="L17" s="22">
        <f>'G9BDF Acct1'!I33+'G9BDF Acct2'!I33</f>
        <v>999908</v>
      </c>
      <c r="M17" s="18"/>
      <c r="N17" s="3">
        <v>0</v>
      </c>
      <c r="O17" s="18"/>
      <c r="P17" s="22">
        <f t="shared" si="0"/>
        <v>999908</v>
      </c>
    </row>
    <row r="18" spans="1:18" x14ac:dyDescent="0.2">
      <c r="A18" s="20"/>
      <c r="C18" s="15"/>
      <c r="D18" s="16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</row>
    <row r="19" spans="1:18" ht="12" thickBot="1" x14ac:dyDescent="0.25">
      <c r="A19" s="20"/>
      <c r="B19" s="19" t="s">
        <v>52</v>
      </c>
      <c r="D19" s="20" t="s">
        <v>9</v>
      </c>
      <c r="F19" s="21">
        <f>SUM(F12:F18)</f>
        <v>0</v>
      </c>
      <c r="G19" s="18"/>
      <c r="H19" s="21">
        <f>SUM(H12:H18)</f>
        <v>0</v>
      </c>
      <c r="I19" s="18"/>
      <c r="J19" s="21">
        <f>SUM(J12:J18)</f>
        <v>0</v>
      </c>
      <c r="K19" s="18"/>
      <c r="L19" s="21">
        <f>SUM(L12:L18)</f>
        <v>2565045</v>
      </c>
      <c r="M19" s="18"/>
      <c r="N19" s="21">
        <f>SUM(N12:N18)</f>
        <v>0</v>
      </c>
      <c r="O19" s="18"/>
      <c r="P19" s="21">
        <f>SUM(P12:P18)</f>
        <v>2565045</v>
      </c>
    </row>
    <row r="20" spans="1:18" ht="12" thickTop="1" x14ac:dyDescent="0.2">
      <c r="B20" s="10" t="s">
        <v>9</v>
      </c>
      <c r="D20" s="20" t="s">
        <v>9</v>
      </c>
      <c r="F20" s="22"/>
      <c r="G20" s="18"/>
      <c r="H20" s="22"/>
      <c r="I20" s="18"/>
      <c r="J20" s="22"/>
      <c r="K20" s="18"/>
      <c r="L20" s="22"/>
      <c r="M20" s="18"/>
      <c r="N20" s="22"/>
      <c r="O20" s="18"/>
      <c r="P20" s="22" t="s">
        <v>9</v>
      </c>
    </row>
    <row r="21" spans="1:18" x14ac:dyDescent="0.2">
      <c r="B21" s="10" t="s">
        <v>9</v>
      </c>
      <c r="D21" s="20" t="s">
        <v>9</v>
      </c>
      <c r="F21" s="22"/>
      <c r="G21" s="18"/>
      <c r="H21" s="22"/>
      <c r="I21" s="18"/>
      <c r="J21" s="22"/>
      <c r="K21" s="18"/>
      <c r="L21" s="22"/>
      <c r="M21" s="18"/>
      <c r="N21" s="22"/>
      <c r="O21" s="18"/>
      <c r="P21" s="22" t="s">
        <v>9</v>
      </c>
    </row>
    <row r="22" spans="1:18" x14ac:dyDescent="0.2">
      <c r="B22" s="10" t="s">
        <v>9</v>
      </c>
      <c r="D22" s="20" t="s">
        <v>9</v>
      </c>
      <c r="F22" s="22"/>
      <c r="G22" s="18"/>
      <c r="H22" s="22"/>
      <c r="I22" s="18"/>
      <c r="J22" s="22"/>
      <c r="K22" s="18"/>
      <c r="L22" s="22"/>
      <c r="M22" s="18"/>
      <c r="N22" s="22"/>
      <c r="O22" s="18"/>
      <c r="P22" s="22" t="s">
        <v>9</v>
      </c>
    </row>
    <row r="23" spans="1:18" x14ac:dyDescent="0.2">
      <c r="B23" s="10" t="s">
        <v>9</v>
      </c>
      <c r="D23" s="20" t="s">
        <v>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8" x14ac:dyDescent="0.2">
      <c r="B24" s="10" t="s">
        <v>9</v>
      </c>
      <c r="D24" s="20" t="s">
        <v>9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8" x14ac:dyDescent="0.2"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 t="s">
        <v>9</v>
      </c>
    </row>
    <row r="26" spans="1:18" x14ac:dyDescent="0.2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8" x14ac:dyDescent="0.2"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8" x14ac:dyDescent="0.2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8" ht="12.75" customHeight="1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1:18" ht="12.75" customHeight="1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1:18" ht="12.75" customHeight="1" x14ac:dyDescent="0.2"/>
    <row r="32" spans="1:18" ht="12.75" customHeight="1" x14ac:dyDescent="0.2">
      <c r="A32" s="108" t="str">
        <f>'WP D , pg 1'!A5:H5</f>
        <v>Pro-Forma Adjustment - Integrity Management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1:20" x14ac:dyDescent="0.2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T33" s="12" t="s">
        <v>53</v>
      </c>
    </row>
    <row r="34" spans="1:20" x14ac:dyDescent="0.2"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T34" s="12" t="s">
        <v>54</v>
      </c>
    </row>
    <row r="35" spans="1:20" ht="12" thickBot="1" x14ac:dyDescent="0.25">
      <c r="A35" s="89" t="s">
        <v>1</v>
      </c>
      <c r="F35" s="29" t="s">
        <v>55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2" t="s">
        <v>56</v>
      </c>
      <c r="T35" s="12" t="s">
        <v>57</v>
      </c>
    </row>
    <row r="36" spans="1:20" ht="12" thickBot="1" x14ac:dyDescent="0.25">
      <c r="A36" s="90" t="s">
        <v>183</v>
      </c>
      <c r="B36" s="13" t="s">
        <v>33</v>
      </c>
      <c r="D36" s="13" t="s">
        <v>34</v>
      </c>
      <c r="F36" s="23" t="s">
        <v>28</v>
      </c>
      <c r="H36" s="23" t="s">
        <v>29</v>
      </c>
      <c r="J36" s="23" t="s">
        <v>30</v>
      </c>
      <c r="L36" s="23" t="s">
        <v>31</v>
      </c>
      <c r="N36" s="23" t="s">
        <v>32</v>
      </c>
      <c r="P36" s="23" t="s">
        <v>40</v>
      </c>
      <c r="R36" s="13" t="s">
        <v>58</v>
      </c>
      <c r="T36" s="13" t="s">
        <v>59</v>
      </c>
    </row>
    <row r="37" spans="1:20" x14ac:dyDescent="0.2">
      <c r="B37" s="12" t="s">
        <v>5</v>
      </c>
      <c r="C37" s="12"/>
      <c r="D37" s="12" t="s">
        <v>6</v>
      </c>
      <c r="F37" s="31" t="s">
        <v>7</v>
      </c>
      <c r="H37" s="31" t="s">
        <v>41</v>
      </c>
      <c r="J37" s="31" t="s">
        <v>42</v>
      </c>
      <c r="L37" s="31" t="s">
        <v>43</v>
      </c>
      <c r="N37" s="31" t="s">
        <v>44</v>
      </c>
      <c r="P37" s="12" t="s">
        <v>45</v>
      </c>
      <c r="R37" s="12" t="s">
        <v>60</v>
      </c>
      <c r="T37" s="12" t="s">
        <v>61</v>
      </c>
    </row>
    <row r="38" spans="1:20" x14ac:dyDescent="0.2">
      <c r="B38" s="12"/>
      <c r="D38" s="12"/>
      <c r="F38" s="12"/>
      <c r="H38" s="12"/>
      <c r="J38" s="12"/>
      <c r="L38" s="12"/>
      <c r="N38" s="12"/>
      <c r="P38" s="12"/>
      <c r="R38" s="12"/>
    </row>
    <row r="39" spans="1:20" x14ac:dyDescent="0.2">
      <c r="A39" s="20">
        <f>+A17+1</f>
        <v>7</v>
      </c>
      <c r="B39" s="15" t="str">
        <f t="shared" ref="B39:B44" si="2">B12</f>
        <v>G9BDD: SFS: Canton Southeast Rebuild</v>
      </c>
      <c r="C39" s="15"/>
      <c r="D39" s="24">
        <f t="shared" ref="D39:D44" si="3">D12</f>
        <v>2022</v>
      </c>
      <c r="F39" s="25">
        <v>0</v>
      </c>
      <c r="G39" s="18"/>
      <c r="H39" s="25">
        <v>0</v>
      </c>
      <c r="I39" s="18"/>
      <c r="J39" s="25">
        <v>0</v>
      </c>
      <c r="K39" s="18"/>
      <c r="L39" s="25">
        <f>'G9BDD Acct1'!I110</f>
        <v>1649.05</v>
      </c>
      <c r="M39" s="18"/>
      <c r="N39" s="25">
        <v>0</v>
      </c>
      <c r="O39" s="18"/>
      <c r="P39" s="25">
        <f>SUM(F39:N39)</f>
        <v>1649.05</v>
      </c>
      <c r="R39" s="25">
        <f>'G9BDD Acct1'!I67</f>
        <v>3044.3999999999996</v>
      </c>
      <c r="T39" s="87">
        <f>+'G9BDD Acct1'!M110</f>
        <v>242.39</v>
      </c>
    </row>
    <row r="40" spans="1:20" x14ac:dyDescent="0.2">
      <c r="A40" s="20">
        <f>A39+1</f>
        <v>8</v>
      </c>
      <c r="B40" s="15" t="str">
        <f t="shared" si="2"/>
        <v>G9AYR: SFS: Philips Ave Reconstructio</v>
      </c>
      <c r="C40" s="15"/>
      <c r="D40" s="24">
        <f t="shared" si="3"/>
        <v>2022</v>
      </c>
      <c r="F40" s="22">
        <v>0</v>
      </c>
      <c r="G40" s="18"/>
      <c r="H40" s="22">
        <v>0</v>
      </c>
      <c r="I40" s="18"/>
      <c r="J40" s="22">
        <v>0</v>
      </c>
      <c r="K40" s="18"/>
      <c r="L40" s="22">
        <f>'G9AYR Acct1'!I110</f>
        <v>1084.53</v>
      </c>
      <c r="M40" s="18"/>
      <c r="N40" s="22">
        <v>0</v>
      </c>
      <c r="O40" s="18"/>
      <c r="P40" s="22">
        <f t="shared" ref="P40:P44" si="4">SUM(F40:N40)</f>
        <v>1084.53</v>
      </c>
      <c r="R40" s="22">
        <f>'G9AYR Acct1'!I67</f>
        <v>2002.1999999999996</v>
      </c>
      <c r="T40" s="22">
        <f>+'G9AYR Acct1'!M110</f>
        <v>159.44999999999999</v>
      </c>
    </row>
    <row r="41" spans="1:20" x14ac:dyDescent="0.2">
      <c r="A41" s="20">
        <f t="shared" ref="A41" si="5">A40+1</f>
        <v>9</v>
      </c>
      <c r="B41" s="15" t="str">
        <f t="shared" si="2"/>
        <v>G9BCU: YAN: DRS 026 Rebuild</v>
      </c>
      <c r="C41" s="15"/>
      <c r="D41" s="24">
        <f t="shared" si="3"/>
        <v>2022</v>
      </c>
      <c r="F41" s="22">
        <v>0</v>
      </c>
      <c r="G41" s="18"/>
      <c r="H41" s="22">
        <v>0</v>
      </c>
      <c r="I41" s="18"/>
      <c r="J41" s="22">
        <v>0</v>
      </c>
      <c r="K41" s="18"/>
      <c r="L41" s="22">
        <f>'G9BCU Acct1'!I110</f>
        <v>1385.87</v>
      </c>
      <c r="M41" s="18"/>
      <c r="N41" s="22">
        <v>0</v>
      </c>
      <c r="O41" s="18"/>
      <c r="P41" s="22">
        <f t="shared" ref="P41:P42" si="6">SUM(F41:N41)</f>
        <v>1385.87</v>
      </c>
      <c r="R41" s="22">
        <f>'G9BCU Acct1'!I67</f>
        <v>2558.52</v>
      </c>
      <c r="T41" s="22">
        <f>+'G9BCU Acct1'!M110</f>
        <v>100.37</v>
      </c>
    </row>
    <row r="42" spans="1:20" x14ac:dyDescent="0.2">
      <c r="A42" s="20">
        <f t="shared" ref="A42:A44" si="7">A41+1</f>
        <v>10</v>
      </c>
      <c r="B42" s="15" t="str">
        <f t="shared" si="2"/>
        <v>G9BDE: SFS: West Sioux Rebuild Y1</v>
      </c>
      <c r="C42" s="15"/>
      <c r="D42" s="24">
        <f t="shared" si="3"/>
        <v>2022</v>
      </c>
      <c r="F42" s="22">
        <v>0</v>
      </c>
      <c r="G42" s="18"/>
      <c r="H42" s="22">
        <v>0</v>
      </c>
      <c r="I42" s="18"/>
      <c r="J42" s="22">
        <v>0</v>
      </c>
      <c r="K42" s="18"/>
      <c r="L42" s="22">
        <f>'G9BDE Acct1'!I110+'G9BDE Acct2'!I110</f>
        <v>12713.810000000001</v>
      </c>
      <c r="M42" s="18"/>
      <c r="N42" s="22">
        <v>0</v>
      </c>
      <c r="O42" s="18"/>
      <c r="P42" s="22">
        <f t="shared" si="6"/>
        <v>12713.810000000001</v>
      </c>
      <c r="R42" s="22">
        <f>'G9BDE Acct1'!I67+'G9BDE Acct2'!I67</f>
        <v>23471.639999999996</v>
      </c>
      <c r="T42" s="22">
        <f>+'G9BDE Acct1'!M110+'G9BDE Acct2'!M110</f>
        <v>1868.96</v>
      </c>
    </row>
    <row r="43" spans="1:20" x14ac:dyDescent="0.2">
      <c r="A43" s="20">
        <f t="shared" si="7"/>
        <v>11</v>
      </c>
      <c r="B43" s="15" t="str">
        <f t="shared" si="2"/>
        <v>G9BDS: SD 2023 Reg Station Rebuilds</v>
      </c>
      <c r="C43" s="15"/>
      <c r="D43" s="24">
        <f t="shared" si="3"/>
        <v>2023</v>
      </c>
      <c r="F43" s="22">
        <v>0</v>
      </c>
      <c r="G43" s="18"/>
      <c r="H43" s="22">
        <v>0</v>
      </c>
      <c r="I43" s="18"/>
      <c r="J43" s="22">
        <v>0</v>
      </c>
      <c r="K43" s="18"/>
      <c r="L43" s="22">
        <f>'G9BDS Acct1'!I110</f>
        <v>2727.21</v>
      </c>
      <c r="M43" s="18"/>
      <c r="N43" s="22">
        <v>0</v>
      </c>
      <c r="O43" s="18"/>
      <c r="P43" s="22">
        <f t="shared" si="4"/>
        <v>2727.21</v>
      </c>
      <c r="R43" s="22">
        <f>'G9BDS Acct1'!I67</f>
        <v>5034.84</v>
      </c>
      <c r="T43" s="22">
        <f>+'G9BDS Acct1'!M110</f>
        <v>197.49</v>
      </c>
    </row>
    <row r="44" spans="1:20" x14ac:dyDescent="0.2">
      <c r="A44" s="20">
        <f t="shared" si="7"/>
        <v>12</v>
      </c>
      <c r="B44" s="15" t="str">
        <f t="shared" si="2"/>
        <v>G9BDF: SFS: West Sioux Rebuild Y2</v>
      </c>
      <c r="C44" s="15"/>
      <c r="D44" s="24">
        <f t="shared" si="3"/>
        <v>2023</v>
      </c>
      <c r="F44" s="22">
        <v>0</v>
      </c>
      <c r="G44" s="18"/>
      <c r="H44" s="22">
        <v>0</v>
      </c>
      <c r="I44" s="18"/>
      <c r="J44" s="22">
        <v>0</v>
      </c>
      <c r="K44" s="18"/>
      <c r="L44" s="22">
        <f>'G9BDF Acct1'!I110+'G9BDF Acct2'!I110</f>
        <v>11947.46</v>
      </c>
      <c r="M44" s="18"/>
      <c r="N44" s="22">
        <v>0</v>
      </c>
      <c r="O44" s="18"/>
      <c r="P44" s="22">
        <f t="shared" si="4"/>
        <v>11947.46</v>
      </c>
      <c r="R44" s="22">
        <f>'G9BDF Acct1'!I67+'G9BDF Acct2'!I67</f>
        <v>22056.839999999997</v>
      </c>
      <c r="T44" s="22">
        <f>+'G9BDF Acct1'!M110+'G9BDF Acct2'!M110</f>
        <v>1756.31</v>
      </c>
    </row>
    <row r="45" spans="1:20" x14ac:dyDescent="0.2">
      <c r="A45" s="20"/>
      <c r="B45" s="15"/>
      <c r="C45" s="15"/>
      <c r="D45" s="24"/>
      <c r="F45" s="25"/>
      <c r="G45" s="18"/>
      <c r="H45" s="25"/>
      <c r="I45" s="18"/>
      <c r="J45" s="25"/>
      <c r="K45" s="18"/>
      <c r="L45" s="25"/>
      <c r="M45" s="18"/>
      <c r="N45" s="25"/>
      <c r="O45" s="18"/>
      <c r="P45" s="25"/>
      <c r="R45" s="25"/>
    </row>
    <row r="46" spans="1:20" ht="12" thickBot="1" x14ac:dyDescent="0.25">
      <c r="B46" s="26" t="str">
        <f t="shared" ref="B46:B51" si="8">B19</f>
        <v>TOTAL</v>
      </c>
      <c r="D46" s="16" t="str">
        <f>D19</f>
        <v xml:space="preserve"> </v>
      </c>
      <c r="F46" s="21">
        <f>SUM(F39:F45)</f>
        <v>0</v>
      </c>
      <c r="G46" s="18"/>
      <c r="H46" s="21">
        <f>SUM(H39:H45)</f>
        <v>0</v>
      </c>
      <c r="I46" s="18"/>
      <c r="J46" s="21">
        <f>SUM(J39:J45)</f>
        <v>0</v>
      </c>
      <c r="K46" s="18"/>
      <c r="L46" s="21">
        <f>SUM(L39:L45)</f>
        <v>31507.93</v>
      </c>
      <c r="M46" s="18"/>
      <c r="N46" s="21">
        <f>SUM(N39:N45)</f>
        <v>0</v>
      </c>
      <c r="O46" s="18"/>
      <c r="P46" s="21">
        <f>SUM(P39:P45)</f>
        <v>31507.93</v>
      </c>
      <c r="Q46" s="27"/>
      <c r="R46" s="21">
        <f>SUM(R39:R45)</f>
        <v>58168.439999999988</v>
      </c>
      <c r="T46" s="21">
        <f>SUM(T39:T45)</f>
        <v>4324.9699999999993</v>
      </c>
    </row>
    <row r="47" spans="1:20" ht="12" thickTop="1" x14ac:dyDescent="0.2">
      <c r="B47" s="15" t="str">
        <f t="shared" si="8"/>
        <v xml:space="preserve"> </v>
      </c>
      <c r="D47" s="16" t="str">
        <f>D20</f>
        <v xml:space="preserve"> 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 t="s">
        <v>9</v>
      </c>
      <c r="Q47" s="27"/>
      <c r="R47" s="27"/>
    </row>
    <row r="48" spans="1:20" x14ac:dyDescent="0.2">
      <c r="B48" s="15" t="str">
        <f t="shared" si="8"/>
        <v xml:space="preserve"> </v>
      </c>
      <c r="D48" s="16" t="str">
        <f>D21</f>
        <v xml:space="preserve"> 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7" t="s">
        <v>9</v>
      </c>
      <c r="R48" s="18"/>
    </row>
    <row r="49" spans="2:18" x14ac:dyDescent="0.2">
      <c r="B49" s="15" t="str">
        <f t="shared" si="8"/>
        <v xml:space="preserve"> 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7" t="s">
        <v>9</v>
      </c>
      <c r="R49" s="18"/>
    </row>
    <row r="50" spans="2:18" x14ac:dyDescent="0.2">
      <c r="B50" s="15" t="str">
        <f t="shared" si="8"/>
        <v xml:space="preserve"> 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7" t="s">
        <v>9</v>
      </c>
      <c r="R50" s="18"/>
    </row>
    <row r="51" spans="2:18" x14ac:dyDescent="0.2">
      <c r="B51" s="15" t="str">
        <f t="shared" si="8"/>
        <v xml:space="preserve"> 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7" t="s">
        <v>9</v>
      </c>
      <c r="R51" s="18"/>
    </row>
    <row r="52" spans="2:18" x14ac:dyDescent="0.2"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R52" s="18"/>
    </row>
    <row r="53" spans="2:18" x14ac:dyDescent="0.2"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R53" s="18"/>
    </row>
    <row r="54" spans="2:18" x14ac:dyDescent="0.2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R54" s="18"/>
    </row>
    <row r="55" spans="2:18" x14ac:dyDescent="0.2"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R55" s="18"/>
    </row>
    <row r="56" spans="2:18" x14ac:dyDescent="0.2"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R56" s="18"/>
    </row>
    <row r="57" spans="2:18" x14ac:dyDescent="0.2"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R57" s="18"/>
    </row>
    <row r="60" spans="2:18" x14ac:dyDescent="0.2">
      <c r="R60" s="18"/>
    </row>
  </sheetData>
  <mergeCells count="7">
    <mergeCell ref="A30:R30"/>
    <mergeCell ref="A32:R32"/>
    <mergeCell ref="A1:R1"/>
    <mergeCell ref="A2:R2"/>
    <mergeCell ref="A5:R5"/>
    <mergeCell ref="A4:R4"/>
    <mergeCell ref="A29:R29"/>
  </mergeCells>
  <pageMargins left="0.75" right="0.75" top="1" bottom="1" header="0.5" footer="0.5"/>
  <pageSetup scale="65" fitToHeight="2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28" min="1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4" x14ac:dyDescent="0.2">
      <c r="A5" s="111" t="str">
        <f>'WP D , pg 1'!A5:H5</f>
        <v>Pro-Forma Adjustment - Integrity Management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160</v>
      </c>
      <c r="E6" s="34"/>
      <c r="F6" s="109" t="s">
        <v>161</v>
      </c>
      <c r="G6" s="110"/>
      <c r="H6" s="110"/>
      <c r="I6" s="110"/>
      <c r="J6" s="110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32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137</v>
      </c>
      <c r="H13" s="5">
        <v>1</v>
      </c>
      <c r="J13" s="42">
        <f>1.45/52</f>
        <v>2.7884615384615383E-2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77</v>
      </c>
      <c r="H14" s="5">
        <v>0</v>
      </c>
      <c r="J14" s="42">
        <v>0</v>
      </c>
    </row>
    <row r="15" spans="1:14" x14ac:dyDescent="0.2">
      <c r="A15" s="36">
        <v>3</v>
      </c>
      <c r="B15" s="40">
        <f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ref="B16:B25" si="0">B15+30</f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45139</v>
      </c>
    </row>
    <row r="28" spans="1:10" x14ac:dyDescent="0.2">
      <c r="A28" s="36">
        <v>16</v>
      </c>
      <c r="B28" s="34" t="s">
        <v>79</v>
      </c>
      <c r="D28" s="103">
        <v>180558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162</v>
      </c>
    </row>
    <row r="33" spans="2:2" x14ac:dyDescent="0.2">
      <c r="B33" s="44" t="s">
        <v>163</v>
      </c>
    </row>
    <row r="34" spans="2:2" x14ac:dyDescent="0.2">
      <c r="B34" s="44" t="s">
        <v>164</v>
      </c>
    </row>
    <row r="35" spans="2:2" x14ac:dyDescent="0.2">
      <c r="B35" s="44" t="s">
        <v>165</v>
      </c>
    </row>
    <row r="36" spans="2:2" x14ac:dyDescent="0.2">
      <c r="B36" s="44" t="s">
        <v>166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5">
    <mergeCell ref="F6:J6"/>
    <mergeCell ref="A1:J1"/>
    <mergeCell ref="A2:J2"/>
    <mergeCell ref="A5:J5"/>
    <mergeCell ref="A4:J4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 transitionEntry="1"/>
  <dimension ref="A1:J433"/>
  <sheetViews>
    <sheetView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A4" s="112"/>
      <c r="B4" s="112"/>
      <c r="C4" s="112"/>
      <c r="D4" s="112"/>
      <c r="E4" s="112"/>
      <c r="F4" s="112"/>
      <c r="G4" s="112"/>
      <c r="H4" s="112"/>
      <c r="I4" s="112"/>
      <c r="J4" s="47"/>
    </row>
    <row r="5" spans="1:10" x14ac:dyDescent="0.2">
      <c r="A5" s="45" t="str">
        <f>'G9BDS Input'!A5:J5</f>
        <v>Pro-Forma Adjustment - Integrity Management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'G9BDS Input'!F6</f>
        <v>SD 2023 Reg Station Rebuilds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'G9BDS Input'!B13</f>
        <v>44180</v>
      </c>
      <c r="D15" s="55"/>
      <c r="E15" s="56">
        <f>'G9BDS Input'!D13*'G9BDS Input'!$D$7*'G9BDS Input'!$H$7</f>
        <v>0</v>
      </c>
      <c r="F15" s="57"/>
      <c r="G15" s="56">
        <f>'G9BDS Input'!D27*'G9BDS Input'!D6*'G9BDS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'G9BDS Input'!B14</f>
        <v>44211</v>
      </c>
      <c r="D16" s="55"/>
      <c r="E16" s="58">
        <f>'G9BDS Input'!D14*'G9BDS Input'!$D$7*'G9BDS Input'!$H$7</f>
        <v>0</v>
      </c>
      <c r="F16" s="57"/>
      <c r="G16" s="58">
        <f>'G9BDS Input'!D28*'G9BDS Input'!D7*'G9BDS Input'!H7</f>
        <v>180558</v>
      </c>
      <c r="H16" s="57"/>
      <c r="I16" s="58">
        <f t="shared" si="0"/>
        <v>180558</v>
      </c>
    </row>
    <row r="17" spans="1:10" x14ac:dyDescent="0.2">
      <c r="A17" s="48">
        <f t="shared" si="1"/>
        <v>3</v>
      </c>
      <c r="C17" s="55">
        <f>'G9BDS Input'!B15</f>
        <v>44241</v>
      </c>
      <c r="D17" s="55"/>
      <c r="E17" s="58">
        <f>'G9BDS Input'!D15*'G9BDS Input'!$D$7*'G9BDS Input'!$H$7</f>
        <v>0</v>
      </c>
      <c r="F17" s="57"/>
      <c r="G17" s="59">
        <f t="shared" ref="G17:G27" si="2">$G$16</f>
        <v>180558</v>
      </c>
      <c r="H17" s="57"/>
      <c r="I17" s="59">
        <f t="shared" si="0"/>
        <v>180558</v>
      </c>
      <c r="J17" s="57"/>
    </row>
    <row r="18" spans="1:10" x14ac:dyDescent="0.2">
      <c r="A18" s="48">
        <f t="shared" si="1"/>
        <v>4</v>
      </c>
      <c r="C18" s="55">
        <f>'G9BDS Input'!B16</f>
        <v>44271</v>
      </c>
      <c r="D18" s="55"/>
      <c r="E18" s="58">
        <f>'G9BDS Input'!D16*'G9BDS Input'!$D$7*'G9BDS Input'!$H$7</f>
        <v>0</v>
      </c>
      <c r="F18" s="57"/>
      <c r="G18" s="59">
        <f t="shared" si="2"/>
        <v>180558</v>
      </c>
      <c r="H18" s="57"/>
      <c r="I18" s="59">
        <f t="shared" si="0"/>
        <v>180558</v>
      </c>
      <c r="J18" s="57"/>
    </row>
    <row r="19" spans="1:10" x14ac:dyDescent="0.2">
      <c r="A19" s="48">
        <f t="shared" si="1"/>
        <v>5</v>
      </c>
      <c r="C19" s="55">
        <f>'G9BDS Input'!B17</f>
        <v>44301</v>
      </c>
      <c r="D19" s="55"/>
      <c r="E19" s="58">
        <f>'G9BDS Input'!D17*'G9BDS Input'!$D$7*'G9BDS Input'!$H$7</f>
        <v>0</v>
      </c>
      <c r="F19" s="57"/>
      <c r="G19" s="59">
        <f t="shared" si="2"/>
        <v>180558</v>
      </c>
      <c r="H19" s="57"/>
      <c r="I19" s="59">
        <f t="shared" si="0"/>
        <v>180558</v>
      </c>
      <c r="J19" s="57"/>
    </row>
    <row r="20" spans="1:10" x14ac:dyDescent="0.2">
      <c r="A20" s="48">
        <f t="shared" si="1"/>
        <v>6</v>
      </c>
      <c r="C20" s="55">
        <f>'G9BDS Input'!B18</f>
        <v>44331</v>
      </c>
      <c r="D20" s="55"/>
      <c r="E20" s="58">
        <f>'G9BDS Input'!D18*'G9BDS Input'!$D$7*'G9BDS Input'!$H$7</f>
        <v>0</v>
      </c>
      <c r="F20" s="57"/>
      <c r="G20" s="59">
        <f t="shared" si="2"/>
        <v>180558</v>
      </c>
      <c r="H20" s="57"/>
      <c r="I20" s="59">
        <f t="shared" si="0"/>
        <v>180558</v>
      </c>
      <c r="J20" s="57"/>
    </row>
    <row r="21" spans="1:10" x14ac:dyDescent="0.2">
      <c r="A21" s="48">
        <f t="shared" si="1"/>
        <v>7</v>
      </c>
      <c r="C21" s="55">
        <f>'G9BDS Input'!B19</f>
        <v>44361</v>
      </c>
      <c r="D21" s="55"/>
      <c r="E21" s="58">
        <f>'G9BDS Input'!D19*'G9BDS Input'!$D$7*'G9BDS Input'!$H$7</f>
        <v>0</v>
      </c>
      <c r="F21" s="57"/>
      <c r="G21" s="59">
        <f t="shared" si="2"/>
        <v>180558</v>
      </c>
      <c r="H21" s="57"/>
      <c r="I21" s="59">
        <f t="shared" si="0"/>
        <v>180558</v>
      </c>
      <c r="J21" s="57"/>
    </row>
    <row r="22" spans="1:10" x14ac:dyDescent="0.2">
      <c r="A22" s="48">
        <f t="shared" si="1"/>
        <v>8</v>
      </c>
      <c r="C22" s="55">
        <f>'G9BDS Input'!B20</f>
        <v>44391</v>
      </c>
      <c r="D22" s="55"/>
      <c r="E22" s="58">
        <f>'G9BDS Input'!D20*'G9BDS Input'!$D$7*'G9BDS Input'!$H$7</f>
        <v>0</v>
      </c>
      <c r="F22" s="57"/>
      <c r="G22" s="59">
        <f t="shared" si="2"/>
        <v>180558</v>
      </c>
      <c r="H22" s="57"/>
      <c r="I22" s="59">
        <f t="shared" si="0"/>
        <v>180558</v>
      </c>
      <c r="J22" s="57"/>
    </row>
    <row r="23" spans="1:10" x14ac:dyDescent="0.2">
      <c r="A23" s="48">
        <f t="shared" si="1"/>
        <v>9</v>
      </c>
      <c r="C23" s="55">
        <f>'G9BDS Input'!B21</f>
        <v>44421</v>
      </c>
      <c r="D23" s="55"/>
      <c r="E23" s="58">
        <f>'G9BDS Input'!D21*'G9BDS Input'!$D$7*'G9BDS Input'!$H$7</f>
        <v>0</v>
      </c>
      <c r="F23" s="57"/>
      <c r="G23" s="59">
        <f t="shared" si="2"/>
        <v>180558</v>
      </c>
      <c r="H23" s="57"/>
      <c r="I23" s="59">
        <f t="shared" si="0"/>
        <v>180558</v>
      </c>
      <c r="J23" s="57"/>
    </row>
    <row r="24" spans="1:10" x14ac:dyDescent="0.2">
      <c r="A24" s="48">
        <f t="shared" si="1"/>
        <v>10</v>
      </c>
      <c r="C24" s="55">
        <f>'G9BDS Input'!B22</f>
        <v>44451</v>
      </c>
      <c r="D24" s="55"/>
      <c r="E24" s="58">
        <f>'G9BDS Input'!D22*'G9BDS Input'!$D$7*'G9BDS Input'!$H$7</f>
        <v>0</v>
      </c>
      <c r="F24" s="57"/>
      <c r="G24" s="59">
        <f t="shared" si="2"/>
        <v>180558</v>
      </c>
      <c r="H24" s="57"/>
      <c r="I24" s="59">
        <f t="shared" si="0"/>
        <v>180558</v>
      </c>
      <c r="J24" s="57"/>
    </row>
    <row r="25" spans="1:10" x14ac:dyDescent="0.2">
      <c r="A25" s="48">
        <f t="shared" si="1"/>
        <v>11</v>
      </c>
      <c r="C25" s="55">
        <f>'G9BDS Input'!B23</f>
        <v>44481</v>
      </c>
      <c r="D25" s="55"/>
      <c r="E25" s="58">
        <f>'G9BDS Input'!D23*'G9BDS Input'!$D$7*'G9BDS Input'!$H$7</f>
        <v>0</v>
      </c>
      <c r="F25" s="57"/>
      <c r="G25" s="59">
        <f t="shared" si="2"/>
        <v>180558</v>
      </c>
      <c r="H25" s="57"/>
      <c r="I25" s="59">
        <f t="shared" si="0"/>
        <v>180558</v>
      </c>
      <c r="J25" s="57"/>
    </row>
    <row r="26" spans="1:10" x14ac:dyDescent="0.2">
      <c r="A26" s="48">
        <f t="shared" si="1"/>
        <v>12</v>
      </c>
      <c r="C26" s="55">
        <f>'G9BDS Input'!B24</f>
        <v>44511</v>
      </c>
      <c r="D26" s="55"/>
      <c r="E26" s="58">
        <f>'G9BDS Input'!D24*'G9BDS Input'!$D$7*'G9BDS Input'!$H$7</f>
        <v>0</v>
      </c>
      <c r="F26" s="57"/>
      <c r="G26" s="59">
        <f t="shared" si="2"/>
        <v>180558</v>
      </c>
      <c r="H26" s="57"/>
      <c r="I26" s="59">
        <f t="shared" si="0"/>
        <v>180558</v>
      </c>
      <c r="J26" s="57"/>
    </row>
    <row r="27" spans="1:10" x14ac:dyDescent="0.2">
      <c r="A27" s="48">
        <f t="shared" si="1"/>
        <v>13</v>
      </c>
      <c r="C27" s="55">
        <f>'G9BDS Input'!B25</f>
        <v>44541</v>
      </c>
      <c r="D27" s="55"/>
      <c r="E27" s="60">
        <f>'G9BDS Input'!D25*'G9BDS Input'!$D$7*'G9BDS Input'!$H$7</f>
        <v>0</v>
      </c>
      <c r="F27" s="57"/>
      <c r="G27" s="61">
        <f t="shared" si="2"/>
        <v>180558</v>
      </c>
      <c r="H27" s="57"/>
      <c r="I27" s="61">
        <f t="shared" si="0"/>
        <v>180558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2166696</v>
      </c>
      <c r="H28" s="64"/>
      <c r="I28" s="63">
        <f>SUM(I16:I27)</f>
        <v>2166696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180558</v>
      </c>
      <c r="H30" s="64"/>
      <c r="I30" s="66">
        <f>ROUND(+I28/12,2)</f>
        <v>180558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180558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20.710937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0.85546875" style="48" customWidth="1"/>
    <col min="11" max="11" width="11" style="48" customWidth="1"/>
    <col min="12" max="12" width="0.8554687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'G9BDS Input'!A5:J5</f>
        <v>Pro-Forma Adjustment - Integrity Management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'G9BDS Input'!F6</f>
        <v>SD 2023 Reg Station Rebuilds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'G9BDS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"&amp;'G9BDS Input'!F13</f>
        <v>Acct 2.378.00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'G9BDS TotalWO'!C15</f>
        <v>44180</v>
      </c>
      <c r="D15" s="55"/>
      <c r="E15" s="56">
        <f>'G9BDS TotalWO'!E15*'G9BDS Input'!$H$13</f>
        <v>0</v>
      </c>
      <c r="F15" s="68"/>
      <c r="G15" s="56">
        <f>'G9BDS TotalWO'!G15*'G9BDS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'G9BDS TotalWO'!C16</f>
        <v>44211</v>
      </c>
      <c r="D16" s="55"/>
      <c r="E16" s="58">
        <f>'G9BDS TotalWO'!E16*'G9BDS Input'!$H$13</f>
        <v>0</v>
      </c>
      <c r="F16" s="68"/>
      <c r="G16" s="58">
        <f>'G9BDS TotalWO'!G16*'G9BDS Input'!$H$13</f>
        <v>180558</v>
      </c>
      <c r="H16" s="59"/>
      <c r="I16" s="58">
        <f t="shared" si="0"/>
        <v>180558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'G9BDS TotalWO'!E17*'G9BDS Input'!$H$13</f>
        <v>0</v>
      </c>
      <c r="F17" s="68"/>
      <c r="G17" s="68">
        <f>'G9BDS TotalWO'!G17*'G9BDS Input'!$H$13</f>
        <v>180558</v>
      </c>
      <c r="H17" s="59"/>
      <c r="I17" s="59">
        <f t="shared" si="0"/>
        <v>180558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'G9BDS TotalWO'!E18*'G9BDS Input'!$H$13</f>
        <v>0</v>
      </c>
      <c r="F18" s="68"/>
      <c r="G18" s="68">
        <f>'G9BDS TotalWO'!G18*'G9BDS Input'!$H$13</f>
        <v>180558</v>
      </c>
      <c r="H18" s="59"/>
      <c r="I18" s="59">
        <f t="shared" si="0"/>
        <v>180558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'G9BDS TotalWO'!E19*'G9BDS Input'!$H$13</f>
        <v>0</v>
      </c>
      <c r="F19" s="68"/>
      <c r="G19" s="68">
        <f>'G9BDS TotalWO'!G19*'G9BDS Input'!$H$13</f>
        <v>180558</v>
      </c>
      <c r="H19" s="59"/>
      <c r="I19" s="59">
        <f t="shared" si="0"/>
        <v>180558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'G9BDS TotalWO'!E20*'G9BDS Input'!$H$13</f>
        <v>0</v>
      </c>
      <c r="F20" s="68"/>
      <c r="G20" s="68">
        <f>'G9BDS TotalWO'!G20*'G9BDS Input'!$H$13</f>
        <v>180558</v>
      </c>
      <c r="H20" s="59"/>
      <c r="I20" s="59">
        <f t="shared" si="0"/>
        <v>180558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'G9BDS TotalWO'!E21*'G9BDS Input'!$H$13</f>
        <v>0</v>
      </c>
      <c r="F21" s="68"/>
      <c r="G21" s="68">
        <f>'G9BDS TotalWO'!G21*'G9BDS Input'!$H$13</f>
        <v>180558</v>
      </c>
      <c r="H21" s="59"/>
      <c r="I21" s="59">
        <f t="shared" si="0"/>
        <v>180558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'G9BDS TotalWO'!E22*'G9BDS Input'!$H$13</f>
        <v>0</v>
      </c>
      <c r="F22" s="68"/>
      <c r="G22" s="68">
        <f>'G9BDS TotalWO'!G22*'G9BDS Input'!$H$13</f>
        <v>180558</v>
      </c>
      <c r="H22" s="59"/>
      <c r="I22" s="59">
        <f t="shared" si="0"/>
        <v>180558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'G9BDS TotalWO'!E23*'G9BDS Input'!$H$13</f>
        <v>0</v>
      </c>
      <c r="F23" s="68"/>
      <c r="G23" s="68">
        <f>'G9BDS TotalWO'!G23*'G9BDS Input'!$H$13</f>
        <v>180558</v>
      </c>
      <c r="H23" s="59"/>
      <c r="I23" s="59">
        <f t="shared" si="0"/>
        <v>180558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'G9BDS TotalWO'!E24*'G9BDS Input'!$H$13</f>
        <v>0</v>
      </c>
      <c r="F24" s="68"/>
      <c r="G24" s="68">
        <f>'G9BDS TotalWO'!G24*'G9BDS Input'!$H$13</f>
        <v>180558</v>
      </c>
      <c r="H24" s="59"/>
      <c r="I24" s="59">
        <f t="shared" si="0"/>
        <v>180558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'G9BDS TotalWO'!E25*'G9BDS Input'!$H$13</f>
        <v>0</v>
      </c>
      <c r="F25" s="68"/>
      <c r="G25" s="68">
        <f>'G9BDS TotalWO'!G25*'G9BDS Input'!$H$13</f>
        <v>180558</v>
      </c>
      <c r="H25" s="59"/>
      <c r="I25" s="59">
        <f t="shared" si="0"/>
        <v>180558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'G9BDS TotalWO'!E26*'G9BDS Input'!$H$13</f>
        <v>0</v>
      </c>
      <c r="F26" s="68"/>
      <c r="G26" s="68">
        <f>'G9BDS TotalWO'!G26*'G9BDS Input'!$H$13</f>
        <v>180558</v>
      </c>
      <c r="H26" s="59"/>
      <c r="I26" s="59">
        <f t="shared" si="0"/>
        <v>180558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'G9BDS TotalWO'!E27*'G9BDS Input'!$H$13</f>
        <v>0</v>
      </c>
      <c r="F27" s="68"/>
      <c r="G27" s="71">
        <f>'G9BDS TotalWO'!G27*'G9BDS Input'!$H$13</f>
        <v>180558</v>
      </c>
      <c r="H27" s="59"/>
      <c r="I27" s="61">
        <f t="shared" si="0"/>
        <v>180558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2166696</v>
      </c>
      <c r="H28" s="64"/>
      <c r="I28" s="63">
        <f>SUM(I16:I27)</f>
        <v>2166696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180558</v>
      </c>
      <c r="H30" s="64"/>
      <c r="I30" s="66">
        <f>ROUND(+I28/12,2)</f>
        <v>180558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180558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99</v>
      </c>
    </row>
    <row r="36" spans="1:13" x14ac:dyDescent="0.2">
      <c r="A36" s="48">
        <f t="shared" si="1"/>
        <v>22</v>
      </c>
      <c r="I36" s="62" t="s">
        <v>167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Integrity Management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SD 2023 Reg Station Rebuilds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2.378.00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419.57</v>
      </c>
      <c r="H53" s="64"/>
      <c r="I53" s="63">
        <f t="shared" ref="I53:I64" si="4">G53-E53</f>
        <v>419.57</v>
      </c>
      <c r="K53" s="58"/>
      <c r="M53" s="63">
        <f>+ROUND(I53/I$67*M$67,2)</f>
        <v>30.38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419.57</v>
      </c>
      <c r="H54" s="57"/>
      <c r="I54" s="59">
        <f t="shared" si="4"/>
        <v>419.57</v>
      </c>
      <c r="M54" s="59">
        <f t="shared" ref="M54:M64" si="8">+ROUND(I54/I$67*M$67,2)</f>
        <v>30.38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419.57</v>
      </c>
      <c r="H55" s="57"/>
      <c r="I55" s="59">
        <f t="shared" si="4"/>
        <v>419.57</v>
      </c>
      <c r="M55" s="59">
        <f t="shared" si="8"/>
        <v>30.38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419.57</v>
      </c>
      <c r="H56" s="57"/>
      <c r="I56" s="59">
        <f t="shared" si="4"/>
        <v>419.57</v>
      </c>
      <c r="M56" s="59">
        <f t="shared" si="8"/>
        <v>30.38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419.57</v>
      </c>
      <c r="H57" s="57"/>
      <c r="I57" s="59">
        <f t="shared" si="4"/>
        <v>419.57</v>
      </c>
      <c r="M57" s="59">
        <f t="shared" si="8"/>
        <v>30.38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419.57</v>
      </c>
      <c r="H58" s="57"/>
      <c r="I58" s="59">
        <f t="shared" si="4"/>
        <v>419.57</v>
      </c>
      <c r="M58" s="59">
        <f>+ROUND(I58/I$67*M$67,2)+0.01</f>
        <v>30.39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419.57</v>
      </c>
      <c r="H59" s="57"/>
      <c r="I59" s="59">
        <f t="shared" si="4"/>
        <v>419.57</v>
      </c>
      <c r="M59" s="59">
        <f>+ROUND(I59/I$67*M$67,2)+0.01</f>
        <v>30.39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419.57</v>
      </c>
      <c r="H60" s="57"/>
      <c r="I60" s="59">
        <f t="shared" si="4"/>
        <v>419.57</v>
      </c>
      <c r="M60" s="59">
        <f>+ROUND(I60/I$67*M$67,2)+0.01</f>
        <v>30.39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419.57</v>
      </c>
      <c r="H61" s="57"/>
      <c r="I61" s="59">
        <f t="shared" si="4"/>
        <v>419.57</v>
      </c>
      <c r="M61" s="59">
        <f t="shared" si="8"/>
        <v>30.38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419.57</v>
      </c>
      <c r="H62" s="57"/>
      <c r="I62" s="59">
        <f t="shared" si="4"/>
        <v>419.57</v>
      </c>
      <c r="M62" s="59">
        <f t="shared" si="8"/>
        <v>30.38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419.57</v>
      </c>
      <c r="H63" s="57"/>
      <c r="I63" s="59">
        <f t="shared" si="4"/>
        <v>419.57</v>
      </c>
      <c r="M63" s="59">
        <f t="shared" si="8"/>
        <v>30.38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419.57</v>
      </c>
      <c r="H64" s="57"/>
      <c r="I64" s="61">
        <f t="shared" si="4"/>
        <v>419.57</v>
      </c>
      <c r="M64" s="61">
        <f t="shared" si="8"/>
        <v>30.38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5034.84</v>
      </c>
      <c r="H65" s="64"/>
      <c r="I65" s="63">
        <f>SUM(I53:I64)</f>
        <v>5034.84</v>
      </c>
      <c r="M65" s="63">
        <f>SUM(M53:M64)</f>
        <v>364.59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5034.84</v>
      </c>
      <c r="K67" s="66">
        <f>ROUND(G16*K73,2)</f>
        <v>6770.93</v>
      </c>
      <c r="M67" s="66">
        <f>ROUND(+(K67-I67)*M73,2)</f>
        <v>364.58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99</v>
      </c>
    </row>
    <row r="69" spans="1:13" x14ac:dyDescent="0.2">
      <c r="A69" s="48">
        <f t="shared" si="5"/>
        <v>17</v>
      </c>
      <c r="I69" s="62" t="s">
        <v>168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2.378.00</v>
      </c>
      <c r="D73" s="75"/>
      <c r="E73" s="76">
        <f>'G9BDS Input'!J13</f>
        <v>2.7884615384615383E-2</v>
      </c>
      <c r="F73" s="76"/>
      <c r="G73" s="76">
        <f>E73/12</f>
        <v>2.3237179487179487E-3</v>
      </c>
      <c r="K73" s="85">
        <f>+'G9BDS Input'!L13</f>
        <v>3.7499999999999999E-2</v>
      </c>
      <c r="M73" s="86">
        <f>+'G9BDS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Integrity Management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SD 2023 Reg Station Rebuilds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2.378.00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419.57</v>
      </c>
      <c r="H93" s="57"/>
      <c r="I93" s="58">
        <f t="shared" si="9"/>
        <v>419.57</v>
      </c>
      <c r="M93" s="58">
        <f>+M53</f>
        <v>30.38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839.14</v>
      </c>
      <c r="H94" s="57"/>
      <c r="I94" s="59">
        <f t="shared" si="9"/>
        <v>839.14</v>
      </c>
      <c r="M94" s="59">
        <f>+M93+M54</f>
        <v>60.76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1258.71</v>
      </c>
      <c r="H95" s="57"/>
      <c r="I95" s="59">
        <f t="shared" si="9"/>
        <v>1258.71</v>
      </c>
      <c r="M95" s="59">
        <f t="shared" ref="M95:M104" si="14">+M94+M55</f>
        <v>91.14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1678.28</v>
      </c>
      <c r="H96" s="57"/>
      <c r="I96" s="59">
        <f t="shared" si="9"/>
        <v>1678.28</v>
      </c>
      <c r="M96" s="59">
        <f t="shared" si="14"/>
        <v>121.52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2097.85</v>
      </c>
      <c r="H97" s="57"/>
      <c r="I97" s="59">
        <f t="shared" si="9"/>
        <v>2097.85</v>
      </c>
      <c r="M97" s="59">
        <f t="shared" si="14"/>
        <v>151.9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2517.42</v>
      </c>
      <c r="H98" s="57"/>
      <c r="I98" s="59">
        <f t="shared" si="9"/>
        <v>2517.42</v>
      </c>
      <c r="M98" s="59">
        <f t="shared" si="14"/>
        <v>182.29000000000002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2936.9900000000002</v>
      </c>
      <c r="H99" s="57"/>
      <c r="I99" s="59">
        <f t="shared" si="9"/>
        <v>2936.9900000000002</v>
      </c>
      <c r="M99" s="59">
        <f t="shared" si="14"/>
        <v>212.68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3356.5600000000004</v>
      </c>
      <c r="H100" s="57"/>
      <c r="I100" s="59">
        <f t="shared" si="9"/>
        <v>3356.5600000000004</v>
      </c>
      <c r="M100" s="59">
        <f t="shared" si="14"/>
        <v>243.07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3776.1300000000006</v>
      </c>
      <c r="H101" s="57"/>
      <c r="I101" s="59">
        <f t="shared" si="9"/>
        <v>3776.1300000000006</v>
      </c>
      <c r="M101" s="59">
        <f t="shared" si="14"/>
        <v>273.45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4195.7000000000007</v>
      </c>
      <c r="H102" s="57"/>
      <c r="I102" s="59">
        <f t="shared" si="9"/>
        <v>4195.7000000000007</v>
      </c>
      <c r="M102" s="59">
        <f t="shared" si="14"/>
        <v>303.83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4615.2700000000004</v>
      </c>
      <c r="H103" s="57"/>
      <c r="I103" s="59">
        <f t="shared" si="9"/>
        <v>4615.2700000000004</v>
      </c>
      <c r="M103" s="59">
        <f t="shared" si="14"/>
        <v>334.21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5034.84</v>
      </c>
      <c r="H104" s="57"/>
      <c r="I104" s="61">
        <f t="shared" si="9"/>
        <v>5034.84</v>
      </c>
      <c r="M104" s="61">
        <f t="shared" si="14"/>
        <v>364.59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32726.460000000003</v>
      </c>
      <c r="H105" s="64"/>
      <c r="I105" s="63">
        <f>SUM(I93:I104)</f>
        <v>32726.460000000003</v>
      </c>
      <c r="M105" s="63">
        <f>SUM(M93:M104)</f>
        <v>2369.8200000000002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2727.21</v>
      </c>
      <c r="H107" s="64"/>
      <c r="I107" s="66">
        <f>ROUND(+I105/12,2)</f>
        <v>2727.21</v>
      </c>
      <c r="M107" s="66">
        <f>ROUND(+M105/12,2)</f>
        <v>197.49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2727.21</v>
      </c>
      <c r="M110" s="78">
        <f>+M107</f>
        <v>197.49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99</v>
      </c>
      <c r="M111" s="62" t="s">
        <v>99</v>
      </c>
    </row>
    <row r="112" spans="1:13" x14ac:dyDescent="0.2">
      <c r="A112" s="48">
        <f t="shared" si="10"/>
        <v>21</v>
      </c>
      <c r="I112" s="62" t="s">
        <v>169</v>
      </c>
      <c r="M112" s="62" t="s">
        <v>170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2.378.00</v>
      </c>
      <c r="D116" s="75"/>
      <c r="E116" s="79">
        <f>E73</f>
        <v>2.7884615384615383E-2</v>
      </c>
      <c r="F116" s="79"/>
      <c r="G116" s="79">
        <f>G73</f>
        <v>2.3237179487179487E-3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89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5"/>
  <sheetViews>
    <sheetView zoomScaleNormal="100" workbookViewId="0">
      <selection activeCell="A2" sqref="A2:H2"/>
    </sheetView>
  </sheetViews>
  <sheetFormatPr defaultRowHeight="11.25" x14ac:dyDescent="0.2"/>
  <cols>
    <col min="1" max="1" width="4.42578125" style="80" customWidth="1"/>
    <col min="2" max="2" width="9.140625" style="80"/>
    <col min="3" max="3" width="0.85546875" style="80" customWidth="1"/>
    <col min="4" max="16384" width="9.140625" style="80"/>
  </cols>
  <sheetData>
    <row r="1" spans="1:14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6"/>
    </row>
    <row r="2" spans="1:14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6"/>
    </row>
    <row r="4" spans="1:14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  <c r="N4" s="116"/>
    </row>
    <row r="5" spans="1:14" ht="12.75" x14ac:dyDescent="0.2">
      <c r="A5" s="115" t="str">
        <f>'G9BDS Input'!A5:J5</f>
        <v>Pro-Forma Adjustment - Integrity Management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</row>
    <row r="6" spans="1:14" ht="12.75" x14ac:dyDescent="0.2">
      <c r="A6" s="117" t="str">
        <f>'G9BDS Input'!F6</f>
        <v>SD 2023 Reg Station Rebuilds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  <c r="N6" s="116"/>
    </row>
    <row r="9" spans="1:14" x14ac:dyDescent="0.2">
      <c r="B9" s="81"/>
      <c r="D9" s="82"/>
    </row>
    <row r="10" spans="1:14" x14ac:dyDescent="0.2">
      <c r="B10" s="81"/>
      <c r="D10" s="82"/>
    </row>
    <row r="13" spans="1:14" x14ac:dyDescent="0.2">
      <c r="B13" s="81"/>
      <c r="D13" s="82"/>
    </row>
    <row r="14" spans="1:14" x14ac:dyDescent="0.2">
      <c r="B14" s="81"/>
      <c r="D14" s="82"/>
    </row>
    <row r="15" spans="1:14" x14ac:dyDescent="0.2">
      <c r="B15" s="81"/>
      <c r="D15" s="82"/>
    </row>
    <row r="16" spans="1:14" x14ac:dyDescent="0.2">
      <c r="B16" s="81"/>
      <c r="D16" s="82"/>
    </row>
    <row r="17" spans="2:4" x14ac:dyDescent="0.2">
      <c r="B17" s="81"/>
      <c r="D17" s="82"/>
    </row>
    <row r="18" spans="2:4" x14ac:dyDescent="0.2">
      <c r="B18" s="81"/>
      <c r="D18" s="82"/>
    </row>
    <row r="19" spans="2:4" x14ac:dyDescent="0.2">
      <c r="B19" s="81"/>
      <c r="D19" s="82"/>
    </row>
    <row r="20" spans="2:4" x14ac:dyDescent="0.2">
      <c r="B20" s="81"/>
      <c r="D20" s="82"/>
    </row>
    <row r="21" spans="2:4" x14ac:dyDescent="0.2">
      <c r="B21" s="81"/>
      <c r="D21" s="82"/>
    </row>
    <row r="22" spans="2:4" x14ac:dyDescent="0.2">
      <c r="B22" s="81"/>
      <c r="D22" s="82"/>
    </row>
    <row r="23" spans="2:4" x14ac:dyDescent="0.2">
      <c r="B23" s="81"/>
      <c r="D23" s="82"/>
    </row>
    <row r="24" spans="2:4" x14ac:dyDescent="0.2">
      <c r="B24" s="81"/>
      <c r="D24" s="82"/>
    </row>
    <row r="25" spans="2:4" x14ac:dyDescent="0.2">
      <c r="B25" s="81"/>
      <c r="D25" s="82"/>
    </row>
    <row r="26" spans="2:4" x14ac:dyDescent="0.2">
      <c r="B26" s="81"/>
      <c r="D26" s="82"/>
    </row>
    <row r="27" spans="2:4" x14ac:dyDescent="0.2">
      <c r="B27" s="81"/>
      <c r="D27" s="82"/>
    </row>
    <row r="28" spans="2:4" x14ac:dyDescent="0.2">
      <c r="B28" s="81"/>
      <c r="D28" s="82"/>
    </row>
    <row r="29" spans="2:4" x14ac:dyDescent="0.2">
      <c r="B29" s="81"/>
      <c r="D29" s="82"/>
    </row>
    <row r="30" spans="2:4" x14ac:dyDescent="0.2">
      <c r="B30" s="81"/>
      <c r="D30" s="82"/>
    </row>
    <row r="31" spans="2:4" x14ac:dyDescent="0.2">
      <c r="B31" s="81"/>
      <c r="D31" s="82"/>
    </row>
    <row r="32" spans="2:4" x14ac:dyDescent="0.2">
      <c r="B32" s="81"/>
      <c r="D32" s="82"/>
    </row>
    <row r="33" spans="2:4" x14ac:dyDescent="0.2">
      <c r="B33" s="81"/>
      <c r="D33" s="82"/>
    </row>
    <row r="34" spans="2:4" x14ac:dyDescent="0.2">
      <c r="B34" s="81"/>
      <c r="D34" s="82"/>
    </row>
    <row r="35" spans="2:4" x14ac:dyDescent="0.2">
      <c r="B35" s="81"/>
      <c r="D35" s="82"/>
    </row>
    <row r="36" spans="2:4" x14ac:dyDescent="0.2">
      <c r="B36" s="81"/>
      <c r="D36" s="82"/>
    </row>
    <row r="37" spans="2:4" x14ac:dyDescent="0.2">
      <c r="B37" s="81"/>
      <c r="D37" s="82"/>
    </row>
    <row r="38" spans="2:4" x14ac:dyDescent="0.2">
      <c r="B38" s="81"/>
      <c r="D38" s="82"/>
    </row>
    <row r="39" spans="2:4" x14ac:dyDescent="0.2">
      <c r="B39" s="81"/>
      <c r="D39" s="82"/>
    </row>
    <row r="40" spans="2:4" x14ac:dyDescent="0.2">
      <c r="B40" s="81"/>
      <c r="D40" s="82"/>
    </row>
    <row r="41" spans="2:4" x14ac:dyDescent="0.2">
      <c r="B41" s="81"/>
      <c r="D41" s="82"/>
    </row>
    <row r="42" spans="2:4" x14ac:dyDescent="0.2">
      <c r="B42" s="81"/>
      <c r="D42" s="82"/>
    </row>
    <row r="43" spans="2:4" x14ac:dyDescent="0.2">
      <c r="B43" s="81"/>
      <c r="D43" s="82"/>
    </row>
    <row r="44" spans="2:4" x14ac:dyDescent="0.2">
      <c r="B44" s="81"/>
      <c r="D44" s="82"/>
    </row>
    <row r="45" spans="2:4" x14ac:dyDescent="0.2">
      <c r="B45" s="81"/>
      <c r="D45" s="82"/>
    </row>
    <row r="46" spans="2:4" x14ac:dyDescent="0.2">
      <c r="B46" s="81"/>
      <c r="D46" s="82"/>
    </row>
    <row r="47" spans="2:4" x14ac:dyDescent="0.2">
      <c r="B47" s="81"/>
      <c r="D47" s="82"/>
    </row>
    <row r="48" spans="2:4" x14ac:dyDescent="0.2">
      <c r="B48" s="81"/>
      <c r="D48" s="82"/>
    </row>
    <row r="49" spans="2:4" x14ac:dyDescent="0.2">
      <c r="B49" s="81"/>
      <c r="D49" s="82"/>
    </row>
    <row r="50" spans="2:4" x14ac:dyDescent="0.2">
      <c r="B50" s="81"/>
      <c r="D50" s="82"/>
    </row>
    <row r="51" spans="2:4" x14ac:dyDescent="0.2">
      <c r="B51" s="81"/>
      <c r="D51" s="82"/>
    </row>
    <row r="52" spans="2:4" x14ac:dyDescent="0.2">
      <c r="B52" s="81"/>
      <c r="D52" s="82"/>
    </row>
    <row r="53" spans="2:4" x14ac:dyDescent="0.2">
      <c r="B53" s="81"/>
      <c r="D53" s="82"/>
    </row>
    <row r="54" spans="2:4" x14ac:dyDescent="0.2">
      <c r="B54" s="81"/>
      <c r="D54" s="82"/>
    </row>
    <row r="55" spans="2:4" x14ac:dyDescent="0.2">
      <c r="B55" s="81"/>
      <c r="D55" s="82"/>
    </row>
    <row r="56" spans="2:4" x14ac:dyDescent="0.2">
      <c r="B56" s="81"/>
      <c r="D56" s="82"/>
    </row>
    <row r="57" spans="2:4" x14ac:dyDescent="0.2">
      <c r="B57" s="81"/>
      <c r="D57" s="82"/>
    </row>
    <row r="58" spans="2:4" x14ac:dyDescent="0.2">
      <c r="B58" s="81"/>
      <c r="D58" s="82"/>
    </row>
    <row r="59" spans="2:4" x14ac:dyDescent="0.2">
      <c r="B59" s="81"/>
      <c r="D59" s="82"/>
    </row>
    <row r="60" spans="2:4" x14ac:dyDescent="0.2">
      <c r="B60" s="81"/>
      <c r="D60" s="82"/>
    </row>
    <row r="61" spans="2:4" x14ac:dyDescent="0.2">
      <c r="B61" s="81"/>
      <c r="D61" s="82"/>
    </row>
    <row r="62" spans="2:4" x14ac:dyDescent="0.2">
      <c r="B62" s="81"/>
      <c r="D62" s="82"/>
    </row>
    <row r="63" spans="2:4" x14ac:dyDescent="0.2">
      <c r="B63" s="81"/>
      <c r="D63" s="82"/>
    </row>
    <row r="64" spans="2:4" x14ac:dyDescent="0.2">
      <c r="B64" s="81"/>
      <c r="D64" s="82"/>
    </row>
    <row r="65" spans="1:14" x14ac:dyDescent="0.2">
      <c r="B65" s="81"/>
      <c r="D65" s="82"/>
    </row>
    <row r="66" spans="1:14" x14ac:dyDescent="0.2">
      <c r="B66" s="81"/>
      <c r="D66" s="82"/>
    </row>
    <row r="67" spans="1:14" x14ac:dyDescent="0.2">
      <c r="B67" s="81"/>
      <c r="D67" s="82"/>
    </row>
    <row r="70" spans="1:14" ht="12.75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6"/>
      <c r="L70" s="116"/>
      <c r="M70" s="116"/>
      <c r="N70" s="116"/>
    </row>
    <row r="71" spans="1:14" ht="12.75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6"/>
      <c r="L71" s="116"/>
      <c r="M71" s="116"/>
      <c r="N71" s="116"/>
    </row>
    <row r="73" spans="1:14" ht="12.75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6"/>
      <c r="L73" s="116"/>
      <c r="M73" s="116"/>
      <c r="N73" s="116"/>
    </row>
    <row r="74" spans="1:14" ht="12.75" x14ac:dyDescent="0.2">
      <c r="A74" s="115" t="str">
        <f>A5</f>
        <v>Pro-Forma Adjustment - Integrity Management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6"/>
      <c r="L74" s="116"/>
      <c r="M74" s="116"/>
      <c r="N74" s="116"/>
    </row>
    <row r="75" spans="1:14" ht="12.75" x14ac:dyDescent="0.2">
      <c r="A75" s="117" t="str">
        <f t="shared" ref="A75" si="0">A6</f>
        <v>SD 2023 Reg Station Rebuilds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6"/>
      <c r="L75" s="116"/>
      <c r="M75" s="116"/>
      <c r="N75" s="116"/>
    </row>
  </sheetData>
  <mergeCells count="10">
    <mergeCell ref="A1:N1"/>
    <mergeCell ref="A2:N2"/>
    <mergeCell ref="A5:N5"/>
    <mergeCell ref="A4:N4"/>
    <mergeCell ref="A75:N75"/>
    <mergeCell ref="A6:N6"/>
    <mergeCell ref="A70:N70"/>
    <mergeCell ref="A71:N71"/>
    <mergeCell ref="A74:N74"/>
    <mergeCell ref="A73:N73"/>
  </mergeCells>
  <pageMargins left="0.75" right="0.75" top="1" bottom="1" header="0.5" footer="0.5"/>
  <pageSetup scale="7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69" max="1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DD7F-C286-45BA-925E-D414C2A14047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/>
    <row r="5" spans="1:14" x14ac:dyDescent="0.2">
      <c r="A5" s="111" t="s">
        <v>185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171</v>
      </c>
      <c r="E6" s="34"/>
      <c r="F6" s="118" t="s">
        <v>172</v>
      </c>
      <c r="G6" s="118"/>
      <c r="H6" s="118"/>
      <c r="I6" s="118"/>
      <c r="J6" s="118"/>
      <c r="K6" s="118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32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76</v>
      </c>
      <c r="H13" s="5">
        <v>0.55814134900410839</v>
      </c>
      <c r="J13" s="42">
        <f>1.5/68</f>
        <v>2.2058823529411766E-2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149</v>
      </c>
      <c r="H14" s="5">
        <v>0.44185865099589161</v>
      </c>
      <c r="J14" s="42">
        <f>2/57</f>
        <v>3.5087719298245612E-2</v>
      </c>
    </row>
    <row r="15" spans="1:14" x14ac:dyDescent="0.2">
      <c r="A15" s="36">
        <v>3</v>
      </c>
      <c r="B15" s="40">
        <f t="shared" ref="B15:B25" si="0"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si="0"/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45184</v>
      </c>
    </row>
    <row r="28" spans="1:10" x14ac:dyDescent="0.2">
      <c r="A28" s="36">
        <v>16</v>
      </c>
      <c r="B28" s="34" t="s">
        <v>79</v>
      </c>
      <c r="D28" s="103">
        <v>999908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173</v>
      </c>
    </row>
    <row r="33" spans="2:2" x14ac:dyDescent="0.2">
      <c r="B33" s="44" t="s">
        <v>174</v>
      </c>
    </row>
    <row r="34" spans="2:2" x14ac:dyDescent="0.2">
      <c r="B34" s="44" t="s">
        <v>175</v>
      </c>
    </row>
    <row r="35" spans="2:2" x14ac:dyDescent="0.2">
      <c r="B35" s="44" t="s">
        <v>176</v>
      </c>
    </row>
    <row r="36" spans="2:2" x14ac:dyDescent="0.2">
      <c r="B36" s="44" t="s">
        <v>177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4">
    <mergeCell ref="F6:K6"/>
    <mergeCell ref="A1:J1"/>
    <mergeCell ref="A2:J2"/>
    <mergeCell ref="A5:J5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004F-F669-44E3-9874-B919BB8A0A4A}">
  <sheetPr syncVertical="1" syncRef="A1" transitionEvaluation="1" transitionEntry="1"/>
  <dimension ref="A1:J433"/>
  <sheetViews>
    <sheetView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A4" s="112"/>
      <c r="B4" s="112"/>
      <c r="C4" s="112"/>
      <c r="D4" s="112"/>
      <c r="E4" s="112"/>
      <c r="F4" s="112"/>
      <c r="G4" s="112"/>
      <c r="H4" s="112"/>
      <c r="I4" s="112"/>
      <c r="J4" s="47"/>
    </row>
    <row r="5" spans="1:10" x14ac:dyDescent="0.2">
      <c r="A5" s="45" t="str">
        <f>'G9BDF Input'!A5:J5</f>
        <v>Pro-Forma Adjustment - System Reliability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'G9BDF Input'!F6</f>
        <v>SFS: West Sioux Rebuild Y2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'G9BDF Input'!B13</f>
        <v>44180</v>
      </c>
      <c r="D15" s="55"/>
      <c r="E15" s="56">
        <f>'G9BDF Input'!D13*'G9BDF Input'!$D$7*'G9BDF Input'!$H$7</f>
        <v>0</v>
      </c>
      <c r="F15" s="57"/>
      <c r="G15" s="56">
        <f>'G9BDF Input'!D27*'G9BDF Input'!D6*'G9BDF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'G9BDF Input'!B14</f>
        <v>44211</v>
      </c>
      <c r="D16" s="55"/>
      <c r="E16" s="58">
        <f>'G9BDF Input'!D14*'G9BDF Input'!$D$7*'G9BDF Input'!$H$7</f>
        <v>0</v>
      </c>
      <c r="F16" s="57"/>
      <c r="G16" s="58">
        <f>'G9BDF Input'!D28*'G9BDF Input'!D7*'G9BDF Input'!H7</f>
        <v>999908</v>
      </c>
      <c r="H16" s="57"/>
      <c r="I16" s="58">
        <f t="shared" si="0"/>
        <v>999908</v>
      </c>
    </row>
    <row r="17" spans="1:10" x14ac:dyDescent="0.2">
      <c r="A17" s="48">
        <f t="shared" si="1"/>
        <v>3</v>
      </c>
      <c r="C17" s="55">
        <f>'G9BDF Input'!B15</f>
        <v>44241</v>
      </c>
      <c r="D17" s="55"/>
      <c r="E17" s="58">
        <f>'G9BDF Input'!D15*'G9BDF Input'!$D$7*'G9BDF Input'!$H$7</f>
        <v>0</v>
      </c>
      <c r="F17" s="57"/>
      <c r="G17" s="59">
        <f t="shared" ref="G17:G27" si="2">$G$16</f>
        <v>999908</v>
      </c>
      <c r="H17" s="57"/>
      <c r="I17" s="59">
        <f t="shared" si="0"/>
        <v>999908</v>
      </c>
      <c r="J17" s="57"/>
    </row>
    <row r="18" spans="1:10" x14ac:dyDescent="0.2">
      <c r="A18" s="48">
        <f t="shared" si="1"/>
        <v>4</v>
      </c>
      <c r="C18" s="55">
        <f>'G9BDF Input'!B16</f>
        <v>44271</v>
      </c>
      <c r="D18" s="55"/>
      <c r="E18" s="58">
        <f>'G9BDF Input'!D16*'G9BDF Input'!$D$7*'G9BDF Input'!$H$7</f>
        <v>0</v>
      </c>
      <c r="F18" s="57"/>
      <c r="G18" s="59">
        <f t="shared" si="2"/>
        <v>999908</v>
      </c>
      <c r="H18" s="57"/>
      <c r="I18" s="59">
        <f t="shared" si="0"/>
        <v>999908</v>
      </c>
      <c r="J18" s="57"/>
    </row>
    <row r="19" spans="1:10" x14ac:dyDescent="0.2">
      <c r="A19" s="48">
        <f t="shared" si="1"/>
        <v>5</v>
      </c>
      <c r="C19" s="55">
        <f>'G9BDF Input'!B17</f>
        <v>44301</v>
      </c>
      <c r="D19" s="55"/>
      <c r="E19" s="58">
        <f>'G9BDF Input'!D17*'G9BDF Input'!$D$7*'G9BDF Input'!$H$7</f>
        <v>0</v>
      </c>
      <c r="F19" s="57"/>
      <c r="G19" s="59">
        <f t="shared" si="2"/>
        <v>999908</v>
      </c>
      <c r="H19" s="57"/>
      <c r="I19" s="59">
        <f t="shared" si="0"/>
        <v>999908</v>
      </c>
      <c r="J19" s="57"/>
    </row>
    <row r="20" spans="1:10" x14ac:dyDescent="0.2">
      <c r="A20" s="48">
        <f t="shared" si="1"/>
        <v>6</v>
      </c>
      <c r="C20" s="55">
        <f>'G9BDF Input'!B18</f>
        <v>44331</v>
      </c>
      <c r="D20" s="55"/>
      <c r="E20" s="58">
        <f>'G9BDF Input'!D18*'G9BDF Input'!$D$7*'G9BDF Input'!$H$7</f>
        <v>0</v>
      </c>
      <c r="F20" s="57"/>
      <c r="G20" s="59">
        <f t="shared" si="2"/>
        <v>999908</v>
      </c>
      <c r="H20" s="57"/>
      <c r="I20" s="59">
        <f t="shared" si="0"/>
        <v>999908</v>
      </c>
      <c r="J20" s="57"/>
    </row>
    <row r="21" spans="1:10" x14ac:dyDescent="0.2">
      <c r="A21" s="48">
        <f t="shared" si="1"/>
        <v>7</v>
      </c>
      <c r="C21" s="55">
        <f>'G9BDF Input'!B19</f>
        <v>44361</v>
      </c>
      <c r="D21" s="55"/>
      <c r="E21" s="58">
        <f>'G9BDF Input'!D19*'G9BDF Input'!$D$7*'G9BDF Input'!$H$7</f>
        <v>0</v>
      </c>
      <c r="F21" s="57"/>
      <c r="G21" s="59">
        <f t="shared" si="2"/>
        <v>999908</v>
      </c>
      <c r="H21" s="57"/>
      <c r="I21" s="59">
        <f t="shared" si="0"/>
        <v>999908</v>
      </c>
      <c r="J21" s="57"/>
    </row>
    <row r="22" spans="1:10" x14ac:dyDescent="0.2">
      <c r="A22" s="48">
        <f t="shared" si="1"/>
        <v>8</v>
      </c>
      <c r="C22" s="55">
        <f>'G9BDF Input'!B20</f>
        <v>44391</v>
      </c>
      <c r="D22" s="55"/>
      <c r="E22" s="58">
        <f>'G9BDF Input'!D20*'G9BDF Input'!$D$7*'G9BDF Input'!$H$7</f>
        <v>0</v>
      </c>
      <c r="F22" s="57"/>
      <c r="G22" s="59">
        <f t="shared" si="2"/>
        <v>999908</v>
      </c>
      <c r="H22" s="57"/>
      <c r="I22" s="59">
        <f t="shared" si="0"/>
        <v>999908</v>
      </c>
      <c r="J22" s="57"/>
    </row>
    <row r="23" spans="1:10" x14ac:dyDescent="0.2">
      <c r="A23" s="48">
        <f t="shared" si="1"/>
        <v>9</v>
      </c>
      <c r="C23" s="55">
        <f>'G9BDF Input'!B21</f>
        <v>44421</v>
      </c>
      <c r="D23" s="55"/>
      <c r="E23" s="58">
        <f>'G9BDF Input'!D21*'G9BDF Input'!$D$7*'G9BDF Input'!$H$7</f>
        <v>0</v>
      </c>
      <c r="F23" s="57"/>
      <c r="G23" s="59">
        <f t="shared" si="2"/>
        <v>999908</v>
      </c>
      <c r="H23" s="57"/>
      <c r="I23" s="59">
        <f t="shared" si="0"/>
        <v>999908</v>
      </c>
      <c r="J23" s="57"/>
    </row>
    <row r="24" spans="1:10" x14ac:dyDescent="0.2">
      <c r="A24" s="48">
        <f t="shared" si="1"/>
        <v>10</v>
      </c>
      <c r="C24" s="55">
        <f>'G9BDF Input'!B22</f>
        <v>44451</v>
      </c>
      <c r="D24" s="55"/>
      <c r="E24" s="58">
        <f>'G9BDF Input'!D22*'G9BDF Input'!$D$7*'G9BDF Input'!$H$7</f>
        <v>0</v>
      </c>
      <c r="F24" s="57"/>
      <c r="G24" s="59">
        <f t="shared" si="2"/>
        <v>999908</v>
      </c>
      <c r="H24" s="57"/>
      <c r="I24" s="59">
        <f t="shared" si="0"/>
        <v>999908</v>
      </c>
      <c r="J24" s="57"/>
    </row>
    <row r="25" spans="1:10" x14ac:dyDescent="0.2">
      <c r="A25" s="48">
        <f t="shared" si="1"/>
        <v>11</v>
      </c>
      <c r="C25" s="55">
        <f>'G9BDF Input'!B23</f>
        <v>44481</v>
      </c>
      <c r="D25" s="55"/>
      <c r="E25" s="58">
        <f>'G9BDF Input'!D23*'G9BDF Input'!$D$7*'G9BDF Input'!$H$7</f>
        <v>0</v>
      </c>
      <c r="F25" s="57"/>
      <c r="G25" s="59">
        <f t="shared" si="2"/>
        <v>999908</v>
      </c>
      <c r="H25" s="57"/>
      <c r="I25" s="59">
        <f t="shared" si="0"/>
        <v>999908</v>
      </c>
      <c r="J25" s="57"/>
    </row>
    <row r="26" spans="1:10" x14ac:dyDescent="0.2">
      <c r="A26" s="48">
        <f t="shared" si="1"/>
        <v>12</v>
      </c>
      <c r="C26" s="55">
        <f>'G9BDF Input'!B24</f>
        <v>44511</v>
      </c>
      <c r="D26" s="55"/>
      <c r="E26" s="58">
        <f>'G9BDF Input'!D24*'G9BDF Input'!$D$7*'G9BDF Input'!$H$7</f>
        <v>0</v>
      </c>
      <c r="F26" s="57"/>
      <c r="G26" s="59">
        <f t="shared" si="2"/>
        <v>999908</v>
      </c>
      <c r="H26" s="57"/>
      <c r="I26" s="59">
        <f t="shared" si="0"/>
        <v>999908</v>
      </c>
      <c r="J26" s="57"/>
    </row>
    <row r="27" spans="1:10" x14ac:dyDescent="0.2">
      <c r="A27" s="48">
        <f t="shared" si="1"/>
        <v>13</v>
      </c>
      <c r="C27" s="55">
        <f>'G9BDF Input'!B25</f>
        <v>44541</v>
      </c>
      <c r="D27" s="55"/>
      <c r="E27" s="60">
        <f>'G9BDF Input'!D25*'G9BDF Input'!$D$7*'G9BDF Input'!$H$7</f>
        <v>0</v>
      </c>
      <c r="F27" s="57"/>
      <c r="G27" s="61">
        <f t="shared" si="2"/>
        <v>999908</v>
      </c>
      <c r="H27" s="57"/>
      <c r="I27" s="61">
        <f t="shared" si="0"/>
        <v>999908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11998896</v>
      </c>
      <c r="H28" s="64"/>
      <c r="I28" s="63">
        <f>SUM(I16:I27)</f>
        <v>11998896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999908</v>
      </c>
      <c r="H30" s="64"/>
      <c r="I30" s="66">
        <f>ROUND(+I28/12,2)</f>
        <v>999908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999908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0B69-C71C-47DC-9390-CE47E7BCE156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20.710937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1.71093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'G9BDF Input'!A5:J5</f>
        <v>Pro-Forma Adjustment - System Reliability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'G9BDF Input'!F6</f>
        <v>SFS: West Sioux Rebuild Y2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'G9BDF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"&amp;'G9BDF Input'!F13</f>
        <v>Acct 2.376.00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'G9BDF TotalWO'!C15</f>
        <v>44180</v>
      </c>
      <c r="D15" s="55"/>
      <c r="E15" s="56">
        <f>'G9BDF TotalWO'!E15*'G9BDF Input'!$H$13</f>
        <v>0</v>
      </c>
      <c r="F15" s="68"/>
      <c r="G15" s="56">
        <f>'G9BDF TotalWO'!G15*'G9BDF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'G9BDF TotalWO'!C16</f>
        <v>44211</v>
      </c>
      <c r="D16" s="55"/>
      <c r="E16" s="58">
        <f>'G9BDF TotalWO'!E16*'G9BDF Input'!$H$13</f>
        <v>0</v>
      </c>
      <c r="F16" s="68"/>
      <c r="G16" s="58">
        <f>'G9BDF TotalWO'!G16*'G9BDF Input'!$H$13</f>
        <v>558090</v>
      </c>
      <c r="H16" s="59"/>
      <c r="I16" s="58">
        <f t="shared" si="0"/>
        <v>558090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'G9BDF TotalWO'!E17*'G9BDF Input'!$H$13</f>
        <v>0</v>
      </c>
      <c r="F17" s="68"/>
      <c r="G17" s="68">
        <f>'G9BDF TotalWO'!G17*'G9BDF Input'!$H$13</f>
        <v>558090</v>
      </c>
      <c r="H17" s="59"/>
      <c r="I17" s="59">
        <f t="shared" si="0"/>
        <v>558090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'G9BDF TotalWO'!E18*'G9BDF Input'!$H$13</f>
        <v>0</v>
      </c>
      <c r="F18" s="68"/>
      <c r="G18" s="68">
        <f>'G9BDF TotalWO'!G18*'G9BDF Input'!$H$13</f>
        <v>558090</v>
      </c>
      <c r="H18" s="59"/>
      <c r="I18" s="59">
        <f t="shared" si="0"/>
        <v>558090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'G9BDF TotalWO'!E19*'G9BDF Input'!$H$13</f>
        <v>0</v>
      </c>
      <c r="F19" s="68"/>
      <c r="G19" s="68">
        <f>'G9BDF TotalWO'!G19*'G9BDF Input'!$H$13</f>
        <v>558090</v>
      </c>
      <c r="H19" s="59"/>
      <c r="I19" s="59">
        <f t="shared" si="0"/>
        <v>558090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'G9BDF TotalWO'!E20*'G9BDF Input'!$H$13</f>
        <v>0</v>
      </c>
      <c r="F20" s="68"/>
      <c r="G20" s="68">
        <f>'G9BDF TotalWO'!G20*'G9BDF Input'!$H$13</f>
        <v>558090</v>
      </c>
      <c r="H20" s="59"/>
      <c r="I20" s="59">
        <f t="shared" si="0"/>
        <v>558090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'G9BDF TotalWO'!E21*'G9BDF Input'!$H$13</f>
        <v>0</v>
      </c>
      <c r="F21" s="68"/>
      <c r="G21" s="68">
        <f>'G9BDF TotalWO'!G21*'G9BDF Input'!$H$13</f>
        <v>558090</v>
      </c>
      <c r="H21" s="59"/>
      <c r="I21" s="59">
        <f t="shared" si="0"/>
        <v>558090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'G9BDF TotalWO'!E22*'G9BDF Input'!$H$13</f>
        <v>0</v>
      </c>
      <c r="F22" s="68"/>
      <c r="G22" s="68">
        <f>'G9BDF TotalWO'!G22*'G9BDF Input'!$H$13</f>
        <v>558090</v>
      </c>
      <c r="H22" s="59"/>
      <c r="I22" s="59">
        <f t="shared" si="0"/>
        <v>558090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'G9BDF TotalWO'!E23*'G9BDF Input'!$H$13</f>
        <v>0</v>
      </c>
      <c r="F23" s="68"/>
      <c r="G23" s="68">
        <f>'G9BDF TotalWO'!G23*'G9BDF Input'!$H$13</f>
        <v>558090</v>
      </c>
      <c r="H23" s="59"/>
      <c r="I23" s="59">
        <f t="shared" si="0"/>
        <v>558090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'G9BDF TotalWO'!E24*'G9BDF Input'!$H$13</f>
        <v>0</v>
      </c>
      <c r="F24" s="68"/>
      <c r="G24" s="68">
        <f>'G9BDF TotalWO'!G24*'G9BDF Input'!$H$13</f>
        <v>558090</v>
      </c>
      <c r="H24" s="59"/>
      <c r="I24" s="59">
        <f t="shared" si="0"/>
        <v>558090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'G9BDF TotalWO'!E25*'G9BDF Input'!$H$13</f>
        <v>0</v>
      </c>
      <c r="F25" s="68"/>
      <c r="G25" s="68">
        <f>'G9BDF TotalWO'!G25*'G9BDF Input'!$H$13</f>
        <v>558090</v>
      </c>
      <c r="H25" s="59"/>
      <c r="I25" s="59">
        <f t="shared" si="0"/>
        <v>558090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'G9BDF TotalWO'!E26*'G9BDF Input'!$H$13</f>
        <v>0</v>
      </c>
      <c r="F26" s="68"/>
      <c r="G26" s="68">
        <f>'G9BDF TotalWO'!G26*'G9BDF Input'!$H$13</f>
        <v>558090</v>
      </c>
      <c r="H26" s="59"/>
      <c r="I26" s="59">
        <f t="shared" si="0"/>
        <v>558090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'G9BDF TotalWO'!E27*'G9BDF Input'!$H$13</f>
        <v>0</v>
      </c>
      <c r="F27" s="68"/>
      <c r="G27" s="71">
        <f>'G9BDF TotalWO'!G27*'G9BDF Input'!$H$13</f>
        <v>558090</v>
      </c>
      <c r="H27" s="59"/>
      <c r="I27" s="61">
        <f t="shared" si="0"/>
        <v>558090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6697080</v>
      </c>
      <c r="H28" s="64"/>
      <c r="I28" s="63">
        <f>SUM(I16:I27)</f>
        <v>6697080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558090</v>
      </c>
      <c r="H30" s="64"/>
      <c r="I30" s="66">
        <f>ROUND(+I28/12,2)</f>
        <v>558090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558090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155</v>
      </c>
    </row>
    <row r="36" spans="1:13" x14ac:dyDescent="0.2">
      <c r="A36" s="48">
        <f t="shared" si="1"/>
        <v>22</v>
      </c>
      <c r="I36" s="62" t="s">
        <v>178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System Reliability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West Sioux Rebuild Y2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2.376.00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1025.9000000000001</v>
      </c>
      <c r="H53" s="64"/>
      <c r="I53" s="63">
        <f t="shared" ref="I53:I64" si="4">G53-E53</f>
        <v>1025.9000000000001</v>
      </c>
      <c r="K53" s="58"/>
      <c r="M53" s="17">
        <f>+ROUND(M67/12,2)</f>
        <v>150.81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1025.9000000000001</v>
      </c>
      <c r="H54" s="57"/>
      <c r="I54" s="59">
        <f t="shared" si="4"/>
        <v>1025.9000000000001</v>
      </c>
      <c r="M54" s="88">
        <f t="shared" ref="M54:M60" si="8">+M53</f>
        <v>150.81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1025.9000000000001</v>
      </c>
      <c r="H55" s="57"/>
      <c r="I55" s="59">
        <f t="shared" si="4"/>
        <v>1025.9000000000001</v>
      </c>
      <c r="M55" s="88">
        <f t="shared" si="8"/>
        <v>150.81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1025.9000000000001</v>
      </c>
      <c r="H56" s="57"/>
      <c r="I56" s="59">
        <f t="shared" si="4"/>
        <v>1025.9000000000001</v>
      </c>
      <c r="M56" s="88">
        <f t="shared" si="8"/>
        <v>150.81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1025.9000000000001</v>
      </c>
      <c r="H57" s="57"/>
      <c r="I57" s="59">
        <f t="shared" si="4"/>
        <v>1025.9000000000001</v>
      </c>
      <c r="M57" s="88">
        <f t="shared" si="8"/>
        <v>150.81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1025.9000000000001</v>
      </c>
      <c r="H58" s="57"/>
      <c r="I58" s="59">
        <f t="shared" si="4"/>
        <v>1025.9000000000001</v>
      </c>
      <c r="M58" s="88">
        <f t="shared" si="8"/>
        <v>150.81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1025.9000000000001</v>
      </c>
      <c r="H59" s="57"/>
      <c r="I59" s="59">
        <f t="shared" si="4"/>
        <v>1025.9000000000001</v>
      </c>
      <c r="M59" s="88">
        <f t="shared" si="8"/>
        <v>150.81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1025.9000000000001</v>
      </c>
      <c r="H60" s="57"/>
      <c r="I60" s="59">
        <f t="shared" si="4"/>
        <v>1025.9000000000001</v>
      </c>
      <c r="M60" s="88">
        <f t="shared" si="8"/>
        <v>150.81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1025.9000000000001</v>
      </c>
      <c r="H61" s="57"/>
      <c r="I61" s="59">
        <f t="shared" si="4"/>
        <v>1025.9000000000001</v>
      </c>
      <c r="M61" s="88">
        <f>+M60+0.01</f>
        <v>150.82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1025.9000000000001</v>
      </c>
      <c r="H62" s="57"/>
      <c r="I62" s="59">
        <f t="shared" si="4"/>
        <v>1025.9000000000001</v>
      </c>
      <c r="M62" s="88">
        <f>+M61</f>
        <v>150.82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1025.9000000000001</v>
      </c>
      <c r="H63" s="57"/>
      <c r="I63" s="59">
        <f t="shared" si="4"/>
        <v>1025.9000000000001</v>
      </c>
      <c r="M63" s="88">
        <f>+M62</f>
        <v>150.82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1025.9000000000001</v>
      </c>
      <c r="H64" s="57"/>
      <c r="I64" s="61">
        <f t="shared" si="4"/>
        <v>1025.9000000000001</v>
      </c>
      <c r="M64" s="61">
        <f>+M63</f>
        <v>150.82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12310.799999999997</v>
      </c>
      <c r="H65" s="64"/>
      <c r="I65" s="63">
        <f>SUM(I53:I64)</f>
        <v>12310.799999999997</v>
      </c>
      <c r="M65" s="63">
        <f>SUM(M53:M64)</f>
        <v>1809.7599999999995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12310.799999999997</v>
      </c>
      <c r="K67" s="66">
        <f>ROUND(G16*K73,2)</f>
        <v>20928.38</v>
      </c>
      <c r="M67" s="66">
        <f>ROUND(+(K67-I67)*M73,2)</f>
        <v>1809.69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155</v>
      </c>
    </row>
    <row r="69" spans="1:13" x14ac:dyDescent="0.2">
      <c r="A69" s="48">
        <f t="shared" si="5"/>
        <v>17</v>
      </c>
      <c r="I69" s="62" t="s">
        <v>179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2.376.00</v>
      </c>
      <c r="D73" s="75"/>
      <c r="E73" s="76">
        <f>'G9BDF Input'!J13</f>
        <v>2.2058823529411766E-2</v>
      </c>
      <c r="F73" s="76"/>
      <c r="G73" s="76">
        <f>E73/12</f>
        <v>1.8382352941176473E-3</v>
      </c>
      <c r="K73" s="85">
        <f>+'G9BDF Input'!L13</f>
        <v>3.7499999999999999E-2</v>
      </c>
      <c r="M73" s="86">
        <f>+'G9BDF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System Reliability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West Sioux Rebuild Y2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2.376.00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1025.9000000000001</v>
      </c>
      <c r="H93" s="57"/>
      <c r="I93" s="58">
        <f t="shared" si="9"/>
        <v>1025.9000000000001</v>
      </c>
      <c r="M93" s="58">
        <f>+M53</f>
        <v>150.81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2051.8000000000002</v>
      </c>
      <c r="H94" s="57"/>
      <c r="I94" s="59">
        <f t="shared" si="9"/>
        <v>2051.8000000000002</v>
      </c>
      <c r="M94" s="59">
        <f t="shared" ref="M94:M104" si="14">+M93+M54</f>
        <v>301.62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3077.7000000000003</v>
      </c>
      <c r="H95" s="57"/>
      <c r="I95" s="59">
        <f t="shared" si="9"/>
        <v>3077.7000000000003</v>
      </c>
      <c r="M95" s="59">
        <f t="shared" si="14"/>
        <v>452.43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4103.6000000000004</v>
      </c>
      <c r="H96" s="57"/>
      <c r="I96" s="59">
        <f t="shared" si="9"/>
        <v>4103.6000000000004</v>
      </c>
      <c r="M96" s="59">
        <f t="shared" si="14"/>
        <v>603.24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5129.5</v>
      </c>
      <c r="H97" s="57"/>
      <c r="I97" s="59">
        <f t="shared" si="9"/>
        <v>5129.5</v>
      </c>
      <c r="M97" s="59">
        <f t="shared" si="14"/>
        <v>754.05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6155.4</v>
      </c>
      <c r="H98" s="57"/>
      <c r="I98" s="59">
        <f t="shared" si="9"/>
        <v>6155.4</v>
      </c>
      <c r="M98" s="59">
        <f t="shared" si="14"/>
        <v>904.8599999999999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7181.2999999999993</v>
      </c>
      <c r="H99" s="57"/>
      <c r="I99" s="59">
        <f t="shared" si="9"/>
        <v>7181.2999999999993</v>
      </c>
      <c r="M99" s="59">
        <f t="shared" si="14"/>
        <v>1055.6699999999998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8207.1999999999989</v>
      </c>
      <c r="H100" s="57"/>
      <c r="I100" s="59">
        <f t="shared" si="9"/>
        <v>8207.1999999999989</v>
      </c>
      <c r="M100" s="59">
        <f t="shared" si="14"/>
        <v>1206.4799999999998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9233.0999999999985</v>
      </c>
      <c r="H101" s="57"/>
      <c r="I101" s="59">
        <f t="shared" si="9"/>
        <v>9233.0999999999985</v>
      </c>
      <c r="M101" s="59">
        <f t="shared" si="14"/>
        <v>1357.2999999999997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10258.999999999998</v>
      </c>
      <c r="H102" s="57"/>
      <c r="I102" s="59">
        <f t="shared" si="9"/>
        <v>10258.999999999998</v>
      </c>
      <c r="M102" s="59">
        <f t="shared" si="14"/>
        <v>1508.1199999999997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11284.899999999998</v>
      </c>
      <c r="H103" s="57"/>
      <c r="I103" s="59">
        <f t="shared" si="9"/>
        <v>11284.899999999998</v>
      </c>
      <c r="M103" s="59">
        <f t="shared" si="14"/>
        <v>1658.9399999999996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12310.799999999997</v>
      </c>
      <c r="H104" s="57"/>
      <c r="I104" s="61">
        <f t="shared" si="9"/>
        <v>12310.799999999997</v>
      </c>
      <c r="M104" s="61">
        <f t="shared" si="14"/>
        <v>1809.7599999999995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80020.2</v>
      </c>
      <c r="H105" s="64"/>
      <c r="I105" s="63">
        <f>SUM(I93:I104)</f>
        <v>80020.2</v>
      </c>
      <c r="M105" s="63">
        <f>SUM(M93:M104)</f>
        <v>11763.279999999997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6668.35</v>
      </c>
      <c r="H107" s="64"/>
      <c r="I107" s="66">
        <f>ROUND(+I105/12,2)</f>
        <v>6668.35</v>
      </c>
      <c r="M107" s="66">
        <f>ROUND(+M105/12,2)</f>
        <v>980.27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6668.35</v>
      </c>
      <c r="M110" s="78">
        <f>+M107</f>
        <v>980.27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155</v>
      </c>
      <c r="M111" s="62" t="s">
        <v>155</v>
      </c>
    </row>
    <row r="112" spans="1:13" x14ac:dyDescent="0.2">
      <c r="A112" s="48">
        <f t="shared" si="10"/>
        <v>21</v>
      </c>
      <c r="I112" s="62" t="s">
        <v>180</v>
      </c>
      <c r="M112" s="62" t="s">
        <v>181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2.376.00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8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2BD6-65D9-4343-A038-42227B8A6151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20.710937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1.71093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'G9BDF Input'!A5:J5</f>
        <v>Pro-Forma Adjustment - System Reliability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'G9BDF Input'!F6</f>
        <v>SFS: West Sioux Rebuild Y2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'G9BDF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"&amp;'G9BDF Input'!F14</f>
        <v>Acct 2.380.00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'G9BDF TotalWO'!C15</f>
        <v>44180</v>
      </c>
      <c r="D15" s="55"/>
      <c r="E15" s="56">
        <f>'G9BDF TotalWO'!E15*'G9BDF Input'!$H$13</f>
        <v>0</v>
      </c>
      <c r="F15" s="68"/>
      <c r="G15" s="56">
        <f>'G9BDF TotalWO'!G15*'G9BDF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'G9BDF TotalWO'!C16</f>
        <v>44211</v>
      </c>
      <c r="D16" s="55"/>
      <c r="E16" s="58">
        <f>'G9BDF TotalWO'!E16*'G9BDF Input'!$H$13</f>
        <v>0</v>
      </c>
      <c r="F16" s="68"/>
      <c r="G16" s="58">
        <f>'G9BDF TotalWO'!G16*'G9BDF Input'!$H$14</f>
        <v>441818</v>
      </c>
      <c r="H16" s="59"/>
      <c r="I16" s="58">
        <f t="shared" si="0"/>
        <v>441818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'G9BDF TotalWO'!E17*'G9BDF Input'!$H$13</f>
        <v>0</v>
      </c>
      <c r="F17" s="68"/>
      <c r="G17" s="68">
        <f>'G9BDF TotalWO'!G17*'G9BDF Input'!$H$14</f>
        <v>441818</v>
      </c>
      <c r="H17" s="59"/>
      <c r="I17" s="59">
        <f t="shared" si="0"/>
        <v>441818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'G9BDF TotalWO'!E18*'G9BDF Input'!$H$13</f>
        <v>0</v>
      </c>
      <c r="F18" s="68"/>
      <c r="G18" s="68">
        <f>'G9BDF TotalWO'!G18*'G9BDF Input'!$H$14</f>
        <v>441818</v>
      </c>
      <c r="H18" s="59"/>
      <c r="I18" s="59">
        <f t="shared" si="0"/>
        <v>441818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'G9BDF TotalWO'!E19*'G9BDF Input'!$H$13</f>
        <v>0</v>
      </c>
      <c r="F19" s="68"/>
      <c r="G19" s="68">
        <f>'G9BDF TotalWO'!G19*'G9BDF Input'!$H$14</f>
        <v>441818</v>
      </c>
      <c r="H19" s="59"/>
      <c r="I19" s="59">
        <f t="shared" si="0"/>
        <v>441818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'G9BDF TotalWO'!E20*'G9BDF Input'!$H$13</f>
        <v>0</v>
      </c>
      <c r="F20" s="68"/>
      <c r="G20" s="68">
        <f>'G9BDF TotalWO'!G20*'G9BDF Input'!$H$14</f>
        <v>441818</v>
      </c>
      <c r="H20" s="59"/>
      <c r="I20" s="59">
        <f t="shared" si="0"/>
        <v>441818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'G9BDF TotalWO'!E21*'G9BDF Input'!$H$13</f>
        <v>0</v>
      </c>
      <c r="F21" s="68"/>
      <c r="G21" s="68">
        <f>'G9BDF TotalWO'!G21*'G9BDF Input'!$H$14</f>
        <v>441818</v>
      </c>
      <c r="H21" s="59"/>
      <c r="I21" s="59">
        <f t="shared" si="0"/>
        <v>441818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'G9BDF TotalWO'!E22*'G9BDF Input'!$H$13</f>
        <v>0</v>
      </c>
      <c r="F22" s="68"/>
      <c r="G22" s="68">
        <f>'G9BDF TotalWO'!G22*'G9BDF Input'!$H$14</f>
        <v>441818</v>
      </c>
      <c r="H22" s="59"/>
      <c r="I22" s="59">
        <f t="shared" si="0"/>
        <v>441818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'G9BDF TotalWO'!E23*'G9BDF Input'!$H$13</f>
        <v>0</v>
      </c>
      <c r="F23" s="68"/>
      <c r="G23" s="68">
        <f>'G9BDF TotalWO'!G23*'G9BDF Input'!$H$14</f>
        <v>441818</v>
      </c>
      <c r="H23" s="59"/>
      <c r="I23" s="59">
        <f t="shared" si="0"/>
        <v>441818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'G9BDF TotalWO'!E24*'G9BDF Input'!$H$13</f>
        <v>0</v>
      </c>
      <c r="F24" s="68"/>
      <c r="G24" s="68">
        <f>'G9BDF TotalWO'!G24*'G9BDF Input'!$H$14</f>
        <v>441818</v>
      </c>
      <c r="H24" s="59"/>
      <c r="I24" s="59">
        <f t="shared" si="0"/>
        <v>441818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'G9BDF TotalWO'!E25*'G9BDF Input'!$H$13</f>
        <v>0</v>
      </c>
      <c r="F25" s="68"/>
      <c r="G25" s="68">
        <f>'G9BDF TotalWO'!G25*'G9BDF Input'!$H$14</f>
        <v>441818</v>
      </c>
      <c r="H25" s="59"/>
      <c r="I25" s="59">
        <f t="shared" si="0"/>
        <v>441818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'G9BDF TotalWO'!E26*'G9BDF Input'!$H$13</f>
        <v>0</v>
      </c>
      <c r="F26" s="68"/>
      <c r="G26" s="68">
        <f>'G9BDF TotalWO'!G26*'G9BDF Input'!$H$14</f>
        <v>441818</v>
      </c>
      <c r="H26" s="59"/>
      <c r="I26" s="59">
        <f t="shared" si="0"/>
        <v>441818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'G9BDF TotalWO'!E27*'G9BDF Input'!$H$13</f>
        <v>0</v>
      </c>
      <c r="F27" s="68"/>
      <c r="G27" s="71">
        <f>'G9BDF TotalWO'!G27*'G9BDF Input'!$H$14</f>
        <v>441818</v>
      </c>
      <c r="H27" s="59"/>
      <c r="I27" s="61">
        <f t="shared" si="0"/>
        <v>441818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5301816</v>
      </c>
      <c r="H28" s="64"/>
      <c r="I28" s="63">
        <f>SUM(I16:I27)</f>
        <v>5301816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441818</v>
      </c>
      <c r="H30" s="64"/>
      <c r="I30" s="66">
        <f>ROUND(+I28/12,2)</f>
        <v>441818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441818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155</v>
      </c>
    </row>
    <row r="36" spans="1:13" x14ac:dyDescent="0.2">
      <c r="A36" s="48">
        <f t="shared" si="1"/>
        <v>22</v>
      </c>
      <c r="I36" s="62" t="s">
        <v>178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System Reliability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West Sioux Rebuild Y2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2.380.00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812.17</v>
      </c>
      <c r="H53" s="64"/>
      <c r="I53" s="63">
        <f t="shared" ref="I53:I64" si="4">G53-E53</f>
        <v>812.17</v>
      </c>
      <c r="K53" s="58"/>
      <c r="M53" s="17">
        <f>+ROUND(M67/12,2)</f>
        <v>119.39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812.17</v>
      </c>
      <c r="H54" s="57"/>
      <c r="I54" s="59">
        <f t="shared" si="4"/>
        <v>812.17</v>
      </c>
      <c r="M54" s="88">
        <f t="shared" ref="M54:M60" si="8">+M53</f>
        <v>119.39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812.17</v>
      </c>
      <c r="H55" s="57"/>
      <c r="I55" s="59">
        <f t="shared" si="4"/>
        <v>812.17</v>
      </c>
      <c r="M55" s="88">
        <f t="shared" si="8"/>
        <v>119.39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812.17</v>
      </c>
      <c r="H56" s="57"/>
      <c r="I56" s="59">
        <f t="shared" si="4"/>
        <v>812.17</v>
      </c>
      <c r="M56" s="88">
        <f t="shared" si="8"/>
        <v>119.39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812.17</v>
      </c>
      <c r="H57" s="57"/>
      <c r="I57" s="59">
        <f t="shared" si="4"/>
        <v>812.17</v>
      </c>
      <c r="M57" s="88">
        <f t="shared" si="8"/>
        <v>119.39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812.17</v>
      </c>
      <c r="H58" s="57"/>
      <c r="I58" s="59">
        <f t="shared" si="4"/>
        <v>812.17</v>
      </c>
      <c r="M58" s="88">
        <f t="shared" si="8"/>
        <v>119.39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812.17</v>
      </c>
      <c r="H59" s="57"/>
      <c r="I59" s="59">
        <f t="shared" si="4"/>
        <v>812.17</v>
      </c>
      <c r="M59" s="88">
        <f t="shared" si="8"/>
        <v>119.39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812.17</v>
      </c>
      <c r="H60" s="57"/>
      <c r="I60" s="59">
        <f t="shared" si="4"/>
        <v>812.17</v>
      </c>
      <c r="M60" s="88">
        <f t="shared" si="8"/>
        <v>119.39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812.17</v>
      </c>
      <c r="H61" s="57"/>
      <c r="I61" s="59">
        <f t="shared" si="4"/>
        <v>812.17</v>
      </c>
      <c r="M61" s="88">
        <f>+M60+0.01</f>
        <v>119.4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812.17</v>
      </c>
      <c r="H62" s="57"/>
      <c r="I62" s="59">
        <f t="shared" si="4"/>
        <v>812.17</v>
      </c>
      <c r="M62" s="88">
        <f>+M61</f>
        <v>119.4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812.17</v>
      </c>
      <c r="H63" s="57"/>
      <c r="I63" s="59">
        <f t="shared" si="4"/>
        <v>812.17</v>
      </c>
      <c r="M63" s="88">
        <f>+M62</f>
        <v>119.4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812.17</v>
      </c>
      <c r="H64" s="57"/>
      <c r="I64" s="61">
        <f t="shared" si="4"/>
        <v>812.17</v>
      </c>
      <c r="M64" s="61">
        <f>+M63</f>
        <v>119.4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9746.0399999999991</v>
      </c>
      <c r="H65" s="64"/>
      <c r="I65" s="63">
        <f>SUM(I53:I64)</f>
        <v>9746.0399999999991</v>
      </c>
      <c r="M65" s="63">
        <f>SUM(M53:M64)</f>
        <v>1432.7200000000003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9746.0399999999991</v>
      </c>
      <c r="K67" s="66">
        <f>ROUND(G16*K73,2)</f>
        <v>16568.18</v>
      </c>
      <c r="M67" s="66">
        <f>ROUND(+(K67-I67)*M73,2)</f>
        <v>1432.65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155</v>
      </c>
    </row>
    <row r="69" spans="1:13" x14ac:dyDescent="0.2">
      <c r="A69" s="48">
        <f t="shared" si="5"/>
        <v>17</v>
      </c>
      <c r="I69" s="62" t="s">
        <v>179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2.380.00</v>
      </c>
      <c r="D73" s="75"/>
      <c r="E73" s="76">
        <f>'G9BDF Input'!J13</f>
        <v>2.2058823529411766E-2</v>
      </c>
      <c r="F73" s="76"/>
      <c r="G73" s="76">
        <f>E73/12</f>
        <v>1.8382352941176473E-3</v>
      </c>
      <c r="K73" s="85">
        <f>+'G9BDF Input'!L13</f>
        <v>3.7499999999999999E-2</v>
      </c>
      <c r="M73" s="86">
        <f>+'G9BDF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System Reliability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West Sioux Rebuild Y2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2.380.00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812.17</v>
      </c>
      <c r="H93" s="57"/>
      <c r="I93" s="58">
        <f t="shared" si="9"/>
        <v>812.17</v>
      </c>
      <c r="M93" s="58">
        <f>+M53</f>
        <v>119.39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1624.34</v>
      </c>
      <c r="H94" s="57"/>
      <c r="I94" s="59">
        <f t="shared" si="9"/>
        <v>1624.34</v>
      </c>
      <c r="M94" s="59">
        <f t="shared" ref="M94:M104" si="14">+M93+M54</f>
        <v>238.78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2436.5099999999998</v>
      </c>
      <c r="H95" s="57"/>
      <c r="I95" s="59">
        <f t="shared" si="9"/>
        <v>2436.5099999999998</v>
      </c>
      <c r="M95" s="59">
        <f t="shared" si="14"/>
        <v>358.17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3248.68</v>
      </c>
      <c r="H96" s="57"/>
      <c r="I96" s="59">
        <f t="shared" si="9"/>
        <v>3248.68</v>
      </c>
      <c r="M96" s="59">
        <f t="shared" si="14"/>
        <v>477.56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4060.85</v>
      </c>
      <c r="H97" s="57"/>
      <c r="I97" s="59">
        <f t="shared" si="9"/>
        <v>4060.85</v>
      </c>
      <c r="M97" s="59">
        <f t="shared" si="14"/>
        <v>596.95000000000005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4873.0199999999995</v>
      </c>
      <c r="H98" s="57"/>
      <c r="I98" s="59">
        <f t="shared" si="9"/>
        <v>4873.0199999999995</v>
      </c>
      <c r="M98" s="59">
        <f t="shared" si="14"/>
        <v>716.34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5685.19</v>
      </c>
      <c r="H99" s="57"/>
      <c r="I99" s="59">
        <f t="shared" si="9"/>
        <v>5685.19</v>
      </c>
      <c r="M99" s="59">
        <f t="shared" si="14"/>
        <v>835.73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6497.36</v>
      </c>
      <c r="H100" s="57"/>
      <c r="I100" s="59">
        <f t="shared" si="9"/>
        <v>6497.36</v>
      </c>
      <c r="M100" s="59">
        <f t="shared" si="14"/>
        <v>955.12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7309.53</v>
      </c>
      <c r="H101" s="57"/>
      <c r="I101" s="59">
        <f t="shared" si="9"/>
        <v>7309.53</v>
      </c>
      <c r="M101" s="59">
        <f t="shared" si="14"/>
        <v>1074.52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8121.7</v>
      </c>
      <c r="H102" s="57"/>
      <c r="I102" s="59">
        <f t="shared" si="9"/>
        <v>8121.7</v>
      </c>
      <c r="M102" s="59">
        <f t="shared" si="14"/>
        <v>1193.92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8933.869999999999</v>
      </c>
      <c r="H103" s="57"/>
      <c r="I103" s="59">
        <f t="shared" si="9"/>
        <v>8933.869999999999</v>
      </c>
      <c r="M103" s="59">
        <f t="shared" si="14"/>
        <v>1313.3200000000002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9746.0399999999991</v>
      </c>
      <c r="H104" s="57"/>
      <c r="I104" s="61">
        <f t="shared" si="9"/>
        <v>9746.0399999999991</v>
      </c>
      <c r="M104" s="61">
        <f t="shared" si="14"/>
        <v>1432.7200000000003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63349.26</v>
      </c>
      <c r="H105" s="64"/>
      <c r="I105" s="63">
        <f>SUM(I93:I104)</f>
        <v>63349.26</v>
      </c>
      <c r="M105" s="63">
        <f>SUM(M93:M104)</f>
        <v>9312.52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5279.11</v>
      </c>
      <c r="H107" s="64"/>
      <c r="I107" s="66">
        <f>ROUND(+I105/12,2)</f>
        <v>5279.11</v>
      </c>
      <c r="M107" s="66">
        <f>ROUND(+M105/12,2)</f>
        <v>776.04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5279.11</v>
      </c>
      <c r="M110" s="78">
        <f>+M107</f>
        <v>776.04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155</v>
      </c>
      <c r="M111" s="62" t="s">
        <v>155</v>
      </c>
    </row>
    <row r="112" spans="1:13" x14ac:dyDescent="0.2">
      <c r="A112" s="48">
        <f t="shared" si="10"/>
        <v>21</v>
      </c>
      <c r="I112" s="62" t="s">
        <v>180</v>
      </c>
      <c r="M112" s="62" t="s">
        <v>182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2.380.00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8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6487-AD45-42FC-9AF6-02DE4EE1DD66}">
  <dimension ref="A1:N77"/>
  <sheetViews>
    <sheetView zoomScaleNormal="100" workbookViewId="0">
      <selection activeCell="A2" sqref="A2:H2"/>
    </sheetView>
  </sheetViews>
  <sheetFormatPr defaultColWidth="9.140625" defaultRowHeight="11.25" x14ac:dyDescent="0.2"/>
  <cols>
    <col min="1" max="1" width="4.42578125" style="80" customWidth="1"/>
    <col min="2" max="2" width="9.140625" style="80"/>
    <col min="3" max="3" width="0.85546875" style="80" customWidth="1"/>
    <col min="4" max="4" width="14.7109375" style="80" customWidth="1"/>
    <col min="5" max="5" width="5.85546875" style="80" customWidth="1"/>
    <col min="6" max="16384" width="9.140625" style="80"/>
  </cols>
  <sheetData>
    <row r="1" spans="1:14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6"/>
    </row>
    <row r="2" spans="1:14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6"/>
    </row>
    <row r="4" spans="1:14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  <c r="N4" s="116"/>
    </row>
    <row r="5" spans="1:14" ht="12.75" x14ac:dyDescent="0.2">
      <c r="A5" s="115" t="str">
        <f>'G9BDF Input'!A5:J5</f>
        <v>Pro-Forma Adjustment - System Reliability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</row>
    <row r="6" spans="1:14" ht="12.75" x14ac:dyDescent="0.2">
      <c r="A6" s="117" t="str">
        <f>'G9BDF Input'!F6</f>
        <v>SFS: West Sioux Rebuild Y2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  <c r="N6" s="116"/>
    </row>
    <row r="9" spans="1:14" x14ac:dyDescent="0.2">
      <c r="B9" s="81"/>
      <c r="D9" s="82"/>
    </row>
    <row r="10" spans="1:14" x14ac:dyDescent="0.2">
      <c r="B10" s="81"/>
      <c r="D10" s="82"/>
    </row>
    <row r="13" spans="1:14" x14ac:dyDescent="0.2">
      <c r="B13" s="81"/>
      <c r="D13" s="82"/>
    </row>
    <row r="14" spans="1:14" x14ac:dyDescent="0.2">
      <c r="B14" s="81"/>
      <c r="D14" s="82"/>
    </row>
    <row r="15" spans="1:14" x14ac:dyDescent="0.2">
      <c r="B15" s="81"/>
      <c r="D15" s="82"/>
    </row>
    <row r="16" spans="1:14" x14ac:dyDescent="0.2">
      <c r="B16" s="81"/>
      <c r="D16" s="82"/>
    </row>
    <row r="17" spans="2:4" x14ac:dyDescent="0.2">
      <c r="B17" s="81"/>
      <c r="D17" s="82"/>
    </row>
    <row r="18" spans="2:4" x14ac:dyDescent="0.2">
      <c r="B18" s="81"/>
      <c r="D18" s="82"/>
    </row>
    <row r="19" spans="2:4" x14ac:dyDescent="0.2">
      <c r="B19" s="81"/>
      <c r="D19" s="82"/>
    </row>
    <row r="20" spans="2:4" x14ac:dyDescent="0.2">
      <c r="B20" s="81"/>
      <c r="D20" s="82"/>
    </row>
    <row r="21" spans="2:4" x14ac:dyDescent="0.2">
      <c r="B21" s="81"/>
      <c r="D21" s="82"/>
    </row>
    <row r="22" spans="2:4" x14ac:dyDescent="0.2">
      <c r="B22" s="81"/>
      <c r="D22" s="82"/>
    </row>
    <row r="23" spans="2:4" x14ac:dyDescent="0.2">
      <c r="B23" s="81"/>
      <c r="D23" s="82"/>
    </row>
    <row r="24" spans="2:4" x14ac:dyDescent="0.2">
      <c r="B24" s="81"/>
      <c r="D24" s="82"/>
    </row>
    <row r="25" spans="2:4" x14ac:dyDescent="0.2">
      <c r="B25" s="81"/>
      <c r="D25" s="82"/>
    </row>
    <row r="26" spans="2:4" x14ac:dyDescent="0.2">
      <c r="B26" s="81"/>
      <c r="D26" s="82"/>
    </row>
    <row r="27" spans="2:4" x14ac:dyDescent="0.2">
      <c r="B27" s="81"/>
      <c r="D27" s="82"/>
    </row>
    <row r="28" spans="2:4" x14ac:dyDescent="0.2">
      <c r="B28" s="81"/>
      <c r="D28" s="82"/>
    </row>
    <row r="29" spans="2:4" x14ac:dyDescent="0.2">
      <c r="B29" s="81"/>
      <c r="D29" s="82"/>
    </row>
    <row r="30" spans="2:4" x14ac:dyDescent="0.2">
      <c r="B30" s="81"/>
      <c r="D30" s="82"/>
    </row>
    <row r="31" spans="2:4" x14ac:dyDescent="0.2">
      <c r="B31" s="81"/>
      <c r="D31" s="82"/>
    </row>
    <row r="32" spans="2:4" x14ac:dyDescent="0.2">
      <c r="B32" s="81"/>
      <c r="D32" s="82"/>
    </row>
    <row r="33" spans="2:4" x14ac:dyDescent="0.2">
      <c r="B33" s="81"/>
      <c r="D33" s="82"/>
    </row>
    <row r="34" spans="2:4" x14ac:dyDescent="0.2">
      <c r="B34" s="81"/>
      <c r="D34" s="82"/>
    </row>
    <row r="35" spans="2:4" x14ac:dyDescent="0.2">
      <c r="B35" s="81"/>
      <c r="D35" s="82"/>
    </row>
    <row r="36" spans="2:4" x14ac:dyDescent="0.2">
      <c r="B36" s="81"/>
      <c r="D36" s="82"/>
    </row>
    <row r="37" spans="2:4" x14ac:dyDescent="0.2">
      <c r="B37" s="81"/>
      <c r="D37" s="82"/>
    </row>
    <row r="38" spans="2:4" x14ac:dyDescent="0.2">
      <c r="B38" s="81"/>
      <c r="D38" s="82"/>
    </row>
    <row r="39" spans="2:4" x14ac:dyDescent="0.2">
      <c r="B39" s="81"/>
      <c r="D39" s="82"/>
    </row>
    <row r="40" spans="2:4" x14ac:dyDescent="0.2">
      <c r="B40" s="81"/>
      <c r="D40" s="82"/>
    </row>
    <row r="41" spans="2:4" x14ac:dyDescent="0.2">
      <c r="B41" s="81"/>
      <c r="D41" s="82"/>
    </row>
    <row r="42" spans="2:4" x14ac:dyDescent="0.2">
      <c r="B42" s="81"/>
      <c r="D42" s="82"/>
    </row>
    <row r="43" spans="2:4" x14ac:dyDescent="0.2">
      <c r="B43" s="81"/>
      <c r="D43" s="82"/>
    </row>
    <row r="44" spans="2:4" x14ac:dyDescent="0.2">
      <c r="B44" s="81"/>
      <c r="D44" s="82"/>
    </row>
    <row r="45" spans="2:4" x14ac:dyDescent="0.2">
      <c r="B45" s="81"/>
      <c r="D45" s="82"/>
    </row>
    <row r="46" spans="2:4" x14ac:dyDescent="0.2">
      <c r="B46" s="81"/>
      <c r="D46" s="82"/>
    </row>
    <row r="47" spans="2:4" x14ac:dyDescent="0.2">
      <c r="B47" s="81"/>
      <c r="D47" s="82"/>
    </row>
    <row r="48" spans="2:4" x14ac:dyDescent="0.2">
      <c r="B48" s="81"/>
      <c r="D48" s="82"/>
    </row>
    <row r="49" spans="2:4" x14ac:dyDescent="0.2">
      <c r="B49" s="81"/>
      <c r="D49" s="82"/>
    </row>
    <row r="50" spans="2:4" x14ac:dyDescent="0.2">
      <c r="B50" s="81"/>
      <c r="D50" s="82"/>
    </row>
    <row r="51" spans="2:4" x14ac:dyDescent="0.2">
      <c r="B51" s="81"/>
      <c r="D51" s="82"/>
    </row>
    <row r="52" spans="2:4" x14ac:dyDescent="0.2">
      <c r="B52" s="81"/>
      <c r="D52" s="82"/>
    </row>
    <row r="53" spans="2:4" x14ac:dyDescent="0.2">
      <c r="B53" s="81"/>
      <c r="D53" s="82"/>
    </row>
    <row r="54" spans="2:4" x14ac:dyDescent="0.2">
      <c r="B54" s="81"/>
      <c r="D54" s="82"/>
    </row>
    <row r="55" spans="2:4" x14ac:dyDescent="0.2">
      <c r="B55" s="81"/>
      <c r="D55" s="82"/>
    </row>
    <row r="56" spans="2:4" x14ac:dyDescent="0.2">
      <c r="B56" s="81"/>
      <c r="D56" s="82"/>
    </row>
    <row r="57" spans="2:4" x14ac:dyDescent="0.2">
      <c r="B57" s="81"/>
      <c r="D57" s="82"/>
    </row>
    <row r="58" spans="2:4" x14ac:dyDescent="0.2">
      <c r="B58" s="81"/>
      <c r="D58" s="82"/>
    </row>
    <row r="59" spans="2:4" x14ac:dyDescent="0.2">
      <c r="B59" s="81"/>
      <c r="D59" s="82"/>
    </row>
    <row r="60" spans="2:4" x14ac:dyDescent="0.2">
      <c r="B60" s="81"/>
      <c r="D60" s="82"/>
    </row>
    <row r="61" spans="2:4" x14ac:dyDescent="0.2">
      <c r="B61" s="81"/>
      <c r="D61" s="82"/>
    </row>
    <row r="62" spans="2:4" x14ac:dyDescent="0.2">
      <c r="B62" s="81"/>
      <c r="D62" s="82"/>
    </row>
    <row r="63" spans="2:4" x14ac:dyDescent="0.2">
      <c r="B63" s="81"/>
      <c r="D63" s="82"/>
    </row>
    <row r="64" spans="2:4" x14ac:dyDescent="0.2">
      <c r="B64" s="81"/>
      <c r="D64" s="82"/>
    </row>
    <row r="65" spans="1:14" x14ac:dyDescent="0.2">
      <c r="B65" s="81"/>
      <c r="D65" s="82"/>
    </row>
    <row r="66" spans="1:14" x14ac:dyDescent="0.2">
      <c r="B66" s="81"/>
      <c r="D66" s="82"/>
    </row>
    <row r="67" spans="1:14" x14ac:dyDescent="0.2">
      <c r="B67" s="81"/>
      <c r="D67" s="82"/>
    </row>
    <row r="68" spans="1:14" x14ac:dyDescent="0.2">
      <c r="B68" s="81"/>
      <c r="D68" s="82"/>
    </row>
    <row r="69" spans="1:14" x14ac:dyDescent="0.2">
      <c r="B69" s="81"/>
      <c r="D69" s="82"/>
    </row>
    <row r="72" spans="1:14" ht="12.75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6"/>
      <c r="L72" s="116"/>
      <c r="M72" s="116"/>
      <c r="N72" s="116"/>
    </row>
    <row r="73" spans="1:14" ht="12.75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6"/>
      <c r="L73" s="116"/>
      <c r="M73" s="116"/>
      <c r="N73" s="116"/>
    </row>
    <row r="75" spans="1:14" ht="12.75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6"/>
      <c r="L75" s="116"/>
      <c r="M75" s="116"/>
      <c r="N75" s="116"/>
    </row>
    <row r="76" spans="1:14" ht="12.75" x14ac:dyDescent="0.2">
      <c r="A76" s="115" t="str">
        <f>A5</f>
        <v>Pro-Forma Adjustment - System Reliability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6"/>
      <c r="L76" s="116"/>
      <c r="M76" s="116"/>
      <c r="N76" s="116"/>
    </row>
    <row r="77" spans="1:14" ht="12.75" x14ac:dyDescent="0.2">
      <c r="A77" s="117" t="str">
        <f>A6</f>
        <v>SFS: West Sioux Rebuild Y2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6"/>
      <c r="L77" s="116"/>
      <c r="M77" s="116"/>
      <c r="N77" s="116"/>
    </row>
  </sheetData>
  <mergeCells count="10">
    <mergeCell ref="A1:N1"/>
    <mergeCell ref="A2:N2"/>
    <mergeCell ref="A5:N5"/>
    <mergeCell ref="A4:N4"/>
    <mergeCell ref="A73:N73"/>
    <mergeCell ref="A76:N76"/>
    <mergeCell ref="A75:N75"/>
    <mergeCell ref="A77:N77"/>
    <mergeCell ref="A6:N6"/>
    <mergeCell ref="A72:N72"/>
  </mergeCells>
  <pageMargins left="0.75" right="0.75" top="1" bottom="1" header="0.5" footer="0.5"/>
  <pageSetup scale="7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7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4" x14ac:dyDescent="0.2">
      <c r="A5" s="111" t="str">
        <f>'WP D , pg 1'!A5:H5</f>
        <v>Pro-Forma Adjustment - Integrity Management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63</v>
      </c>
      <c r="E6" s="34"/>
      <c r="F6" s="109" t="s">
        <v>64</v>
      </c>
      <c r="G6" s="110"/>
      <c r="H6" s="110"/>
      <c r="I6" s="110"/>
      <c r="J6" s="110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32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76</v>
      </c>
      <c r="H13" s="5">
        <v>1</v>
      </c>
      <c r="J13" s="42">
        <f>1.5/68</f>
        <v>2.2058823529411766E-2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77</v>
      </c>
      <c r="H14" s="5">
        <v>0</v>
      </c>
      <c r="J14" s="42">
        <v>0</v>
      </c>
    </row>
    <row r="15" spans="1:14" x14ac:dyDescent="0.2">
      <c r="A15" s="36">
        <v>3</v>
      </c>
      <c r="B15" s="40">
        <f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ref="B16:B25" si="0">B15+30</f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44774</v>
      </c>
    </row>
    <row r="28" spans="1:10" x14ac:dyDescent="0.2">
      <c r="A28" s="36">
        <v>16</v>
      </c>
      <c r="B28" s="34" t="s">
        <v>79</v>
      </c>
      <c r="D28" s="103">
        <v>138012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82</v>
      </c>
    </row>
    <row r="33" spans="2:2" x14ac:dyDescent="0.2">
      <c r="B33" s="44" t="s">
        <v>83</v>
      </c>
    </row>
    <row r="34" spans="2:2" x14ac:dyDescent="0.2">
      <c r="B34" s="44" t="s">
        <v>84</v>
      </c>
    </row>
    <row r="35" spans="2:2" x14ac:dyDescent="0.2">
      <c r="B35" s="44" t="s">
        <v>85</v>
      </c>
    </row>
    <row r="36" spans="2:2" x14ac:dyDescent="0.2">
      <c r="B36" s="44" t="s">
        <v>86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5">
    <mergeCell ref="F6:J6"/>
    <mergeCell ref="A1:J1"/>
    <mergeCell ref="A2:J2"/>
    <mergeCell ref="A5:J5"/>
    <mergeCell ref="A4:J4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0" transitionEvaluation="1" transitionEntry="1"/>
  <dimension ref="A1:J433"/>
  <sheetViews>
    <sheetView topLeftCell="A10"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A4" s="112"/>
      <c r="B4" s="112"/>
      <c r="C4" s="112"/>
      <c r="D4" s="112"/>
      <c r="E4" s="112"/>
      <c r="F4" s="112"/>
      <c r="G4" s="112"/>
      <c r="H4" s="112"/>
      <c r="I4" s="112"/>
      <c r="J4" s="47"/>
    </row>
    <row r="5" spans="1:10" x14ac:dyDescent="0.2">
      <c r="A5" s="45" t="str">
        <f>'G9BDD Input'!A5:J5</f>
        <v>Pro-Forma Adjustment - Integrity Management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'G9BDD Input'!F6</f>
        <v>SFS: Canton Southeast Rebuild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'G9BDD Input'!B13</f>
        <v>44180</v>
      </c>
      <c r="D15" s="55"/>
      <c r="E15" s="56">
        <f>'G9BDD Input'!D13*'G9BDD Input'!$D$7*'G9BDD Input'!$H$7</f>
        <v>0</v>
      </c>
      <c r="F15" s="57"/>
      <c r="G15" s="56">
        <f>'G9BDD Input'!D27*'G9BDD Input'!D6*'G9BDD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'G9BDD Input'!B14</f>
        <v>44211</v>
      </c>
      <c r="D16" s="55"/>
      <c r="E16" s="58">
        <f>'G9BDD Input'!D14*'G9BDD Input'!$D$7*'G9BDD Input'!$H$7</f>
        <v>0</v>
      </c>
      <c r="F16" s="57"/>
      <c r="G16" s="58">
        <f>'G9BDD Input'!D28*'G9BDD Input'!D7*'G9BDD Input'!H7</f>
        <v>138012</v>
      </c>
      <c r="H16" s="57"/>
      <c r="I16" s="58">
        <f t="shared" si="0"/>
        <v>138012</v>
      </c>
    </row>
    <row r="17" spans="1:10" x14ac:dyDescent="0.2">
      <c r="A17" s="48">
        <f t="shared" si="1"/>
        <v>3</v>
      </c>
      <c r="C17" s="55">
        <f>'G9BDD Input'!B15</f>
        <v>44241</v>
      </c>
      <c r="D17" s="55"/>
      <c r="E17" s="58">
        <f>'G9BDD Input'!D15*'G9BDD Input'!$D$7*'G9BDD Input'!$H$7</f>
        <v>0</v>
      </c>
      <c r="F17" s="57"/>
      <c r="G17" s="59">
        <f t="shared" ref="G17:G27" si="2">$G$16</f>
        <v>138012</v>
      </c>
      <c r="H17" s="57"/>
      <c r="I17" s="59">
        <f t="shared" si="0"/>
        <v>138012</v>
      </c>
      <c r="J17" s="57"/>
    </row>
    <row r="18" spans="1:10" x14ac:dyDescent="0.2">
      <c r="A18" s="48">
        <f t="shared" si="1"/>
        <v>4</v>
      </c>
      <c r="C18" s="55">
        <f>'G9BDD Input'!B16</f>
        <v>44271</v>
      </c>
      <c r="D18" s="55"/>
      <c r="E18" s="58">
        <f>'G9BDD Input'!D16*'G9BDD Input'!$D$7*'G9BDD Input'!$H$7</f>
        <v>0</v>
      </c>
      <c r="F18" s="57"/>
      <c r="G18" s="59">
        <f t="shared" si="2"/>
        <v>138012</v>
      </c>
      <c r="H18" s="57"/>
      <c r="I18" s="59">
        <f t="shared" si="0"/>
        <v>138012</v>
      </c>
      <c r="J18" s="57"/>
    </row>
    <row r="19" spans="1:10" x14ac:dyDescent="0.2">
      <c r="A19" s="48">
        <f t="shared" si="1"/>
        <v>5</v>
      </c>
      <c r="C19" s="55">
        <f>'G9BDD Input'!B17</f>
        <v>44301</v>
      </c>
      <c r="D19" s="55"/>
      <c r="E19" s="58">
        <f>'G9BDD Input'!D17*'G9BDD Input'!$D$7*'G9BDD Input'!$H$7</f>
        <v>0</v>
      </c>
      <c r="F19" s="57"/>
      <c r="G19" s="59">
        <f t="shared" si="2"/>
        <v>138012</v>
      </c>
      <c r="H19" s="57"/>
      <c r="I19" s="59">
        <f t="shared" si="0"/>
        <v>138012</v>
      </c>
      <c r="J19" s="57"/>
    </row>
    <row r="20" spans="1:10" x14ac:dyDescent="0.2">
      <c r="A20" s="48">
        <f t="shared" si="1"/>
        <v>6</v>
      </c>
      <c r="C20" s="55">
        <f>'G9BDD Input'!B18</f>
        <v>44331</v>
      </c>
      <c r="D20" s="55"/>
      <c r="E20" s="58">
        <f>'G9BDD Input'!D18*'G9BDD Input'!$D$7*'G9BDD Input'!$H$7</f>
        <v>0</v>
      </c>
      <c r="F20" s="57"/>
      <c r="G20" s="59">
        <f t="shared" si="2"/>
        <v>138012</v>
      </c>
      <c r="H20" s="57"/>
      <c r="I20" s="59">
        <f t="shared" si="0"/>
        <v>138012</v>
      </c>
      <c r="J20" s="57"/>
    </row>
    <row r="21" spans="1:10" x14ac:dyDescent="0.2">
      <c r="A21" s="48">
        <f t="shared" si="1"/>
        <v>7</v>
      </c>
      <c r="C21" s="55">
        <f>'G9BDD Input'!B19</f>
        <v>44361</v>
      </c>
      <c r="D21" s="55"/>
      <c r="E21" s="58">
        <f>'G9BDD Input'!D19*'G9BDD Input'!$D$7*'G9BDD Input'!$H$7</f>
        <v>0</v>
      </c>
      <c r="F21" s="57"/>
      <c r="G21" s="59">
        <f t="shared" si="2"/>
        <v>138012</v>
      </c>
      <c r="H21" s="57"/>
      <c r="I21" s="59">
        <f t="shared" si="0"/>
        <v>138012</v>
      </c>
      <c r="J21" s="57"/>
    </row>
    <row r="22" spans="1:10" x14ac:dyDescent="0.2">
      <c r="A22" s="48">
        <f t="shared" si="1"/>
        <v>8</v>
      </c>
      <c r="C22" s="55">
        <f>'G9BDD Input'!B20</f>
        <v>44391</v>
      </c>
      <c r="D22" s="55"/>
      <c r="E22" s="58">
        <f>'G9BDD Input'!D20*'G9BDD Input'!$D$7*'G9BDD Input'!$H$7</f>
        <v>0</v>
      </c>
      <c r="F22" s="57"/>
      <c r="G22" s="59">
        <f t="shared" si="2"/>
        <v>138012</v>
      </c>
      <c r="H22" s="57"/>
      <c r="I22" s="59">
        <f t="shared" si="0"/>
        <v>138012</v>
      </c>
      <c r="J22" s="57"/>
    </row>
    <row r="23" spans="1:10" x14ac:dyDescent="0.2">
      <c r="A23" s="48">
        <f t="shared" si="1"/>
        <v>9</v>
      </c>
      <c r="C23" s="55">
        <f>'G9BDD Input'!B21</f>
        <v>44421</v>
      </c>
      <c r="D23" s="55"/>
      <c r="E23" s="58">
        <f>'G9BDD Input'!D21*'G9BDD Input'!$D$7*'G9BDD Input'!$H$7</f>
        <v>0</v>
      </c>
      <c r="F23" s="57"/>
      <c r="G23" s="59">
        <f t="shared" si="2"/>
        <v>138012</v>
      </c>
      <c r="H23" s="57"/>
      <c r="I23" s="59">
        <f t="shared" si="0"/>
        <v>138012</v>
      </c>
      <c r="J23" s="57"/>
    </row>
    <row r="24" spans="1:10" x14ac:dyDescent="0.2">
      <c r="A24" s="48">
        <f t="shared" si="1"/>
        <v>10</v>
      </c>
      <c r="C24" s="55">
        <f>'G9BDD Input'!B22</f>
        <v>44451</v>
      </c>
      <c r="D24" s="55"/>
      <c r="E24" s="58">
        <f>'G9BDD Input'!D22*'G9BDD Input'!$D$7*'G9BDD Input'!$H$7</f>
        <v>0</v>
      </c>
      <c r="F24" s="57"/>
      <c r="G24" s="59">
        <f t="shared" si="2"/>
        <v>138012</v>
      </c>
      <c r="H24" s="57"/>
      <c r="I24" s="59">
        <f t="shared" si="0"/>
        <v>138012</v>
      </c>
      <c r="J24" s="57"/>
    </row>
    <row r="25" spans="1:10" x14ac:dyDescent="0.2">
      <c r="A25" s="48">
        <f t="shared" si="1"/>
        <v>11</v>
      </c>
      <c r="C25" s="55">
        <f>'G9BDD Input'!B23</f>
        <v>44481</v>
      </c>
      <c r="D25" s="55"/>
      <c r="E25" s="58">
        <f>'G9BDD Input'!D23*'G9BDD Input'!$D$7*'G9BDD Input'!$H$7</f>
        <v>0</v>
      </c>
      <c r="F25" s="57"/>
      <c r="G25" s="59">
        <f t="shared" si="2"/>
        <v>138012</v>
      </c>
      <c r="H25" s="57"/>
      <c r="I25" s="59">
        <f t="shared" si="0"/>
        <v>138012</v>
      </c>
      <c r="J25" s="57"/>
    </row>
    <row r="26" spans="1:10" x14ac:dyDescent="0.2">
      <c r="A26" s="48">
        <f t="shared" si="1"/>
        <v>12</v>
      </c>
      <c r="C26" s="55">
        <f>'G9BDD Input'!B24</f>
        <v>44511</v>
      </c>
      <c r="D26" s="55"/>
      <c r="E26" s="58">
        <f>'G9BDD Input'!D24*'G9BDD Input'!$D$7*'G9BDD Input'!$H$7</f>
        <v>0</v>
      </c>
      <c r="F26" s="57"/>
      <c r="G26" s="59">
        <f t="shared" si="2"/>
        <v>138012</v>
      </c>
      <c r="H26" s="57"/>
      <c r="I26" s="59">
        <f t="shared" si="0"/>
        <v>138012</v>
      </c>
      <c r="J26" s="57"/>
    </row>
    <row r="27" spans="1:10" x14ac:dyDescent="0.2">
      <c r="A27" s="48">
        <f t="shared" si="1"/>
        <v>13</v>
      </c>
      <c r="C27" s="55">
        <f>'G9BDD Input'!B25</f>
        <v>44541</v>
      </c>
      <c r="D27" s="55"/>
      <c r="E27" s="60">
        <f>'G9BDD Input'!D25*'G9BDD Input'!$D$7*'G9BDD Input'!$H$7</f>
        <v>0</v>
      </c>
      <c r="F27" s="57"/>
      <c r="G27" s="61">
        <f t="shared" si="2"/>
        <v>138012</v>
      </c>
      <c r="H27" s="57"/>
      <c r="I27" s="61">
        <f t="shared" si="0"/>
        <v>138012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1656144</v>
      </c>
      <c r="H28" s="64"/>
      <c r="I28" s="63">
        <f>SUM(I16:I27)</f>
        <v>1656144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138012</v>
      </c>
      <c r="H30" s="64"/>
      <c r="I30" s="66">
        <f>ROUND(+I28/12,2)</f>
        <v>138012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138012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15.5703125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0.855468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'G9BDD Input'!A5:J5</f>
        <v>Pro-Forma Adjustment - Integrity Management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'G9BDD Input'!F6</f>
        <v>SFS: Canton Southeast Rebuild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G9BDDTotalWO!A8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"&amp;'G9BDD Input'!F13</f>
        <v>Acct 2.376.00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G9BDDTotalWO!C15</f>
        <v>44180</v>
      </c>
      <c r="D15" s="55"/>
      <c r="E15" s="56">
        <f>G9BDDTotalWO!E15*'G9BDD Input'!$H$13</f>
        <v>0</v>
      </c>
      <c r="F15" s="68"/>
      <c r="G15" s="56">
        <f>G9BDDTotalWO!G15*'G9BDD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G9BDDTotalWO!C16</f>
        <v>44211</v>
      </c>
      <c r="D16" s="55"/>
      <c r="E16" s="58">
        <f>G9BDDTotalWO!E16*'G9BDD Input'!$H$13</f>
        <v>0</v>
      </c>
      <c r="F16" s="68"/>
      <c r="G16" s="58">
        <f>G9BDDTotalWO!G16*'G9BDD Input'!$H$13</f>
        <v>138012</v>
      </c>
      <c r="H16" s="59"/>
      <c r="I16" s="58">
        <f t="shared" si="0"/>
        <v>138012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G9BDDTotalWO!E17*'G9BDD Input'!$H$13</f>
        <v>0</v>
      </c>
      <c r="F17" s="68"/>
      <c r="G17" s="68">
        <f>G9BDDTotalWO!G17*'G9BDD Input'!$H$13</f>
        <v>138012</v>
      </c>
      <c r="H17" s="59"/>
      <c r="I17" s="59">
        <f t="shared" si="0"/>
        <v>138012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G9BDDTotalWO!E18*'G9BDD Input'!$H$13</f>
        <v>0</v>
      </c>
      <c r="F18" s="68"/>
      <c r="G18" s="68">
        <f>G9BDDTotalWO!G18*'G9BDD Input'!$H$13</f>
        <v>138012</v>
      </c>
      <c r="H18" s="59"/>
      <c r="I18" s="59">
        <f t="shared" si="0"/>
        <v>138012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G9BDDTotalWO!E19*'G9BDD Input'!$H$13</f>
        <v>0</v>
      </c>
      <c r="F19" s="68"/>
      <c r="G19" s="68">
        <f>G9BDDTotalWO!G19*'G9BDD Input'!$H$13</f>
        <v>138012</v>
      </c>
      <c r="H19" s="59"/>
      <c r="I19" s="59">
        <f t="shared" si="0"/>
        <v>138012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G9BDDTotalWO!E20*'G9BDD Input'!$H$13</f>
        <v>0</v>
      </c>
      <c r="F20" s="68"/>
      <c r="G20" s="68">
        <f>G9BDDTotalWO!G20*'G9BDD Input'!$H$13</f>
        <v>138012</v>
      </c>
      <c r="H20" s="59"/>
      <c r="I20" s="59">
        <f t="shared" si="0"/>
        <v>138012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G9BDDTotalWO!E21*'G9BDD Input'!$H$13</f>
        <v>0</v>
      </c>
      <c r="F21" s="68"/>
      <c r="G21" s="68">
        <f>G9BDDTotalWO!G21*'G9BDD Input'!$H$13</f>
        <v>138012</v>
      </c>
      <c r="H21" s="59"/>
      <c r="I21" s="59">
        <f t="shared" si="0"/>
        <v>138012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G9BDDTotalWO!E22*'G9BDD Input'!$H$13</f>
        <v>0</v>
      </c>
      <c r="F22" s="68"/>
      <c r="G22" s="68">
        <f>G9BDDTotalWO!G22*'G9BDD Input'!$H$13</f>
        <v>138012</v>
      </c>
      <c r="H22" s="59"/>
      <c r="I22" s="59">
        <f t="shared" si="0"/>
        <v>138012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G9BDDTotalWO!E23*'G9BDD Input'!$H$13</f>
        <v>0</v>
      </c>
      <c r="F23" s="68"/>
      <c r="G23" s="68">
        <f>G9BDDTotalWO!G23*'G9BDD Input'!$H$13</f>
        <v>138012</v>
      </c>
      <c r="H23" s="59"/>
      <c r="I23" s="59">
        <f t="shared" si="0"/>
        <v>138012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G9BDDTotalWO!E24*'G9BDD Input'!$H$13</f>
        <v>0</v>
      </c>
      <c r="F24" s="68"/>
      <c r="G24" s="68">
        <f>G9BDDTotalWO!G24*'G9BDD Input'!$H$13</f>
        <v>138012</v>
      </c>
      <c r="H24" s="59"/>
      <c r="I24" s="59">
        <f t="shared" si="0"/>
        <v>138012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G9BDDTotalWO!E25*'G9BDD Input'!$H$13</f>
        <v>0</v>
      </c>
      <c r="F25" s="68"/>
      <c r="G25" s="68">
        <f>G9BDDTotalWO!G25*'G9BDD Input'!$H$13</f>
        <v>138012</v>
      </c>
      <c r="H25" s="59"/>
      <c r="I25" s="59">
        <f t="shared" si="0"/>
        <v>138012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G9BDDTotalWO!E26*'G9BDD Input'!$H$13</f>
        <v>0</v>
      </c>
      <c r="F26" s="68"/>
      <c r="G26" s="68">
        <f>G9BDDTotalWO!G26*'G9BDD Input'!$H$13</f>
        <v>138012</v>
      </c>
      <c r="H26" s="59"/>
      <c r="I26" s="59">
        <f t="shared" si="0"/>
        <v>138012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G9BDDTotalWO!E27*'G9BDD Input'!$H$13</f>
        <v>0</v>
      </c>
      <c r="F27" s="68"/>
      <c r="G27" s="71">
        <f>G9BDDTotalWO!G27*'G9BDD Input'!$H$13</f>
        <v>138012</v>
      </c>
      <c r="H27" s="59"/>
      <c r="I27" s="61">
        <f t="shared" si="0"/>
        <v>138012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1656144</v>
      </c>
      <c r="H28" s="64"/>
      <c r="I28" s="63">
        <f>SUM(I16:I27)</f>
        <v>1656144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138012</v>
      </c>
      <c r="H30" s="64"/>
      <c r="I30" s="66">
        <f>ROUND(+I28/12,2)</f>
        <v>138012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138012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99</v>
      </c>
    </row>
    <row r="36" spans="1:13" x14ac:dyDescent="0.2">
      <c r="A36" s="48">
        <f t="shared" si="1"/>
        <v>22</v>
      </c>
      <c r="I36" s="62" t="s">
        <v>100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Integrity Management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Canton Southeast Rebuild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2.376.00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253.7</v>
      </c>
      <c r="H53" s="64"/>
      <c r="I53" s="63">
        <f t="shared" ref="I53:I64" si="4">G53-E53</f>
        <v>253.7</v>
      </c>
      <c r="K53" s="58"/>
      <c r="M53" s="63">
        <f>+ROUND(I53/I$67*M$67,2)</f>
        <v>37.29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253.7</v>
      </c>
      <c r="H54" s="57"/>
      <c r="I54" s="59">
        <f t="shared" si="4"/>
        <v>253.7</v>
      </c>
      <c r="M54" s="59">
        <f t="shared" ref="M54:M63" si="8">+ROUND(I54/I$67*M$67,2)</f>
        <v>37.29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253.7</v>
      </c>
      <c r="H55" s="57"/>
      <c r="I55" s="59">
        <f t="shared" si="4"/>
        <v>253.7</v>
      </c>
      <c r="M55" s="59">
        <f t="shared" si="8"/>
        <v>37.29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253.7</v>
      </c>
      <c r="H56" s="57"/>
      <c r="I56" s="59">
        <f t="shared" si="4"/>
        <v>253.7</v>
      </c>
      <c r="M56" s="59">
        <f t="shared" si="8"/>
        <v>37.29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253.7</v>
      </c>
      <c r="H57" s="57"/>
      <c r="I57" s="59">
        <f t="shared" si="4"/>
        <v>253.7</v>
      </c>
      <c r="M57" s="59">
        <f t="shared" si="8"/>
        <v>37.29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253.7</v>
      </c>
      <c r="H58" s="57"/>
      <c r="I58" s="59">
        <f t="shared" si="4"/>
        <v>253.7</v>
      </c>
      <c r="M58" s="59">
        <f t="shared" si="8"/>
        <v>37.29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253.7</v>
      </c>
      <c r="H59" s="57"/>
      <c r="I59" s="59">
        <f t="shared" si="4"/>
        <v>253.7</v>
      </c>
      <c r="M59" s="59">
        <f t="shared" si="8"/>
        <v>37.29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253.7</v>
      </c>
      <c r="H60" s="57"/>
      <c r="I60" s="59">
        <f t="shared" si="4"/>
        <v>253.7</v>
      </c>
      <c r="M60" s="59">
        <f t="shared" si="8"/>
        <v>37.29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253.7</v>
      </c>
      <c r="H61" s="57"/>
      <c r="I61" s="59">
        <f t="shared" si="4"/>
        <v>253.7</v>
      </c>
      <c r="M61" s="59">
        <f t="shared" si="8"/>
        <v>37.29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253.7</v>
      </c>
      <c r="H62" s="57"/>
      <c r="I62" s="59">
        <f t="shared" si="4"/>
        <v>253.7</v>
      </c>
      <c r="M62" s="59">
        <f t="shared" si="8"/>
        <v>37.29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253.7</v>
      </c>
      <c r="H63" s="57"/>
      <c r="I63" s="59">
        <f t="shared" si="4"/>
        <v>253.7</v>
      </c>
      <c r="M63" s="59">
        <f t="shared" si="8"/>
        <v>37.29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253.7</v>
      </c>
      <c r="H64" s="57"/>
      <c r="I64" s="61">
        <f t="shared" si="4"/>
        <v>253.7</v>
      </c>
      <c r="M64" s="61">
        <f>+ROUND(I64/I$67*M$67,2)+0.01</f>
        <v>37.299999999999997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3044.3999999999996</v>
      </c>
      <c r="H65" s="64"/>
      <c r="I65" s="63">
        <f>SUM(I53:I64)</f>
        <v>3044.3999999999996</v>
      </c>
      <c r="M65" s="63">
        <f>SUM(M53:M64)</f>
        <v>447.49000000000007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3044.3999999999996</v>
      </c>
      <c r="K67" s="66">
        <f>ROUND(G16*K73,2)</f>
        <v>5175.45</v>
      </c>
      <c r="M67" s="66">
        <f>ROUND(+(K67-I67)*M73,2)</f>
        <v>447.52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99</v>
      </c>
    </row>
    <row r="69" spans="1:13" x14ac:dyDescent="0.2">
      <c r="A69" s="48">
        <f t="shared" si="5"/>
        <v>17</v>
      </c>
      <c r="I69" s="62" t="s">
        <v>107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2.376.00</v>
      </c>
      <c r="D73" s="75"/>
      <c r="E73" s="76">
        <f>'G9BDD Input'!J13</f>
        <v>2.2058823529411766E-2</v>
      </c>
      <c r="F73" s="76"/>
      <c r="G73" s="76">
        <f>E73/12</f>
        <v>1.8382352941176473E-3</v>
      </c>
      <c r="K73" s="85">
        <f>+'G9BDD Input'!L13</f>
        <v>3.7499999999999999E-2</v>
      </c>
      <c r="M73" s="85">
        <f>+'G9BDD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Integrity Management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Canton Southeast Rebuild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2.376.00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253.7</v>
      </c>
      <c r="H93" s="57"/>
      <c r="I93" s="58">
        <f t="shared" si="9"/>
        <v>253.7</v>
      </c>
      <c r="M93" s="58">
        <f>+M53</f>
        <v>37.29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507.4</v>
      </c>
      <c r="H94" s="57"/>
      <c r="I94" s="59">
        <f t="shared" si="9"/>
        <v>507.4</v>
      </c>
      <c r="M94" s="59">
        <f>+M93+M54</f>
        <v>74.58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761.09999999999991</v>
      </c>
      <c r="H95" s="57"/>
      <c r="I95" s="59">
        <f t="shared" si="9"/>
        <v>761.09999999999991</v>
      </c>
      <c r="M95" s="59">
        <f t="shared" ref="M95:M104" si="14">+M94+M55</f>
        <v>111.87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1014.8</v>
      </c>
      <c r="H96" s="57"/>
      <c r="I96" s="59">
        <f t="shared" si="9"/>
        <v>1014.8</v>
      </c>
      <c r="M96" s="59">
        <f t="shared" si="14"/>
        <v>149.16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1268.5</v>
      </c>
      <c r="H97" s="57"/>
      <c r="I97" s="59">
        <f t="shared" si="9"/>
        <v>1268.5</v>
      </c>
      <c r="M97" s="59">
        <f t="shared" si="14"/>
        <v>186.45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1522.2</v>
      </c>
      <c r="H98" s="57"/>
      <c r="I98" s="59">
        <f t="shared" si="9"/>
        <v>1522.2</v>
      </c>
      <c r="M98" s="59">
        <f t="shared" si="14"/>
        <v>223.73999999999998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1775.9</v>
      </c>
      <c r="H99" s="57"/>
      <c r="I99" s="59">
        <f t="shared" si="9"/>
        <v>1775.9</v>
      </c>
      <c r="M99" s="59">
        <f t="shared" si="14"/>
        <v>261.02999999999997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2029.6000000000001</v>
      </c>
      <c r="H100" s="57"/>
      <c r="I100" s="59">
        <f t="shared" si="9"/>
        <v>2029.6000000000001</v>
      </c>
      <c r="M100" s="59">
        <f t="shared" si="14"/>
        <v>298.32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2283.3000000000002</v>
      </c>
      <c r="H101" s="57"/>
      <c r="I101" s="59">
        <f t="shared" si="9"/>
        <v>2283.3000000000002</v>
      </c>
      <c r="M101" s="59">
        <f t="shared" si="14"/>
        <v>335.61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2537</v>
      </c>
      <c r="H102" s="57"/>
      <c r="I102" s="59">
        <f t="shared" si="9"/>
        <v>2537</v>
      </c>
      <c r="M102" s="59">
        <f t="shared" si="14"/>
        <v>372.90000000000003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2790.7</v>
      </c>
      <c r="H103" s="57"/>
      <c r="I103" s="59">
        <f t="shared" si="9"/>
        <v>2790.7</v>
      </c>
      <c r="M103" s="59">
        <f t="shared" si="14"/>
        <v>410.19000000000005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3044.3999999999996</v>
      </c>
      <c r="H104" s="57"/>
      <c r="I104" s="61">
        <f t="shared" si="9"/>
        <v>3044.3999999999996</v>
      </c>
      <c r="M104" s="61">
        <f t="shared" si="14"/>
        <v>447.49000000000007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19788.599999999999</v>
      </c>
      <c r="H105" s="64"/>
      <c r="I105" s="63">
        <f>SUM(I93:I104)</f>
        <v>19788.599999999999</v>
      </c>
      <c r="M105" s="63">
        <f>SUM(M93:M104)</f>
        <v>2908.63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1649.05</v>
      </c>
      <c r="H107" s="64"/>
      <c r="I107" s="66">
        <f>ROUND(+I105/12,2)</f>
        <v>1649.05</v>
      </c>
      <c r="M107" s="66">
        <f>ROUND(+M105/12,2)</f>
        <v>242.39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1649.05</v>
      </c>
      <c r="M110" s="78">
        <f>+M107</f>
        <v>242.39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99</v>
      </c>
      <c r="M111" s="62" t="s">
        <v>99</v>
      </c>
    </row>
    <row r="112" spans="1:13" x14ac:dyDescent="0.2">
      <c r="A112" s="48">
        <f t="shared" si="10"/>
        <v>21</v>
      </c>
      <c r="I112" s="62" t="s">
        <v>122</v>
      </c>
      <c r="M112" s="62" t="s">
        <v>123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2.376.00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94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2"/>
  <sheetViews>
    <sheetView zoomScaleNormal="100" workbookViewId="0">
      <selection activeCell="A2" sqref="A2:H2"/>
    </sheetView>
  </sheetViews>
  <sheetFormatPr defaultRowHeight="11.25" x14ac:dyDescent="0.2"/>
  <cols>
    <col min="1" max="1" width="4.42578125" style="80" customWidth="1"/>
    <col min="2" max="2" width="9.140625" style="80"/>
    <col min="3" max="3" width="0.85546875" style="80" customWidth="1"/>
    <col min="4" max="16384" width="9.140625" style="80"/>
  </cols>
  <sheetData>
    <row r="1" spans="1:14" ht="12.75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6"/>
    </row>
    <row r="2" spans="1:14" ht="12.75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6"/>
    </row>
    <row r="4" spans="1:14" ht="12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6"/>
      <c r="M4" s="116"/>
      <c r="N4" s="116"/>
    </row>
    <row r="5" spans="1:14" ht="12.75" x14ac:dyDescent="0.2">
      <c r="A5" s="115" t="str">
        <f>'G9BDD Input'!A5:J5</f>
        <v>Pro-Forma Adjustment - Integrity Management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</row>
    <row r="6" spans="1:14" ht="12.75" x14ac:dyDescent="0.2">
      <c r="A6" s="117" t="str">
        <f>'G9BDD Input'!F6</f>
        <v>SFS: Canton Southeast Rebuild</v>
      </c>
      <c r="B6" s="117"/>
      <c r="C6" s="117"/>
      <c r="D6" s="117"/>
      <c r="E6" s="117"/>
      <c r="F6" s="117"/>
      <c r="G6" s="117"/>
      <c r="H6" s="117"/>
      <c r="I6" s="117"/>
      <c r="J6" s="117"/>
      <c r="K6" s="116"/>
      <c r="L6" s="116"/>
      <c r="M6" s="116"/>
      <c r="N6" s="116"/>
    </row>
    <row r="67" spans="1:14" ht="12.75" x14ac:dyDescent="0.2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6"/>
      <c r="L67" s="116"/>
      <c r="M67" s="116"/>
      <c r="N67" s="116"/>
    </row>
    <row r="68" spans="1:14" ht="12.75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6"/>
      <c r="L68" s="116"/>
      <c r="M68" s="116"/>
      <c r="N68" s="116"/>
    </row>
    <row r="70" spans="1:14" ht="12.75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6"/>
      <c r="L70" s="116"/>
      <c r="M70" s="116"/>
      <c r="N70" s="116"/>
    </row>
    <row r="71" spans="1:14" ht="12.75" x14ac:dyDescent="0.2">
      <c r="A71" s="115" t="str">
        <f>A5</f>
        <v>Pro-Forma Adjustment - Integrity Management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6"/>
      <c r="L71" s="116"/>
      <c r="M71" s="116"/>
      <c r="N71" s="116"/>
    </row>
    <row r="72" spans="1:14" ht="12.75" x14ac:dyDescent="0.2">
      <c r="A72" s="117" t="str">
        <f t="shared" ref="A72" si="0">A6</f>
        <v>SFS: Canton Southeast Rebuild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6"/>
      <c r="L72" s="116"/>
      <c r="M72" s="116"/>
      <c r="N72" s="116"/>
    </row>
  </sheetData>
  <mergeCells count="10">
    <mergeCell ref="A1:N1"/>
    <mergeCell ref="A2:N2"/>
    <mergeCell ref="A5:N5"/>
    <mergeCell ref="A4:N4"/>
    <mergeCell ref="A72:N72"/>
    <mergeCell ref="A6:N6"/>
    <mergeCell ref="A67:N67"/>
    <mergeCell ref="A68:N68"/>
    <mergeCell ref="A71:N71"/>
    <mergeCell ref="A70:N70"/>
  </mergeCells>
  <pageMargins left="0.75" right="0.75" top="1" bottom="1" header="0.5" footer="0.5"/>
  <pageSetup scale="78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1" manualBreakCount="1">
    <brk id="66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8"/>
  <sheetViews>
    <sheetView zoomScaleNormal="100" workbookViewId="0">
      <selection activeCell="A2" sqref="A2:H2"/>
    </sheetView>
  </sheetViews>
  <sheetFormatPr defaultColWidth="8" defaultRowHeight="11.25" x14ac:dyDescent="0.2"/>
  <cols>
    <col min="1" max="1" width="4.140625" style="32" customWidth="1"/>
    <col min="2" max="2" width="13.7109375" style="32" customWidth="1"/>
    <col min="3" max="3" width="0.85546875" style="32" customWidth="1"/>
    <col min="4" max="4" width="11.85546875" style="32" customWidth="1"/>
    <col min="5" max="5" width="0.85546875" style="32" customWidth="1"/>
    <col min="6" max="6" width="10.140625" style="32" customWidth="1"/>
    <col min="7" max="7" width="0.85546875" style="32" customWidth="1"/>
    <col min="8" max="8" width="10.28515625" style="32" customWidth="1"/>
    <col min="9" max="9" width="0.85546875" style="32" customWidth="1"/>
    <col min="10" max="10" width="8" style="32"/>
    <col min="11" max="11" width="1.7109375" style="32" customWidth="1"/>
    <col min="12" max="12" width="8" style="32"/>
    <col min="13" max="13" width="1.7109375" style="32" customWidth="1"/>
    <col min="14" max="16384" width="8" style="32"/>
  </cols>
  <sheetData>
    <row r="1" spans="1:14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2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2" customHeight="1" x14ac:dyDescent="0.2"/>
    <row r="4" spans="1:14" ht="12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4" x14ac:dyDescent="0.2">
      <c r="A5" s="111" t="str">
        <f>'WP D , pg 1'!A5:H5</f>
        <v>Pro-Forma Adjustment - Integrity Management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4" x14ac:dyDescent="0.2">
      <c r="B6" s="33" t="s">
        <v>62</v>
      </c>
      <c r="D6" s="97" t="s">
        <v>124</v>
      </c>
      <c r="E6" s="34"/>
      <c r="F6" s="109" t="s">
        <v>125</v>
      </c>
      <c r="G6" s="110"/>
      <c r="H6" s="110"/>
      <c r="I6" s="110"/>
      <c r="J6" s="110"/>
    </row>
    <row r="7" spans="1:14" x14ac:dyDescent="0.2">
      <c r="B7" s="34" t="s">
        <v>65</v>
      </c>
      <c r="D7" s="98">
        <v>1</v>
      </c>
      <c r="F7" s="34" t="s">
        <v>66</v>
      </c>
      <c r="H7" s="98">
        <v>1</v>
      </c>
    </row>
    <row r="8" spans="1:14" x14ac:dyDescent="0.2">
      <c r="L8" s="36" t="s">
        <v>67</v>
      </c>
      <c r="N8" s="36" t="s">
        <v>53</v>
      </c>
    </row>
    <row r="9" spans="1:14" x14ac:dyDescent="0.2">
      <c r="A9" s="32" t="s">
        <v>1</v>
      </c>
      <c r="F9" s="35" t="s">
        <v>68</v>
      </c>
      <c r="G9" s="35"/>
      <c r="H9" s="35"/>
      <c r="J9" s="36" t="s">
        <v>56</v>
      </c>
      <c r="L9" s="36" t="s">
        <v>56</v>
      </c>
      <c r="N9" s="36" t="s">
        <v>69</v>
      </c>
    </row>
    <row r="10" spans="1:14" x14ac:dyDescent="0.2">
      <c r="A10" s="91" t="s">
        <v>183</v>
      </c>
      <c r="B10" s="99" t="s">
        <v>70</v>
      </c>
      <c r="D10" s="37" t="s">
        <v>71</v>
      </c>
      <c r="E10" s="38"/>
      <c r="F10" s="37" t="s">
        <v>72</v>
      </c>
      <c r="H10" s="37" t="s">
        <v>73</v>
      </c>
      <c r="J10" s="37" t="s">
        <v>74</v>
      </c>
      <c r="L10" s="37" t="s">
        <v>74</v>
      </c>
      <c r="N10" s="37" t="s">
        <v>75</v>
      </c>
    </row>
    <row r="11" spans="1:14" x14ac:dyDescent="0.2">
      <c r="A11" s="93"/>
      <c r="B11" s="96" t="s">
        <v>5</v>
      </c>
      <c r="D11" s="36" t="s">
        <v>6</v>
      </c>
      <c r="E11" s="38"/>
      <c r="F11" s="36" t="s">
        <v>7</v>
      </c>
      <c r="H11" s="36" t="s">
        <v>41</v>
      </c>
      <c r="J11" s="36" t="s">
        <v>42</v>
      </c>
      <c r="L11" s="36" t="s">
        <v>43</v>
      </c>
      <c r="N11" s="36" t="s">
        <v>44</v>
      </c>
    </row>
    <row r="12" spans="1:14" x14ac:dyDescent="0.2">
      <c r="B12" s="100"/>
      <c r="D12" s="36"/>
      <c r="E12" s="38"/>
      <c r="F12" s="36"/>
      <c r="H12" s="36"/>
      <c r="J12" s="36"/>
    </row>
    <row r="13" spans="1:14" x14ac:dyDescent="0.2">
      <c r="A13" s="36">
        <v>1</v>
      </c>
      <c r="B13" s="39">
        <v>44180</v>
      </c>
      <c r="D13" s="43">
        <v>0</v>
      </c>
      <c r="E13" s="38"/>
      <c r="F13" s="36" t="s">
        <v>76</v>
      </c>
      <c r="H13" s="5">
        <v>1</v>
      </c>
      <c r="J13" s="42">
        <f>1.5/68</f>
        <v>2.2058823529411766E-2</v>
      </c>
      <c r="L13" s="42">
        <v>3.7499999999999999E-2</v>
      </c>
      <c r="N13" s="101">
        <v>0.21</v>
      </c>
    </row>
    <row r="14" spans="1:14" x14ac:dyDescent="0.2">
      <c r="A14" s="36">
        <v>2</v>
      </c>
      <c r="B14" s="40">
        <v>44211</v>
      </c>
      <c r="D14" s="43">
        <v>0</v>
      </c>
      <c r="E14" s="38"/>
      <c r="F14" s="36" t="s">
        <v>77</v>
      </c>
      <c r="H14" s="5">
        <v>0</v>
      </c>
      <c r="J14" s="42">
        <v>0</v>
      </c>
    </row>
    <row r="15" spans="1:14" x14ac:dyDescent="0.2">
      <c r="A15" s="36">
        <v>3</v>
      </c>
      <c r="B15" s="40">
        <f>B14+30</f>
        <v>44241</v>
      </c>
      <c r="D15" s="43">
        <v>0</v>
      </c>
      <c r="E15" s="38"/>
      <c r="F15" s="36" t="s">
        <v>77</v>
      </c>
      <c r="H15" s="5">
        <v>0</v>
      </c>
      <c r="J15" s="42">
        <v>0</v>
      </c>
    </row>
    <row r="16" spans="1:14" x14ac:dyDescent="0.2">
      <c r="A16" s="36">
        <v>4</v>
      </c>
      <c r="B16" s="40">
        <f t="shared" ref="B16:B25" si="0">B15+30</f>
        <v>44271</v>
      </c>
      <c r="D16" s="43">
        <v>0</v>
      </c>
      <c r="E16" s="38"/>
      <c r="F16" s="36" t="s">
        <v>77</v>
      </c>
      <c r="H16" s="5">
        <v>0</v>
      </c>
      <c r="J16" s="42">
        <v>0</v>
      </c>
    </row>
    <row r="17" spans="1:10" x14ac:dyDescent="0.2">
      <c r="A17" s="36">
        <v>5</v>
      </c>
      <c r="B17" s="40">
        <f t="shared" si="0"/>
        <v>44301</v>
      </c>
      <c r="D17" s="43">
        <v>0</v>
      </c>
      <c r="E17" s="38"/>
      <c r="F17" s="36" t="s">
        <v>77</v>
      </c>
      <c r="H17" s="5">
        <v>0</v>
      </c>
      <c r="J17" s="42">
        <v>0</v>
      </c>
    </row>
    <row r="18" spans="1:10" x14ac:dyDescent="0.2">
      <c r="A18" s="36">
        <v>6</v>
      </c>
      <c r="B18" s="40">
        <f t="shared" si="0"/>
        <v>44331</v>
      </c>
      <c r="D18" s="43">
        <v>0</v>
      </c>
      <c r="E18" s="38"/>
      <c r="F18" s="36"/>
      <c r="H18" s="41" t="s">
        <v>9</v>
      </c>
      <c r="J18" s="42"/>
    </row>
    <row r="19" spans="1:10" x14ac:dyDescent="0.2">
      <c r="A19" s="36">
        <v>7</v>
      </c>
      <c r="B19" s="40">
        <f t="shared" si="0"/>
        <v>44361</v>
      </c>
      <c r="D19" s="43">
        <v>0</v>
      </c>
      <c r="E19" s="38"/>
      <c r="F19" s="36"/>
      <c r="H19" s="41" t="s">
        <v>9</v>
      </c>
      <c r="J19" s="42"/>
    </row>
    <row r="20" spans="1:10" x14ac:dyDescent="0.2">
      <c r="A20" s="36">
        <v>8</v>
      </c>
      <c r="B20" s="40">
        <f t="shared" si="0"/>
        <v>44391</v>
      </c>
      <c r="D20" s="43">
        <v>0</v>
      </c>
      <c r="E20" s="38"/>
      <c r="F20" s="36"/>
      <c r="H20" s="41" t="s">
        <v>9</v>
      </c>
      <c r="J20" s="42"/>
    </row>
    <row r="21" spans="1:10" x14ac:dyDescent="0.2">
      <c r="A21" s="36">
        <v>9</v>
      </c>
      <c r="B21" s="40">
        <f t="shared" si="0"/>
        <v>44421</v>
      </c>
      <c r="D21" s="43">
        <v>0</v>
      </c>
      <c r="E21" s="38"/>
      <c r="F21" s="36"/>
      <c r="H21" s="41" t="s">
        <v>9</v>
      </c>
      <c r="J21" s="42"/>
    </row>
    <row r="22" spans="1:10" x14ac:dyDescent="0.2">
      <c r="A22" s="36">
        <v>10</v>
      </c>
      <c r="B22" s="40">
        <f t="shared" si="0"/>
        <v>44451</v>
      </c>
      <c r="D22" s="43">
        <v>0</v>
      </c>
      <c r="E22" s="38"/>
      <c r="F22" s="36"/>
      <c r="H22" s="41" t="s">
        <v>9</v>
      </c>
      <c r="J22" s="42"/>
    </row>
    <row r="23" spans="1:10" x14ac:dyDescent="0.2">
      <c r="A23" s="36">
        <v>11</v>
      </c>
      <c r="B23" s="40">
        <f t="shared" si="0"/>
        <v>44481</v>
      </c>
      <c r="D23" s="43">
        <v>0</v>
      </c>
      <c r="E23" s="38"/>
      <c r="F23" s="36"/>
      <c r="H23" s="41" t="s">
        <v>9</v>
      </c>
      <c r="J23" s="42"/>
    </row>
    <row r="24" spans="1:10" x14ac:dyDescent="0.2">
      <c r="A24" s="36">
        <v>12</v>
      </c>
      <c r="B24" s="40">
        <f t="shared" si="0"/>
        <v>44511</v>
      </c>
      <c r="D24" s="43">
        <v>0</v>
      </c>
      <c r="E24" s="38"/>
      <c r="H24" s="41" t="s">
        <v>9</v>
      </c>
      <c r="J24" s="42"/>
    </row>
    <row r="25" spans="1:10" x14ac:dyDescent="0.2">
      <c r="A25" s="36">
        <v>13</v>
      </c>
      <c r="B25" s="40">
        <f t="shared" si="0"/>
        <v>44541</v>
      </c>
      <c r="D25" s="43">
        <v>0</v>
      </c>
      <c r="E25" s="38"/>
      <c r="H25" s="41"/>
      <c r="J25" s="42"/>
    </row>
    <row r="26" spans="1:10" x14ac:dyDescent="0.2">
      <c r="A26" s="36">
        <v>14</v>
      </c>
      <c r="D26" s="43"/>
      <c r="E26" s="38"/>
      <c r="J26" s="42"/>
    </row>
    <row r="27" spans="1:10" x14ac:dyDescent="0.2">
      <c r="A27" s="36">
        <v>15</v>
      </c>
      <c r="B27" s="34" t="s">
        <v>78</v>
      </c>
      <c r="D27" s="102">
        <v>44773</v>
      </c>
    </row>
    <row r="28" spans="1:10" x14ac:dyDescent="0.2">
      <c r="A28" s="36">
        <v>16</v>
      </c>
      <c r="B28" s="34" t="s">
        <v>79</v>
      </c>
      <c r="D28" s="103">
        <v>90766</v>
      </c>
    </row>
    <row r="30" spans="1:10" x14ac:dyDescent="0.2">
      <c r="B30" s="44" t="s">
        <v>80</v>
      </c>
    </row>
    <row r="31" spans="1:10" x14ac:dyDescent="0.2">
      <c r="B31" s="44" t="s">
        <v>81</v>
      </c>
    </row>
    <row r="32" spans="1:10" x14ac:dyDescent="0.2">
      <c r="B32" s="44" t="s">
        <v>126</v>
      </c>
    </row>
    <row r="33" spans="2:2" x14ac:dyDescent="0.2">
      <c r="B33" s="44" t="s">
        <v>127</v>
      </c>
    </row>
    <row r="34" spans="2:2" x14ac:dyDescent="0.2">
      <c r="B34" s="44" t="s">
        <v>128</v>
      </c>
    </row>
    <row r="35" spans="2:2" x14ac:dyDescent="0.2">
      <c r="B35" s="44" t="s">
        <v>129</v>
      </c>
    </row>
    <row r="36" spans="2:2" x14ac:dyDescent="0.2">
      <c r="B36" s="44" t="s">
        <v>130</v>
      </c>
    </row>
    <row r="37" spans="2:2" x14ac:dyDescent="0.2">
      <c r="B37" s="32" t="s">
        <v>87</v>
      </c>
    </row>
    <row r="38" spans="2:2" x14ac:dyDescent="0.2">
      <c r="B38" s="32" t="s">
        <v>88</v>
      </c>
    </row>
  </sheetData>
  <mergeCells count="5">
    <mergeCell ref="F6:J6"/>
    <mergeCell ref="A1:J1"/>
    <mergeCell ref="A2:J2"/>
    <mergeCell ref="A5:J5"/>
    <mergeCell ref="A4:J4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/>
  <dimension ref="A1:J433"/>
  <sheetViews>
    <sheetView zoomScaleNormal="100" workbookViewId="0">
      <selection activeCell="A2" sqref="A2:H2"/>
    </sheetView>
  </sheetViews>
  <sheetFormatPr defaultColWidth="11" defaultRowHeight="11.25" x14ac:dyDescent="0.2"/>
  <cols>
    <col min="1" max="1" width="4.85546875" style="48" customWidth="1"/>
    <col min="2" max="2" width="1" style="48" customWidth="1"/>
    <col min="3" max="3" width="14.7109375" style="48" customWidth="1"/>
    <col min="4" max="4" width="1" style="48" customWidth="1"/>
    <col min="5" max="5" width="17.85546875" style="48" customWidth="1"/>
    <col min="6" max="6" width="1" style="48" customWidth="1"/>
    <col min="7" max="7" width="17.85546875" style="48" customWidth="1"/>
    <col min="8" max="8" width="1" style="48" customWidth="1"/>
    <col min="9" max="9" width="15.85546875" style="48" customWidth="1"/>
    <col min="10" max="10" width="6.42578125" style="48" customWidth="1"/>
    <col min="11" max="11" width="4.85546875" style="48" customWidth="1"/>
    <col min="12" max="12" width="1" style="48" customWidth="1"/>
    <col min="13" max="13" width="25.140625" style="48" customWidth="1"/>
    <col min="14" max="14" width="1" style="48" customWidth="1"/>
    <col min="15" max="15" width="14.85546875" style="48" customWidth="1"/>
    <col min="16" max="16" width="1" style="48" customWidth="1"/>
    <col min="17" max="17" width="14.85546875" style="48" customWidth="1"/>
    <col min="18" max="18" width="1" style="48" customWidth="1"/>
    <col min="19" max="19" width="13.85546875" style="48" customWidth="1"/>
    <col min="20" max="20" width="6.42578125" style="48" customWidth="1"/>
    <col min="21" max="21" width="4.85546875" style="48" customWidth="1"/>
    <col min="22" max="22" width="1" style="48" customWidth="1"/>
    <col min="23" max="23" width="25.140625" style="48" customWidth="1"/>
    <col min="24" max="24" width="1" style="48" customWidth="1"/>
    <col min="25" max="25" width="14.85546875" style="48" customWidth="1"/>
    <col min="26" max="26" width="1" style="48" customWidth="1"/>
    <col min="27" max="27" width="14.85546875" style="48" customWidth="1"/>
    <col min="28" max="28" width="1" style="48" customWidth="1"/>
    <col min="29" max="29" width="13.85546875" style="48" customWidth="1"/>
    <col min="30" max="30" width="6.42578125" style="48" customWidth="1"/>
    <col min="31" max="31" width="4.85546875" style="48" customWidth="1"/>
    <col min="32" max="32" width="1" style="48" customWidth="1"/>
    <col min="33" max="33" width="25.140625" style="48" customWidth="1"/>
    <col min="34" max="34" width="1" style="48" customWidth="1"/>
    <col min="35" max="35" width="14.85546875" style="48" customWidth="1"/>
    <col min="36" max="36" width="1" style="48" customWidth="1"/>
    <col min="37" max="37" width="14.85546875" style="48" customWidth="1"/>
    <col min="38" max="38" width="1" style="48" customWidth="1"/>
    <col min="39" max="39" width="13.85546875" style="48" customWidth="1"/>
    <col min="40" max="40" width="6.42578125" style="48" customWidth="1"/>
    <col min="41" max="41" width="4.85546875" style="48" customWidth="1"/>
    <col min="42" max="42" width="1" style="48" customWidth="1"/>
    <col min="43" max="43" width="17.85546875" style="48" customWidth="1"/>
    <col min="44" max="44" width="1" style="48" customWidth="1"/>
    <col min="45" max="45" width="14.85546875" style="48" customWidth="1"/>
    <col min="46" max="46" width="1" style="48" customWidth="1"/>
    <col min="47" max="47" width="14.85546875" style="48" customWidth="1"/>
    <col min="48" max="48" width="1" style="48" customWidth="1"/>
    <col min="49" max="49" width="13.85546875" style="48" customWidth="1"/>
    <col min="50" max="16384" width="11" style="48"/>
  </cols>
  <sheetData>
    <row r="1" spans="1:10" x14ac:dyDescent="0.2">
      <c r="A1" s="45"/>
      <c r="B1" s="45"/>
      <c r="C1" s="46"/>
      <c r="D1" s="46"/>
      <c r="E1" s="46"/>
      <c r="F1" s="46"/>
      <c r="G1" s="46"/>
      <c r="H1" s="46"/>
      <c r="I1" s="46"/>
      <c r="J1" s="47" t="s">
        <v>9</v>
      </c>
    </row>
    <row r="2" spans="1:10" x14ac:dyDescent="0.2">
      <c r="A2" s="45"/>
      <c r="B2" s="45"/>
      <c r="C2" s="46"/>
      <c r="D2" s="46"/>
      <c r="E2" s="46"/>
      <c r="F2" s="46"/>
      <c r="G2" s="46"/>
      <c r="H2" s="46"/>
      <c r="I2" s="46"/>
      <c r="J2" s="47" t="s">
        <v>9</v>
      </c>
    </row>
    <row r="3" spans="1:10" x14ac:dyDescent="0.2">
      <c r="J3" s="47" t="s">
        <v>9</v>
      </c>
    </row>
    <row r="4" spans="1:10" x14ac:dyDescent="0.2">
      <c r="A4" s="112"/>
      <c r="B4" s="112"/>
      <c r="C4" s="112"/>
      <c r="D4" s="112"/>
      <c r="E4" s="112"/>
      <c r="F4" s="112"/>
      <c r="G4" s="112"/>
      <c r="H4" s="112"/>
      <c r="I4" s="112"/>
      <c r="J4" s="47"/>
    </row>
    <row r="5" spans="1:10" x14ac:dyDescent="0.2">
      <c r="A5" s="45" t="str">
        <f>'G9AYR Input'!A5:J5</f>
        <v>Pro-Forma Adjustment - Integrity Management</v>
      </c>
      <c r="B5" s="45"/>
      <c r="C5" s="46"/>
      <c r="D5" s="46"/>
      <c r="E5" s="46"/>
      <c r="F5" s="46"/>
      <c r="G5" s="46"/>
      <c r="H5" s="46"/>
      <c r="I5" s="46"/>
      <c r="J5" s="47"/>
    </row>
    <row r="6" spans="1:10" x14ac:dyDescent="0.2">
      <c r="A6" s="113" t="str">
        <f>'G9AYR Input'!F6</f>
        <v>SFS: Philips Ave Reconstruction</v>
      </c>
      <c r="B6" s="113"/>
      <c r="C6" s="113"/>
      <c r="D6" s="113"/>
      <c r="E6" s="113"/>
      <c r="F6" s="113"/>
      <c r="G6" s="113"/>
      <c r="H6" s="113"/>
      <c r="I6" s="113"/>
      <c r="J6" s="47"/>
    </row>
    <row r="7" spans="1:10" x14ac:dyDescent="0.2">
      <c r="A7" s="49"/>
      <c r="B7" s="49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9" t="s">
        <v>89</v>
      </c>
      <c r="B8" s="49"/>
      <c r="C8" s="47"/>
      <c r="D8" s="47"/>
      <c r="E8" s="47"/>
      <c r="F8" s="47"/>
      <c r="G8" s="47"/>
      <c r="H8" s="47"/>
      <c r="I8" s="47"/>
      <c r="J8" s="47" t="s">
        <v>9</v>
      </c>
    </row>
    <row r="9" spans="1:10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  <c r="J9" s="47" t="s">
        <v>9</v>
      </c>
    </row>
    <row r="11" spans="1:10" ht="12" thickBot="1" x14ac:dyDescent="0.25">
      <c r="A11" s="75" t="s">
        <v>90</v>
      </c>
      <c r="E11" s="50" t="s">
        <v>91</v>
      </c>
      <c r="F11" s="51"/>
      <c r="G11" s="51"/>
      <c r="H11" s="51"/>
      <c r="I11" s="51"/>
    </row>
    <row r="12" spans="1:10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0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0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0" x14ac:dyDescent="0.2">
      <c r="A15" s="48">
        <v>1</v>
      </c>
      <c r="C15" s="55">
        <f>'G9AYR Input'!B13</f>
        <v>44180</v>
      </c>
      <c r="D15" s="55"/>
      <c r="E15" s="56">
        <f>'G9AYR Input'!D13*'G9AYR Input'!$D$7*'G9AYR Input'!$H$7</f>
        <v>0</v>
      </c>
      <c r="F15" s="57"/>
      <c r="G15" s="56">
        <f>'G9AYR Input'!D27*'G9AYR Input'!D6*'G9AYR Input'!H6</f>
        <v>0</v>
      </c>
      <c r="H15" s="57"/>
      <c r="I15" s="56">
        <f t="shared" ref="I15:I27" si="0">G15-E15</f>
        <v>0</v>
      </c>
    </row>
    <row r="16" spans="1:10" x14ac:dyDescent="0.2">
      <c r="A16" s="48">
        <f t="shared" ref="A16:A38" si="1">1+A15</f>
        <v>2</v>
      </c>
      <c r="C16" s="55">
        <f>'G9AYR Input'!B14</f>
        <v>44211</v>
      </c>
      <c r="D16" s="55"/>
      <c r="E16" s="58">
        <f>'G9AYR Input'!D14*'G9AYR Input'!$D$7*'G9AYR Input'!$H$7</f>
        <v>0</v>
      </c>
      <c r="F16" s="57"/>
      <c r="G16" s="58">
        <f>'G9AYR Input'!D28*'G9AYR Input'!D7*'G9AYR Input'!H7</f>
        <v>90766</v>
      </c>
      <c r="H16" s="57"/>
      <c r="I16" s="58">
        <f t="shared" si="0"/>
        <v>90766</v>
      </c>
    </row>
    <row r="17" spans="1:10" x14ac:dyDescent="0.2">
      <c r="A17" s="48">
        <f t="shared" si="1"/>
        <v>3</v>
      </c>
      <c r="C17" s="55">
        <f>'G9AYR Input'!B15</f>
        <v>44241</v>
      </c>
      <c r="D17" s="55"/>
      <c r="E17" s="58">
        <f>'G9AYR Input'!D15*'G9AYR Input'!$D$7*'G9AYR Input'!$H$7</f>
        <v>0</v>
      </c>
      <c r="F17" s="57"/>
      <c r="G17" s="59">
        <f t="shared" ref="G17:G27" si="2">$G$16</f>
        <v>90766</v>
      </c>
      <c r="H17" s="57"/>
      <c r="I17" s="59">
        <f t="shared" si="0"/>
        <v>90766</v>
      </c>
      <c r="J17" s="57"/>
    </row>
    <row r="18" spans="1:10" x14ac:dyDescent="0.2">
      <c r="A18" s="48">
        <f t="shared" si="1"/>
        <v>4</v>
      </c>
      <c r="C18" s="55">
        <f>'G9AYR Input'!B16</f>
        <v>44271</v>
      </c>
      <c r="D18" s="55"/>
      <c r="E18" s="58">
        <f>'G9AYR Input'!D16*'G9AYR Input'!$D$7*'G9AYR Input'!$H$7</f>
        <v>0</v>
      </c>
      <c r="F18" s="57"/>
      <c r="G18" s="59">
        <f t="shared" si="2"/>
        <v>90766</v>
      </c>
      <c r="H18" s="57"/>
      <c r="I18" s="59">
        <f t="shared" si="0"/>
        <v>90766</v>
      </c>
      <c r="J18" s="57"/>
    </row>
    <row r="19" spans="1:10" x14ac:dyDescent="0.2">
      <c r="A19" s="48">
        <f t="shared" si="1"/>
        <v>5</v>
      </c>
      <c r="C19" s="55">
        <f>'G9AYR Input'!B17</f>
        <v>44301</v>
      </c>
      <c r="D19" s="55"/>
      <c r="E19" s="58">
        <f>'G9AYR Input'!D17*'G9AYR Input'!$D$7*'G9AYR Input'!$H$7</f>
        <v>0</v>
      </c>
      <c r="F19" s="57"/>
      <c r="G19" s="59">
        <f t="shared" si="2"/>
        <v>90766</v>
      </c>
      <c r="H19" s="57"/>
      <c r="I19" s="59">
        <f t="shared" si="0"/>
        <v>90766</v>
      </c>
      <c r="J19" s="57"/>
    </row>
    <row r="20" spans="1:10" x14ac:dyDescent="0.2">
      <c r="A20" s="48">
        <f t="shared" si="1"/>
        <v>6</v>
      </c>
      <c r="C20" s="55">
        <f>'G9AYR Input'!B18</f>
        <v>44331</v>
      </c>
      <c r="D20" s="55"/>
      <c r="E20" s="58">
        <f>'G9AYR Input'!D18*'G9AYR Input'!$D$7*'G9AYR Input'!$H$7</f>
        <v>0</v>
      </c>
      <c r="F20" s="57"/>
      <c r="G20" s="59">
        <f t="shared" si="2"/>
        <v>90766</v>
      </c>
      <c r="H20" s="57"/>
      <c r="I20" s="59">
        <f t="shared" si="0"/>
        <v>90766</v>
      </c>
      <c r="J20" s="57"/>
    </row>
    <row r="21" spans="1:10" x14ac:dyDescent="0.2">
      <c r="A21" s="48">
        <f t="shared" si="1"/>
        <v>7</v>
      </c>
      <c r="C21" s="55">
        <f>'G9AYR Input'!B19</f>
        <v>44361</v>
      </c>
      <c r="D21" s="55"/>
      <c r="E21" s="58">
        <f>'G9AYR Input'!D19*'G9AYR Input'!$D$7*'G9AYR Input'!$H$7</f>
        <v>0</v>
      </c>
      <c r="F21" s="57"/>
      <c r="G21" s="59">
        <f t="shared" si="2"/>
        <v>90766</v>
      </c>
      <c r="H21" s="57"/>
      <c r="I21" s="59">
        <f t="shared" si="0"/>
        <v>90766</v>
      </c>
      <c r="J21" s="57"/>
    </row>
    <row r="22" spans="1:10" x14ac:dyDescent="0.2">
      <c r="A22" s="48">
        <f t="shared" si="1"/>
        <v>8</v>
      </c>
      <c r="C22" s="55">
        <f>'G9AYR Input'!B20</f>
        <v>44391</v>
      </c>
      <c r="D22" s="55"/>
      <c r="E22" s="58">
        <f>'G9AYR Input'!D20*'G9AYR Input'!$D$7*'G9AYR Input'!$H$7</f>
        <v>0</v>
      </c>
      <c r="F22" s="57"/>
      <c r="G22" s="59">
        <f t="shared" si="2"/>
        <v>90766</v>
      </c>
      <c r="H22" s="57"/>
      <c r="I22" s="59">
        <f t="shared" si="0"/>
        <v>90766</v>
      </c>
      <c r="J22" s="57"/>
    </row>
    <row r="23" spans="1:10" x14ac:dyDescent="0.2">
      <c r="A23" s="48">
        <f t="shared" si="1"/>
        <v>9</v>
      </c>
      <c r="C23" s="55">
        <f>'G9AYR Input'!B21</f>
        <v>44421</v>
      </c>
      <c r="D23" s="55"/>
      <c r="E23" s="58">
        <f>'G9AYR Input'!D21*'G9AYR Input'!$D$7*'G9AYR Input'!$H$7</f>
        <v>0</v>
      </c>
      <c r="F23" s="57"/>
      <c r="G23" s="59">
        <f t="shared" si="2"/>
        <v>90766</v>
      </c>
      <c r="H23" s="57"/>
      <c r="I23" s="59">
        <f t="shared" si="0"/>
        <v>90766</v>
      </c>
      <c r="J23" s="57"/>
    </row>
    <row r="24" spans="1:10" x14ac:dyDescent="0.2">
      <c r="A24" s="48">
        <f t="shared" si="1"/>
        <v>10</v>
      </c>
      <c r="C24" s="55">
        <f>'G9AYR Input'!B22</f>
        <v>44451</v>
      </c>
      <c r="D24" s="55"/>
      <c r="E24" s="58">
        <f>'G9AYR Input'!D22*'G9AYR Input'!$D$7*'G9AYR Input'!$H$7</f>
        <v>0</v>
      </c>
      <c r="F24" s="57"/>
      <c r="G24" s="59">
        <f t="shared" si="2"/>
        <v>90766</v>
      </c>
      <c r="H24" s="57"/>
      <c r="I24" s="59">
        <f t="shared" si="0"/>
        <v>90766</v>
      </c>
      <c r="J24" s="57"/>
    </row>
    <row r="25" spans="1:10" x14ac:dyDescent="0.2">
      <c r="A25" s="48">
        <f t="shared" si="1"/>
        <v>11</v>
      </c>
      <c r="C25" s="55">
        <f>'G9AYR Input'!B23</f>
        <v>44481</v>
      </c>
      <c r="D25" s="55"/>
      <c r="E25" s="58">
        <f>'G9AYR Input'!D23*'G9AYR Input'!$D$7*'G9AYR Input'!$H$7</f>
        <v>0</v>
      </c>
      <c r="F25" s="57"/>
      <c r="G25" s="59">
        <f t="shared" si="2"/>
        <v>90766</v>
      </c>
      <c r="H25" s="57"/>
      <c r="I25" s="59">
        <f t="shared" si="0"/>
        <v>90766</v>
      </c>
      <c r="J25" s="57"/>
    </row>
    <row r="26" spans="1:10" x14ac:dyDescent="0.2">
      <c r="A26" s="48">
        <f t="shared" si="1"/>
        <v>12</v>
      </c>
      <c r="C26" s="55">
        <f>'G9AYR Input'!B24</f>
        <v>44511</v>
      </c>
      <c r="D26" s="55"/>
      <c r="E26" s="58">
        <f>'G9AYR Input'!D24*'G9AYR Input'!$D$7*'G9AYR Input'!$H$7</f>
        <v>0</v>
      </c>
      <c r="F26" s="57"/>
      <c r="G26" s="59">
        <f t="shared" si="2"/>
        <v>90766</v>
      </c>
      <c r="H26" s="57"/>
      <c r="I26" s="59">
        <f t="shared" si="0"/>
        <v>90766</v>
      </c>
      <c r="J26" s="57"/>
    </row>
    <row r="27" spans="1:10" x14ac:dyDescent="0.2">
      <c r="A27" s="48">
        <f t="shared" si="1"/>
        <v>13</v>
      </c>
      <c r="C27" s="55">
        <f>'G9AYR Input'!B25</f>
        <v>44541</v>
      </c>
      <c r="D27" s="55"/>
      <c r="E27" s="60">
        <f>'G9AYR Input'!D25*'G9AYR Input'!$D$7*'G9AYR Input'!$H$7</f>
        <v>0</v>
      </c>
      <c r="F27" s="57"/>
      <c r="G27" s="61">
        <f t="shared" si="2"/>
        <v>90766</v>
      </c>
      <c r="H27" s="57"/>
      <c r="I27" s="61">
        <f t="shared" si="0"/>
        <v>90766</v>
      </c>
      <c r="J27" s="57"/>
    </row>
    <row r="28" spans="1:10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1089192</v>
      </c>
      <c r="H28" s="64"/>
      <c r="I28" s="63">
        <f>SUM(I16:I27)</f>
        <v>1089192</v>
      </c>
      <c r="J28" s="57"/>
    </row>
    <row r="29" spans="1:10" x14ac:dyDescent="0.2">
      <c r="A29" s="48">
        <f t="shared" si="1"/>
        <v>15</v>
      </c>
      <c r="E29" s="57"/>
      <c r="F29" s="57"/>
      <c r="G29" s="57"/>
      <c r="H29" s="57"/>
      <c r="I29" s="57"/>
      <c r="J29" s="57"/>
    </row>
    <row r="30" spans="1:10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90766</v>
      </c>
      <c r="H30" s="64"/>
      <c r="I30" s="66">
        <f>ROUND(+I28/12,2)</f>
        <v>90766</v>
      </c>
      <c r="J30" s="64"/>
    </row>
    <row r="31" spans="1:10" ht="12" thickTop="1" x14ac:dyDescent="0.2">
      <c r="A31" s="48">
        <f t="shared" si="1"/>
        <v>17</v>
      </c>
      <c r="J31" s="57"/>
    </row>
    <row r="32" spans="1:10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  <c r="J32" s="57"/>
    </row>
    <row r="33" spans="1:10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90766</v>
      </c>
      <c r="J33" s="57"/>
    </row>
    <row r="34" spans="1:10" ht="12" thickTop="1" x14ac:dyDescent="0.2">
      <c r="A34" s="48">
        <f t="shared" si="1"/>
        <v>20</v>
      </c>
      <c r="J34" s="57"/>
    </row>
    <row r="35" spans="1:10" x14ac:dyDescent="0.2">
      <c r="A35" s="48">
        <f t="shared" si="1"/>
        <v>21</v>
      </c>
      <c r="J35" s="57"/>
    </row>
    <row r="36" spans="1:10" x14ac:dyDescent="0.2">
      <c r="A36" s="48">
        <f t="shared" si="1"/>
        <v>22</v>
      </c>
      <c r="J36" s="57"/>
    </row>
    <row r="37" spans="1:10" x14ac:dyDescent="0.2">
      <c r="A37" s="48">
        <f t="shared" si="1"/>
        <v>23</v>
      </c>
      <c r="J37" s="57"/>
    </row>
    <row r="38" spans="1:10" x14ac:dyDescent="0.2">
      <c r="A38" s="48">
        <f t="shared" si="1"/>
        <v>24</v>
      </c>
      <c r="J38" s="57"/>
    </row>
    <row r="39" spans="1:10" x14ac:dyDescent="0.2">
      <c r="J39" s="57"/>
    </row>
    <row r="40" spans="1:10" x14ac:dyDescent="0.2">
      <c r="J40" s="57"/>
    </row>
    <row r="41" spans="1:10" x14ac:dyDescent="0.2">
      <c r="J41" s="57"/>
    </row>
    <row r="42" spans="1:10" x14ac:dyDescent="0.2">
      <c r="J42" s="57"/>
    </row>
    <row r="43" spans="1:10" x14ac:dyDescent="0.2">
      <c r="J43" s="57"/>
    </row>
    <row r="44" spans="1:10" x14ac:dyDescent="0.2">
      <c r="J44" s="57"/>
    </row>
    <row r="45" spans="1:10" x14ac:dyDescent="0.2">
      <c r="J45" s="57"/>
    </row>
    <row r="46" spans="1:10" x14ac:dyDescent="0.2">
      <c r="J46" s="57"/>
    </row>
    <row r="47" spans="1:10" x14ac:dyDescent="0.2">
      <c r="J47" s="57"/>
    </row>
    <row r="48" spans="1:10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68" spans="10:10" x14ac:dyDescent="0.2">
      <c r="J68" s="47"/>
    </row>
    <row r="69" spans="10:10" x14ac:dyDescent="0.2">
      <c r="J69" s="47"/>
    </row>
    <row r="70" spans="10:10" x14ac:dyDescent="0.2">
      <c r="J70" s="47"/>
    </row>
    <row r="71" spans="10:10" x14ac:dyDescent="0.2">
      <c r="J71" s="47"/>
    </row>
    <row r="72" spans="10:10" x14ac:dyDescent="0.2">
      <c r="J72" s="47"/>
    </row>
    <row r="80" spans="10:10" x14ac:dyDescent="0.2">
      <c r="J80" s="64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64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33" spans="10:10" x14ac:dyDescent="0.2">
      <c r="J133" s="47"/>
    </row>
    <row r="134" spans="10:10" x14ac:dyDescent="0.2">
      <c r="J134" s="47"/>
    </row>
    <row r="135" spans="10:10" x14ac:dyDescent="0.2">
      <c r="J135" s="47"/>
    </row>
    <row r="136" spans="10:10" x14ac:dyDescent="0.2">
      <c r="J136" s="47"/>
    </row>
    <row r="137" spans="10:10" x14ac:dyDescent="0.2">
      <c r="J137" s="4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64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  <row r="219" spans="10:10" x14ac:dyDescent="0.2">
      <c r="J219" s="57"/>
    </row>
    <row r="220" spans="10:10" x14ac:dyDescent="0.2">
      <c r="J220" s="57"/>
    </row>
    <row r="221" spans="10:10" x14ac:dyDescent="0.2">
      <c r="J221" s="57"/>
    </row>
    <row r="222" spans="10:10" x14ac:dyDescent="0.2">
      <c r="J222" s="57"/>
    </row>
    <row r="223" spans="10:10" x14ac:dyDescent="0.2">
      <c r="J223" s="57"/>
    </row>
    <row r="224" spans="10:10" x14ac:dyDescent="0.2">
      <c r="J224" s="64"/>
    </row>
    <row r="225" spans="10:10" x14ac:dyDescent="0.2">
      <c r="J225" s="57"/>
    </row>
    <row r="226" spans="10:10" x14ac:dyDescent="0.2">
      <c r="J226" s="57"/>
    </row>
    <row r="227" spans="10:10" x14ac:dyDescent="0.2">
      <c r="J227" s="57"/>
    </row>
    <row r="228" spans="10:10" x14ac:dyDescent="0.2">
      <c r="J228" s="57"/>
    </row>
    <row r="229" spans="10:10" x14ac:dyDescent="0.2">
      <c r="J229" s="57"/>
    </row>
    <row r="230" spans="10:10" x14ac:dyDescent="0.2">
      <c r="J230" s="57"/>
    </row>
    <row r="231" spans="10:10" x14ac:dyDescent="0.2">
      <c r="J231" s="57"/>
    </row>
    <row r="232" spans="10:10" x14ac:dyDescent="0.2">
      <c r="J232" s="57"/>
    </row>
    <row r="233" spans="10:10" x14ac:dyDescent="0.2">
      <c r="J233" s="57"/>
    </row>
    <row r="234" spans="10:10" x14ac:dyDescent="0.2">
      <c r="J234" s="57"/>
    </row>
    <row r="235" spans="10:10" x14ac:dyDescent="0.2">
      <c r="J235" s="57"/>
    </row>
    <row r="236" spans="10:10" x14ac:dyDescent="0.2">
      <c r="J236" s="57"/>
    </row>
    <row r="237" spans="10:10" x14ac:dyDescent="0.2">
      <c r="J237" s="57"/>
    </row>
    <row r="238" spans="10:10" x14ac:dyDescent="0.2">
      <c r="J238" s="57"/>
    </row>
    <row r="239" spans="10:10" x14ac:dyDescent="0.2">
      <c r="J239" s="57"/>
    </row>
    <row r="240" spans="10:10" x14ac:dyDescent="0.2">
      <c r="J240" s="57"/>
    </row>
    <row r="241" spans="10:10" x14ac:dyDescent="0.2">
      <c r="J241" s="57"/>
    </row>
    <row r="242" spans="10:10" x14ac:dyDescent="0.2">
      <c r="J242" s="57"/>
    </row>
    <row r="243" spans="10:10" x14ac:dyDescent="0.2">
      <c r="J243" s="57"/>
    </row>
    <row r="244" spans="10:10" x14ac:dyDescent="0.2">
      <c r="J244" s="57"/>
    </row>
    <row r="245" spans="10:10" x14ac:dyDescent="0.2">
      <c r="J245" s="57"/>
    </row>
    <row r="246" spans="10:10" x14ac:dyDescent="0.2">
      <c r="J246" s="57"/>
    </row>
    <row r="247" spans="10:10" x14ac:dyDescent="0.2">
      <c r="J247" s="57"/>
    </row>
    <row r="248" spans="10:10" x14ac:dyDescent="0.2">
      <c r="J248" s="57"/>
    </row>
    <row r="249" spans="10:10" x14ac:dyDescent="0.2">
      <c r="J249" s="57"/>
    </row>
    <row r="250" spans="10:10" x14ac:dyDescent="0.2">
      <c r="J250" s="57"/>
    </row>
    <row r="251" spans="10:10" x14ac:dyDescent="0.2">
      <c r="J251" s="57"/>
    </row>
    <row r="275" spans="3:10" x14ac:dyDescent="0.2">
      <c r="C275" s="55"/>
      <c r="D275" s="55"/>
      <c r="E275" s="64"/>
      <c r="F275" s="64"/>
      <c r="G275" s="64"/>
      <c r="H275" s="64"/>
      <c r="I275" s="64"/>
    </row>
    <row r="276" spans="3:10" x14ac:dyDescent="0.2">
      <c r="C276" s="55"/>
      <c r="D276" s="55"/>
      <c r="E276" s="57"/>
      <c r="F276" s="57"/>
      <c r="G276" s="57"/>
      <c r="H276" s="57"/>
      <c r="I276" s="57"/>
      <c r="J276" s="57"/>
    </row>
    <row r="277" spans="3:10" x14ac:dyDescent="0.2">
      <c r="C277" s="55"/>
      <c r="D277" s="55"/>
      <c r="E277" s="57"/>
      <c r="F277" s="57"/>
      <c r="G277" s="57"/>
      <c r="H277" s="57"/>
      <c r="I277" s="57"/>
      <c r="J277" s="57"/>
    </row>
    <row r="278" spans="3:10" x14ac:dyDescent="0.2">
      <c r="C278" s="55"/>
      <c r="D278" s="55"/>
      <c r="E278" s="57"/>
      <c r="F278" s="57"/>
      <c r="G278" s="57"/>
      <c r="H278" s="57"/>
      <c r="I278" s="57"/>
      <c r="J278" s="57"/>
    </row>
    <row r="279" spans="3:10" x14ac:dyDescent="0.2">
      <c r="C279" s="55"/>
      <c r="D279" s="55"/>
      <c r="E279" s="57"/>
      <c r="F279" s="57"/>
      <c r="G279" s="57"/>
      <c r="H279" s="57"/>
      <c r="I279" s="57"/>
      <c r="J279" s="57"/>
    </row>
    <row r="280" spans="3:10" x14ac:dyDescent="0.2">
      <c r="C280" s="55"/>
      <c r="D280" s="55"/>
      <c r="E280" s="57"/>
      <c r="F280" s="57"/>
      <c r="G280" s="57"/>
      <c r="H280" s="57"/>
      <c r="I280" s="57"/>
      <c r="J280" s="57"/>
    </row>
    <row r="281" spans="3:10" x14ac:dyDescent="0.2">
      <c r="C281" s="55"/>
      <c r="D281" s="55"/>
      <c r="E281" s="57"/>
      <c r="F281" s="57"/>
      <c r="G281" s="57"/>
      <c r="H281" s="57"/>
      <c r="I281" s="57"/>
      <c r="J281" s="57"/>
    </row>
    <row r="282" spans="3:10" x14ac:dyDescent="0.2">
      <c r="C282" s="55"/>
      <c r="D282" s="55"/>
      <c r="E282" s="57"/>
      <c r="F282" s="57"/>
      <c r="G282" s="57"/>
      <c r="H282" s="57"/>
      <c r="I282" s="57"/>
      <c r="J282" s="57"/>
    </row>
    <row r="283" spans="3:10" x14ac:dyDescent="0.2">
      <c r="C283" s="55"/>
      <c r="D283" s="55"/>
      <c r="E283" s="57"/>
      <c r="F283" s="57"/>
      <c r="G283" s="57"/>
      <c r="H283" s="57"/>
      <c r="I283" s="57"/>
      <c r="J283" s="57"/>
    </row>
    <row r="284" spans="3:10" x14ac:dyDescent="0.2">
      <c r="C284" s="55"/>
      <c r="D284" s="55"/>
      <c r="E284" s="57"/>
      <c r="F284" s="57"/>
      <c r="G284" s="57"/>
      <c r="H284" s="57"/>
      <c r="I284" s="57"/>
      <c r="J284" s="57"/>
    </row>
    <row r="285" spans="3:10" x14ac:dyDescent="0.2">
      <c r="C285" s="55"/>
      <c r="D285" s="55"/>
      <c r="E285" s="57"/>
      <c r="F285" s="57"/>
      <c r="G285" s="57"/>
      <c r="H285" s="57"/>
      <c r="I285" s="57"/>
      <c r="J285" s="57"/>
    </row>
    <row r="286" spans="3:10" x14ac:dyDescent="0.2">
      <c r="C286" s="55"/>
      <c r="D286" s="55"/>
      <c r="E286" s="57"/>
      <c r="F286" s="57"/>
      <c r="G286" s="57"/>
      <c r="H286" s="57"/>
      <c r="I286" s="57"/>
      <c r="J286" s="57"/>
    </row>
    <row r="287" spans="3:10" x14ac:dyDescent="0.2">
      <c r="C287" s="55"/>
      <c r="D287" s="55"/>
      <c r="E287" s="57"/>
      <c r="F287" s="57"/>
      <c r="G287" s="57"/>
      <c r="H287" s="57"/>
      <c r="I287" s="57"/>
      <c r="J287" s="57"/>
    </row>
    <row r="288" spans="3:10" x14ac:dyDescent="0.2">
      <c r="C288" s="55"/>
      <c r="D288" s="55"/>
      <c r="E288" s="57"/>
      <c r="F288" s="57"/>
      <c r="G288" s="57"/>
      <c r="H288" s="57"/>
      <c r="I288" s="57"/>
      <c r="J288" s="57"/>
    </row>
    <row r="289" spans="5:10" x14ac:dyDescent="0.2">
      <c r="E289" s="64"/>
      <c r="F289" s="64"/>
      <c r="G289" s="64"/>
      <c r="H289" s="64"/>
      <c r="I289" s="64"/>
      <c r="J289" s="64"/>
    </row>
    <row r="290" spans="5:10" x14ac:dyDescent="0.2">
      <c r="E290" s="57"/>
      <c r="F290" s="57"/>
      <c r="G290" s="57"/>
      <c r="H290" s="57"/>
      <c r="I290" s="57"/>
      <c r="J290" s="57"/>
    </row>
    <row r="291" spans="5:10" x14ac:dyDescent="0.2">
      <c r="E291" s="57"/>
      <c r="F291" s="57"/>
      <c r="G291" s="57"/>
      <c r="H291" s="57"/>
      <c r="I291" s="57"/>
      <c r="J291" s="57"/>
    </row>
    <row r="292" spans="5:10" x14ac:dyDescent="0.2">
      <c r="E292" s="64"/>
      <c r="F292" s="64"/>
      <c r="G292" s="64"/>
      <c r="H292" s="64"/>
      <c r="I292" s="64"/>
      <c r="J292" s="57"/>
    </row>
    <row r="293" spans="5:10" x14ac:dyDescent="0.2">
      <c r="E293" s="57"/>
      <c r="F293" s="57"/>
      <c r="G293" s="57"/>
      <c r="H293" s="57"/>
      <c r="I293" s="57"/>
      <c r="J293" s="57"/>
    </row>
    <row r="294" spans="5:10" x14ac:dyDescent="0.2">
      <c r="E294" s="57"/>
      <c r="F294" s="57"/>
      <c r="G294" s="57"/>
      <c r="H294" s="57"/>
      <c r="I294" s="57"/>
      <c r="J294" s="57"/>
    </row>
    <row r="295" spans="5:10" x14ac:dyDescent="0.2">
      <c r="E295" s="57"/>
      <c r="F295" s="57"/>
      <c r="G295" s="57"/>
      <c r="H295" s="57"/>
      <c r="I295" s="57"/>
      <c r="J295" s="57"/>
    </row>
    <row r="296" spans="5:10" x14ac:dyDescent="0.2">
      <c r="E296" s="57"/>
      <c r="F296" s="57"/>
      <c r="G296" s="57"/>
      <c r="H296" s="57"/>
      <c r="I296" s="57"/>
      <c r="J296" s="57"/>
    </row>
    <row r="297" spans="5:10" x14ac:dyDescent="0.2">
      <c r="E297" s="57"/>
      <c r="F297" s="57"/>
      <c r="G297" s="57"/>
      <c r="H297" s="57"/>
      <c r="I297" s="57"/>
      <c r="J297" s="57"/>
    </row>
    <row r="298" spans="5:10" x14ac:dyDescent="0.2">
      <c r="E298" s="57"/>
      <c r="F298" s="57"/>
      <c r="G298" s="57"/>
      <c r="H298" s="57"/>
      <c r="I298" s="57"/>
      <c r="J298" s="57"/>
    </row>
    <row r="299" spans="5:10" x14ac:dyDescent="0.2">
      <c r="E299" s="57"/>
      <c r="F299" s="57"/>
      <c r="G299" s="57"/>
      <c r="H299" s="57"/>
      <c r="I299" s="57"/>
      <c r="J299" s="57"/>
    </row>
    <row r="300" spans="5:10" x14ac:dyDescent="0.2">
      <c r="E300" s="57"/>
      <c r="F300" s="57"/>
      <c r="G300" s="57"/>
      <c r="H300" s="57"/>
      <c r="I300" s="57"/>
      <c r="J300" s="57"/>
    </row>
    <row r="301" spans="5:10" x14ac:dyDescent="0.2">
      <c r="E301" s="57"/>
      <c r="F301" s="57"/>
      <c r="G301" s="57"/>
      <c r="H301" s="57"/>
      <c r="I301" s="57"/>
      <c r="J301" s="57"/>
    </row>
    <row r="302" spans="5:10" x14ac:dyDescent="0.2">
      <c r="E302" s="57"/>
      <c r="F302" s="57"/>
      <c r="G302" s="57"/>
      <c r="H302" s="57"/>
      <c r="I302" s="57"/>
      <c r="J302" s="57"/>
    </row>
    <row r="303" spans="5:10" x14ac:dyDescent="0.2">
      <c r="E303" s="57"/>
      <c r="F303" s="57"/>
      <c r="G303" s="57"/>
      <c r="H303" s="57"/>
      <c r="I303" s="57"/>
      <c r="J303" s="57"/>
    </row>
    <row r="340" spans="3:10" x14ac:dyDescent="0.2">
      <c r="C340" s="55"/>
      <c r="D340" s="55"/>
      <c r="E340" s="64"/>
      <c r="F340" s="64"/>
      <c r="G340" s="64"/>
      <c r="H340" s="64"/>
      <c r="I340" s="64"/>
    </row>
    <row r="341" spans="3:10" x14ac:dyDescent="0.2">
      <c r="C341" s="55"/>
      <c r="D341" s="55"/>
      <c r="E341" s="57"/>
      <c r="F341" s="57"/>
      <c r="G341" s="57"/>
      <c r="H341" s="57"/>
      <c r="I341" s="57"/>
      <c r="J341" s="57"/>
    </row>
    <row r="342" spans="3:10" x14ac:dyDescent="0.2">
      <c r="C342" s="55"/>
      <c r="D342" s="55"/>
      <c r="E342" s="57"/>
      <c r="F342" s="57"/>
      <c r="G342" s="57"/>
      <c r="H342" s="57"/>
      <c r="I342" s="57"/>
      <c r="J342" s="57"/>
    </row>
    <row r="343" spans="3:10" x14ac:dyDescent="0.2">
      <c r="C343" s="55"/>
      <c r="D343" s="55"/>
      <c r="E343" s="57"/>
      <c r="F343" s="57"/>
      <c r="G343" s="57"/>
      <c r="H343" s="57"/>
      <c r="I343" s="57"/>
      <c r="J343" s="57"/>
    </row>
    <row r="344" spans="3:10" x14ac:dyDescent="0.2">
      <c r="C344" s="55"/>
      <c r="D344" s="55"/>
      <c r="E344" s="57"/>
      <c r="F344" s="57"/>
      <c r="G344" s="57"/>
      <c r="H344" s="57"/>
      <c r="I344" s="57"/>
      <c r="J344" s="57"/>
    </row>
    <row r="345" spans="3:10" x14ac:dyDescent="0.2">
      <c r="C345" s="55"/>
      <c r="D345" s="55"/>
      <c r="E345" s="57"/>
      <c r="F345" s="57"/>
      <c r="G345" s="57"/>
      <c r="H345" s="57"/>
      <c r="I345" s="57"/>
      <c r="J345" s="57"/>
    </row>
    <row r="346" spans="3:10" x14ac:dyDescent="0.2">
      <c r="C346" s="55"/>
      <c r="D346" s="55"/>
      <c r="E346" s="57"/>
      <c r="F346" s="57"/>
      <c r="G346" s="57"/>
      <c r="H346" s="57"/>
      <c r="I346" s="57"/>
      <c r="J346" s="57"/>
    </row>
    <row r="347" spans="3:10" x14ac:dyDescent="0.2">
      <c r="C347" s="55"/>
      <c r="D347" s="55"/>
      <c r="E347" s="57"/>
      <c r="F347" s="57"/>
      <c r="G347" s="57"/>
      <c r="H347" s="57"/>
      <c r="I347" s="57"/>
      <c r="J347" s="57"/>
    </row>
    <row r="348" spans="3:10" x14ac:dyDescent="0.2">
      <c r="C348" s="55"/>
      <c r="D348" s="55"/>
      <c r="E348" s="57"/>
      <c r="F348" s="57"/>
      <c r="G348" s="57"/>
      <c r="H348" s="57"/>
      <c r="I348" s="57"/>
      <c r="J348" s="57"/>
    </row>
    <row r="349" spans="3:10" x14ac:dyDescent="0.2">
      <c r="C349" s="55"/>
      <c r="D349" s="55"/>
      <c r="E349" s="57"/>
      <c r="F349" s="57"/>
      <c r="G349" s="57"/>
      <c r="H349" s="57"/>
      <c r="I349" s="57"/>
      <c r="J349" s="57"/>
    </row>
    <row r="350" spans="3:10" x14ac:dyDescent="0.2">
      <c r="C350" s="55"/>
      <c r="D350" s="55"/>
      <c r="E350" s="57"/>
      <c r="F350" s="57"/>
      <c r="G350" s="57"/>
      <c r="H350" s="57"/>
      <c r="I350" s="57"/>
      <c r="J350" s="57"/>
    </row>
    <row r="351" spans="3:10" x14ac:dyDescent="0.2">
      <c r="C351" s="55"/>
      <c r="D351" s="55"/>
      <c r="E351" s="57"/>
      <c r="F351" s="57"/>
      <c r="G351" s="57"/>
      <c r="H351" s="57"/>
      <c r="I351" s="57"/>
      <c r="J351" s="57"/>
    </row>
    <row r="352" spans="3:10" x14ac:dyDescent="0.2">
      <c r="C352" s="55"/>
      <c r="D352" s="55"/>
      <c r="E352" s="57"/>
      <c r="F352" s="57"/>
      <c r="G352" s="57"/>
      <c r="H352" s="57"/>
      <c r="I352" s="57"/>
      <c r="J352" s="57"/>
    </row>
    <row r="353" spans="3:10" x14ac:dyDescent="0.2">
      <c r="C353" s="55"/>
      <c r="D353" s="55"/>
      <c r="E353" s="57"/>
      <c r="F353" s="57"/>
      <c r="G353" s="57"/>
      <c r="H353" s="57"/>
      <c r="I353" s="57"/>
      <c r="J353" s="57"/>
    </row>
    <row r="354" spans="3:10" x14ac:dyDescent="0.2">
      <c r="E354" s="64"/>
      <c r="F354" s="64"/>
      <c r="G354" s="64"/>
      <c r="H354" s="64"/>
      <c r="I354" s="64"/>
      <c r="J354" s="64"/>
    </row>
    <row r="355" spans="3:10" x14ac:dyDescent="0.2">
      <c r="E355" s="57"/>
      <c r="F355" s="57"/>
      <c r="G355" s="57"/>
      <c r="H355" s="57"/>
      <c r="I355" s="57"/>
      <c r="J355" s="57"/>
    </row>
    <row r="356" spans="3:10" x14ac:dyDescent="0.2">
      <c r="E356" s="57"/>
      <c r="F356" s="57"/>
      <c r="G356" s="57"/>
      <c r="H356" s="57"/>
      <c r="I356" s="57"/>
      <c r="J356" s="57"/>
    </row>
    <row r="357" spans="3:10" x14ac:dyDescent="0.2">
      <c r="E357" s="64"/>
      <c r="F357" s="64"/>
      <c r="G357" s="64"/>
      <c r="H357" s="64"/>
      <c r="I357" s="64"/>
      <c r="J357" s="57"/>
    </row>
    <row r="358" spans="3:10" x14ac:dyDescent="0.2">
      <c r="E358" s="57"/>
      <c r="F358" s="57"/>
      <c r="G358" s="57"/>
      <c r="H358" s="57"/>
      <c r="I358" s="57"/>
      <c r="J358" s="57"/>
    </row>
    <row r="359" spans="3:10" x14ac:dyDescent="0.2">
      <c r="E359" s="57"/>
      <c r="F359" s="57"/>
      <c r="G359" s="57"/>
      <c r="H359" s="57"/>
      <c r="I359" s="57"/>
      <c r="J359" s="57"/>
    </row>
    <row r="360" spans="3:10" x14ac:dyDescent="0.2">
      <c r="E360" s="57"/>
      <c r="F360" s="57"/>
      <c r="G360" s="57"/>
      <c r="H360" s="57"/>
      <c r="I360" s="57"/>
      <c r="J360" s="57"/>
    </row>
    <row r="361" spans="3:10" x14ac:dyDescent="0.2">
      <c r="E361" s="57"/>
      <c r="F361" s="57"/>
      <c r="G361" s="57"/>
      <c r="H361" s="57"/>
      <c r="I361" s="57"/>
      <c r="J361" s="57"/>
    </row>
    <row r="362" spans="3:10" x14ac:dyDescent="0.2">
      <c r="E362" s="57"/>
      <c r="F362" s="57"/>
      <c r="G362" s="57"/>
      <c r="H362" s="57"/>
      <c r="I362" s="57"/>
      <c r="J362" s="57"/>
    </row>
    <row r="363" spans="3:10" x14ac:dyDescent="0.2">
      <c r="E363" s="57"/>
      <c r="F363" s="57"/>
      <c r="G363" s="57"/>
      <c r="H363" s="57"/>
      <c r="I363" s="57"/>
      <c r="J363" s="57"/>
    </row>
    <row r="364" spans="3:10" x14ac:dyDescent="0.2">
      <c r="E364" s="57"/>
      <c r="F364" s="57"/>
      <c r="G364" s="57"/>
      <c r="H364" s="57"/>
      <c r="I364" s="57"/>
      <c r="J364" s="57"/>
    </row>
    <row r="365" spans="3:10" x14ac:dyDescent="0.2">
      <c r="E365" s="57"/>
      <c r="F365" s="57"/>
      <c r="G365" s="57"/>
      <c r="H365" s="57"/>
      <c r="I365" s="57"/>
      <c r="J365" s="57"/>
    </row>
    <row r="366" spans="3:10" x14ac:dyDescent="0.2">
      <c r="E366" s="57"/>
      <c r="F366" s="57"/>
      <c r="G366" s="57"/>
      <c r="H366" s="57"/>
      <c r="I366" s="57"/>
      <c r="J366" s="57"/>
    </row>
    <row r="367" spans="3:10" x14ac:dyDescent="0.2">
      <c r="E367" s="57"/>
      <c r="F367" s="57"/>
      <c r="G367" s="57"/>
      <c r="H367" s="57"/>
      <c r="I367" s="57"/>
      <c r="J367" s="57"/>
    </row>
    <row r="368" spans="3:10" x14ac:dyDescent="0.2">
      <c r="E368" s="57"/>
      <c r="F368" s="57"/>
      <c r="G368" s="57"/>
      <c r="H368" s="57"/>
      <c r="I368" s="57"/>
      <c r="J368" s="57"/>
    </row>
    <row r="405" spans="3:10" x14ac:dyDescent="0.2">
      <c r="C405" s="55"/>
      <c r="D405" s="55"/>
      <c r="E405" s="64"/>
      <c r="F405" s="64"/>
      <c r="G405" s="64"/>
      <c r="H405" s="64"/>
      <c r="I405" s="64"/>
    </row>
    <row r="406" spans="3:10" x14ac:dyDescent="0.2">
      <c r="C406" s="55"/>
      <c r="D406" s="55"/>
      <c r="E406" s="57"/>
      <c r="F406" s="57"/>
      <c r="G406" s="57"/>
      <c r="H406" s="57"/>
      <c r="I406" s="57"/>
      <c r="J406" s="57"/>
    </row>
    <row r="407" spans="3:10" x14ac:dyDescent="0.2">
      <c r="C407" s="55"/>
      <c r="D407" s="55"/>
      <c r="E407" s="57"/>
      <c r="F407" s="57"/>
      <c r="G407" s="57"/>
      <c r="H407" s="57"/>
      <c r="I407" s="57"/>
      <c r="J407" s="57"/>
    </row>
    <row r="408" spans="3:10" x14ac:dyDescent="0.2">
      <c r="C408" s="55"/>
      <c r="D408" s="55"/>
      <c r="E408" s="57"/>
      <c r="F408" s="57"/>
      <c r="G408" s="57"/>
      <c r="H408" s="57"/>
      <c r="I408" s="57"/>
      <c r="J408" s="57"/>
    </row>
    <row r="409" spans="3:10" x14ac:dyDescent="0.2">
      <c r="C409" s="55"/>
      <c r="D409" s="55"/>
      <c r="E409" s="57"/>
      <c r="F409" s="57"/>
      <c r="G409" s="57"/>
      <c r="H409" s="57"/>
      <c r="I409" s="57"/>
      <c r="J409" s="57"/>
    </row>
    <row r="410" spans="3:10" x14ac:dyDescent="0.2">
      <c r="C410" s="55"/>
      <c r="D410" s="55"/>
      <c r="E410" s="57"/>
      <c r="F410" s="57"/>
      <c r="G410" s="57"/>
      <c r="H410" s="57"/>
      <c r="I410" s="57"/>
      <c r="J410" s="57"/>
    </row>
    <row r="411" spans="3:10" x14ac:dyDescent="0.2">
      <c r="C411" s="55"/>
      <c r="D411" s="55"/>
      <c r="E411" s="57"/>
      <c r="F411" s="57"/>
      <c r="G411" s="57"/>
      <c r="H411" s="57"/>
      <c r="I411" s="57"/>
      <c r="J411" s="57"/>
    </row>
    <row r="412" spans="3:10" x14ac:dyDescent="0.2">
      <c r="C412" s="55"/>
      <c r="D412" s="55"/>
      <c r="E412" s="57"/>
      <c r="F412" s="57"/>
      <c r="G412" s="57"/>
      <c r="H412" s="57"/>
      <c r="I412" s="57"/>
      <c r="J412" s="57"/>
    </row>
    <row r="413" spans="3:10" x14ac:dyDescent="0.2">
      <c r="C413" s="55"/>
      <c r="D413" s="55"/>
      <c r="E413" s="57"/>
      <c r="F413" s="57"/>
      <c r="G413" s="57"/>
      <c r="H413" s="57"/>
      <c r="I413" s="57"/>
      <c r="J413" s="57"/>
    </row>
    <row r="414" spans="3:10" x14ac:dyDescent="0.2">
      <c r="C414" s="55"/>
      <c r="D414" s="55"/>
      <c r="E414" s="57"/>
      <c r="F414" s="57"/>
      <c r="G414" s="57"/>
      <c r="H414" s="57"/>
      <c r="I414" s="57"/>
      <c r="J414" s="57"/>
    </row>
    <row r="415" spans="3:10" x14ac:dyDescent="0.2">
      <c r="C415" s="55"/>
      <c r="D415" s="55"/>
      <c r="E415" s="57"/>
      <c r="F415" s="57"/>
      <c r="G415" s="57"/>
      <c r="H415" s="57"/>
      <c r="I415" s="57"/>
      <c r="J415" s="57"/>
    </row>
    <row r="416" spans="3:10" x14ac:dyDescent="0.2">
      <c r="C416" s="55"/>
      <c r="D416" s="55"/>
      <c r="E416" s="57"/>
      <c r="F416" s="57"/>
      <c r="G416" s="57"/>
      <c r="H416" s="57"/>
      <c r="I416" s="57"/>
      <c r="J416" s="57"/>
    </row>
    <row r="417" spans="3:10" x14ac:dyDescent="0.2">
      <c r="C417" s="55"/>
      <c r="D417" s="55"/>
      <c r="E417" s="57"/>
      <c r="F417" s="57"/>
      <c r="G417" s="57"/>
      <c r="H417" s="57"/>
      <c r="I417" s="57"/>
      <c r="J417" s="57"/>
    </row>
    <row r="418" spans="3:10" x14ac:dyDescent="0.2">
      <c r="C418" s="55"/>
      <c r="D418" s="55"/>
      <c r="E418" s="57"/>
      <c r="F418" s="57"/>
      <c r="G418" s="57"/>
      <c r="H418" s="57"/>
      <c r="I418" s="57"/>
      <c r="J418" s="57"/>
    </row>
    <row r="419" spans="3:10" x14ac:dyDescent="0.2">
      <c r="E419" s="64"/>
      <c r="F419" s="64"/>
      <c r="G419" s="64"/>
      <c r="H419" s="64"/>
      <c r="I419" s="64"/>
      <c r="J419" s="64"/>
    </row>
    <row r="420" spans="3:10" x14ac:dyDescent="0.2">
      <c r="E420" s="57"/>
      <c r="F420" s="57"/>
      <c r="G420" s="57"/>
      <c r="H420" s="57"/>
      <c r="I420" s="57"/>
      <c r="J420" s="57"/>
    </row>
    <row r="421" spans="3:10" x14ac:dyDescent="0.2">
      <c r="E421" s="57"/>
      <c r="F421" s="57"/>
      <c r="G421" s="57"/>
      <c r="H421" s="57"/>
      <c r="I421" s="57"/>
      <c r="J421" s="57"/>
    </row>
    <row r="422" spans="3:10" x14ac:dyDescent="0.2">
      <c r="E422" s="64"/>
      <c r="F422" s="64"/>
      <c r="G422" s="64"/>
      <c r="H422" s="64"/>
      <c r="I422" s="64"/>
      <c r="J422" s="57"/>
    </row>
    <row r="423" spans="3:10" x14ac:dyDescent="0.2">
      <c r="E423" s="57"/>
      <c r="F423" s="57"/>
      <c r="G423" s="57"/>
      <c r="H423" s="57"/>
      <c r="I423" s="57"/>
      <c r="J423" s="57"/>
    </row>
    <row r="424" spans="3:10" x14ac:dyDescent="0.2">
      <c r="E424" s="57"/>
      <c r="F424" s="57"/>
      <c r="G424" s="57"/>
      <c r="H424" s="57"/>
      <c r="I424" s="57"/>
      <c r="J424" s="57"/>
    </row>
    <row r="425" spans="3:10" x14ac:dyDescent="0.2">
      <c r="E425" s="57"/>
      <c r="F425" s="57"/>
      <c r="G425" s="57"/>
      <c r="H425" s="57"/>
      <c r="I425" s="57"/>
      <c r="J425" s="57"/>
    </row>
    <row r="426" spans="3:10" x14ac:dyDescent="0.2">
      <c r="E426" s="57"/>
      <c r="F426" s="57"/>
      <c r="G426" s="57"/>
      <c r="H426" s="57"/>
      <c r="I426" s="57"/>
      <c r="J426" s="57"/>
    </row>
    <row r="427" spans="3:10" x14ac:dyDescent="0.2">
      <c r="E427" s="57"/>
      <c r="F427" s="57"/>
      <c r="G427" s="57"/>
      <c r="H427" s="57"/>
      <c r="I427" s="57"/>
      <c r="J427" s="57"/>
    </row>
    <row r="428" spans="3:10" x14ac:dyDescent="0.2">
      <c r="E428" s="57"/>
      <c r="F428" s="57"/>
      <c r="G428" s="57"/>
      <c r="H428" s="57"/>
      <c r="I428" s="57"/>
      <c r="J428" s="57"/>
    </row>
    <row r="429" spans="3:10" x14ac:dyDescent="0.2">
      <c r="E429" s="57"/>
      <c r="F429" s="57"/>
      <c r="G429" s="57"/>
      <c r="H429" s="57"/>
      <c r="I429" s="57"/>
      <c r="J429" s="57"/>
    </row>
    <row r="430" spans="3:10" x14ac:dyDescent="0.2">
      <c r="E430" s="57"/>
      <c r="F430" s="57"/>
      <c r="G430" s="57"/>
      <c r="H430" s="57"/>
      <c r="I430" s="57"/>
      <c r="J430" s="57"/>
    </row>
    <row r="431" spans="3:10" x14ac:dyDescent="0.2">
      <c r="E431" s="57"/>
      <c r="F431" s="57"/>
      <c r="G431" s="57"/>
      <c r="H431" s="57"/>
      <c r="I431" s="57"/>
      <c r="J431" s="57"/>
    </row>
    <row r="432" spans="3:10" x14ac:dyDescent="0.2">
      <c r="E432" s="57"/>
      <c r="F432" s="57"/>
      <c r="G432" s="57"/>
      <c r="H432" s="57"/>
      <c r="I432" s="57"/>
      <c r="J432" s="57"/>
    </row>
    <row r="433" spans="5:10" x14ac:dyDescent="0.2">
      <c r="E433" s="57"/>
      <c r="F433" s="57"/>
      <c r="G433" s="57"/>
      <c r="H433" s="57"/>
      <c r="I433" s="57"/>
      <c r="J433" s="57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1"/>
  <sheetViews>
    <sheetView zoomScaleNormal="100" workbookViewId="0">
      <selection activeCell="A2" sqref="A2:H2"/>
    </sheetView>
  </sheetViews>
  <sheetFormatPr defaultColWidth="10.28515625" defaultRowHeight="11.25" x14ac:dyDescent="0.2"/>
  <cols>
    <col min="1" max="1" width="4.85546875" style="48" customWidth="1"/>
    <col min="2" max="2" width="1" style="48" customWidth="1"/>
    <col min="3" max="3" width="13" style="48" customWidth="1"/>
    <col min="4" max="4" width="1" style="48" customWidth="1"/>
    <col min="5" max="5" width="15" style="48" customWidth="1"/>
    <col min="6" max="6" width="1" style="48" customWidth="1"/>
    <col min="7" max="7" width="15" style="48" customWidth="1"/>
    <col min="8" max="8" width="1" style="48" customWidth="1"/>
    <col min="9" max="9" width="15" style="48" customWidth="1"/>
    <col min="10" max="10" width="0.85546875" style="48" customWidth="1"/>
    <col min="11" max="11" width="11" style="48" customWidth="1"/>
    <col min="12" max="12" width="1.140625" style="48" customWidth="1"/>
    <col min="13" max="13" width="13.140625" style="48" customWidth="1"/>
    <col min="14" max="16384" width="10.28515625" style="48"/>
  </cols>
  <sheetData>
    <row r="1" spans="1:12" x14ac:dyDescent="0.2">
      <c r="A1" s="45"/>
      <c r="B1" s="45"/>
      <c r="C1" s="46"/>
      <c r="D1" s="46"/>
      <c r="E1" s="46"/>
      <c r="F1" s="46"/>
      <c r="G1" s="46"/>
      <c r="H1" s="46"/>
      <c r="I1" s="46"/>
    </row>
    <row r="2" spans="1:12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4" spans="1:12" x14ac:dyDescent="0.2">
      <c r="A4" s="45"/>
      <c r="B4" s="45"/>
      <c r="C4" s="46"/>
      <c r="D4" s="46"/>
      <c r="E4" s="46"/>
      <c r="F4" s="46"/>
      <c r="G4" s="46"/>
      <c r="H4" s="46"/>
      <c r="I4" s="46"/>
    </row>
    <row r="5" spans="1:12" x14ac:dyDescent="0.2">
      <c r="A5" s="112" t="str">
        <f>'G9AYR Input'!A5:J5</f>
        <v>Pro-Forma Adjustment - Integrity Management</v>
      </c>
      <c r="B5" s="112"/>
      <c r="C5" s="112"/>
      <c r="D5" s="112"/>
      <c r="E5" s="112"/>
      <c r="F5" s="112"/>
      <c r="G5" s="112"/>
      <c r="H5" s="112"/>
      <c r="I5" s="112"/>
    </row>
    <row r="6" spans="1:12" x14ac:dyDescent="0.2">
      <c r="A6" s="114" t="str">
        <f>'G9AYR Input'!F6</f>
        <v>SFS: Philips Ave Reconstruction</v>
      </c>
      <c r="B6" s="114"/>
      <c r="C6" s="114"/>
      <c r="D6" s="114"/>
      <c r="E6" s="114"/>
      <c r="F6" s="114"/>
      <c r="G6" s="114"/>
      <c r="H6" s="114"/>
      <c r="I6" s="114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12" x14ac:dyDescent="0.2">
      <c r="A8" s="49" t="str">
        <f>'G9AYR TotalWO'!A8</f>
        <v>PLANT IN SERVICE</v>
      </c>
      <c r="B8" s="49"/>
      <c r="C8" s="47"/>
      <c r="D8" s="47"/>
      <c r="E8" s="47"/>
      <c r="F8" s="47"/>
      <c r="G8" s="47"/>
      <c r="H8" s="47"/>
      <c r="I8" s="47"/>
    </row>
    <row r="9" spans="1:12" x14ac:dyDescent="0.2">
      <c r="A9" s="49" t="s">
        <v>9</v>
      </c>
      <c r="B9" s="49"/>
      <c r="C9" s="47"/>
      <c r="D9" s="47"/>
      <c r="E9" s="47" t="s">
        <v>9</v>
      </c>
      <c r="F9" s="47"/>
      <c r="G9" s="47"/>
      <c r="H9" s="47"/>
      <c r="I9" s="47"/>
    </row>
    <row r="11" spans="1:12" ht="12" thickBot="1" x14ac:dyDescent="0.25">
      <c r="A11" s="75" t="s">
        <v>90</v>
      </c>
      <c r="E11" s="51" t="str">
        <f>"Acct "&amp;'G9AYR Input'!F13</f>
        <v>Acct 2.376.00</v>
      </c>
      <c r="F11" s="51"/>
      <c r="G11" s="51"/>
      <c r="H11" s="51"/>
      <c r="I11" s="51"/>
    </row>
    <row r="12" spans="1:12" ht="12" thickBot="1" x14ac:dyDescent="0.25">
      <c r="A12" s="92" t="s">
        <v>92</v>
      </c>
      <c r="B12" s="53"/>
      <c r="C12" s="52" t="s">
        <v>93</v>
      </c>
      <c r="D12" s="53"/>
      <c r="E12" s="52" t="s">
        <v>94</v>
      </c>
      <c r="F12" s="53"/>
      <c r="G12" s="52" t="s">
        <v>95</v>
      </c>
      <c r="H12" s="53"/>
      <c r="I12" s="52" t="s">
        <v>96</v>
      </c>
    </row>
    <row r="13" spans="1:12" x14ac:dyDescent="0.2">
      <c r="A13" s="54"/>
      <c r="B13" s="53"/>
      <c r="C13" s="96" t="s">
        <v>5</v>
      </c>
      <c r="D13" s="54"/>
      <c r="E13" s="36" t="s">
        <v>6</v>
      </c>
      <c r="F13" s="54"/>
      <c r="G13" s="36" t="s">
        <v>7</v>
      </c>
      <c r="H13" s="32"/>
      <c r="I13" s="36" t="s">
        <v>41</v>
      </c>
    </row>
    <row r="14" spans="1:12" x14ac:dyDescent="0.2">
      <c r="A14" s="54"/>
      <c r="B14" s="53"/>
      <c r="C14" s="54"/>
      <c r="D14" s="53"/>
      <c r="E14" s="54"/>
      <c r="F14" s="53"/>
      <c r="G14" s="54"/>
      <c r="H14" s="53"/>
      <c r="I14" s="54"/>
    </row>
    <row r="15" spans="1:12" x14ac:dyDescent="0.2">
      <c r="A15" s="48">
        <v>1</v>
      </c>
      <c r="C15" s="55">
        <f>'G9AYR TotalWO'!C15</f>
        <v>44180</v>
      </c>
      <c r="D15" s="55"/>
      <c r="E15" s="56">
        <f>'G9AYR TotalWO'!E15*'G9AYR Input'!$H$13</f>
        <v>0</v>
      </c>
      <c r="F15" s="68"/>
      <c r="G15" s="56">
        <f>'G9AYR TotalWO'!G15*'G9AYR Input'!$H$13</f>
        <v>0</v>
      </c>
      <c r="H15" s="59"/>
      <c r="I15" s="56">
        <f t="shared" ref="I15:I27" si="0">G15-E15</f>
        <v>0</v>
      </c>
    </row>
    <row r="16" spans="1:12" x14ac:dyDescent="0.2">
      <c r="A16" s="48">
        <f t="shared" ref="A16:A38" si="1">1+A15</f>
        <v>2</v>
      </c>
      <c r="C16" s="55">
        <f>'G9AYR TotalWO'!C16</f>
        <v>44211</v>
      </c>
      <c r="D16" s="55"/>
      <c r="E16" s="58">
        <f>'G9AYR TotalWO'!E16*'G9AYR Input'!$H$13</f>
        <v>0</v>
      </c>
      <c r="F16" s="68"/>
      <c r="G16" s="58">
        <f>'G9AYR TotalWO'!G16*'G9AYR Input'!$H$13</f>
        <v>90766</v>
      </c>
      <c r="H16" s="59"/>
      <c r="I16" s="58">
        <f t="shared" si="0"/>
        <v>90766</v>
      </c>
      <c r="K16" s="84"/>
      <c r="L16" s="84"/>
    </row>
    <row r="17" spans="1:9" x14ac:dyDescent="0.2">
      <c r="A17" s="48">
        <f t="shared" si="1"/>
        <v>3</v>
      </c>
      <c r="C17" s="55">
        <f t="shared" ref="C17:C27" si="2">C16+31</f>
        <v>44242</v>
      </c>
      <c r="D17" s="55"/>
      <c r="E17" s="69">
        <f>'G9AYR TotalWO'!E17*'G9AYR Input'!$H$13</f>
        <v>0</v>
      </c>
      <c r="F17" s="68"/>
      <c r="G17" s="68">
        <f>'G9AYR TotalWO'!G17*'G9AYR Input'!$H$13</f>
        <v>90766</v>
      </c>
      <c r="H17" s="59"/>
      <c r="I17" s="59">
        <f t="shared" si="0"/>
        <v>90766</v>
      </c>
    </row>
    <row r="18" spans="1:9" x14ac:dyDescent="0.2">
      <c r="A18" s="48">
        <f t="shared" si="1"/>
        <v>4</v>
      </c>
      <c r="C18" s="55">
        <f t="shared" si="2"/>
        <v>44273</v>
      </c>
      <c r="D18" s="55"/>
      <c r="E18" s="69">
        <f>'G9AYR TotalWO'!E18*'G9AYR Input'!$H$13</f>
        <v>0</v>
      </c>
      <c r="F18" s="68"/>
      <c r="G18" s="68">
        <f>'G9AYR TotalWO'!G18*'G9AYR Input'!$H$13</f>
        <v>90766</v>
      </c>
      <c r="H18" s="59"/>
      <c r="I18" s="59">
        <f t="shared" si="0"/>
        <v>90766</v>
      </c>
    </row>
    <row r="19" spans="1:9" x14ac:dyDescent="0.2">
      <c r="A19" s="48">
        <f t="shared" si="1"/>
        <v>5</v>
      </c>
      <c r="C19" s="55">
        <f t="shared" si="2"/>
        <v>44304</v>
      </c>
      <c r="D19" s="55"/>
      <c r="E19" s="69">
        <f>'G9AYR TotalWO'!E19*'G9AYR Input'!$H$13</f>
        <v>0</v>
      </c>
      <c r="F19" s="68"/>
      <c r="G19" s="68">
        <f>'G9AYR TotalWO'!G19*'G9AYR Input'!$H$13</f>
        <v>90766</v>
      </c>
      <c r="H19" s="59"/>
      <c r="I19" s="59">
        <f t="shared" si="0"/>
        <v>90766</v>
      </c>
    </row>
    <row r="20" spans="1:9" x14ac:dyDescent="0.2">
      <c r="A20" s="48">
        <f t="shared" si="1"/>
        <v>6</v>
      </c>
      <c r="C20" s="55">
        <f t="shared" si="2"/>
        <v>44335</v>
      </c>
      <c r="D20" s="55"/>
      <c r="E20" s="69">
        <f>'G9AYR TotalWO'!E20*'G9AYR Input'!$H$13</f>
        <v>0</v>
      </c>
      <c r="F20" s="68"/>
      <c r="G20" s="68">
        <f>'G9AYR TotalWO'!G20*'G9AYR Input'!$H$13</f>
        <v>90766</v>
      </c>
      <c r="H20" s="59"/>
      <c r="I20" s="59">
        <f t="shared" si="0"/>
        <v>90766</v>
      </c>
    </row>
    <row r="21" spans="1:9" x14ac:dyDescent="0.2">
      <c r="A21" s="48">
        <f t="shared" si="1"/>
        <v>7</v>
      </c>
      <c r="C21" s="55">
        <f t="shared" si="2"/>
        <v>44366</v>
      </c>
      <c r="D21" s="55"/>
      <c r="E21" s="69">
        <f>'G9AYR TotalWO'!E21*'G9AYR Input'!$H$13</f>
        <v>0</v>
      </c>
      <c r="F21" s="68"/>
      <c r="G21" s="68">
        <f>'G9AYR TotalWO'!G21*'G9AYR Input'!$H$13</f>
        <v>90766</v>
      </c>
      <c r="H21" s="59"/>
      <c r="I21" s="59">
        <f t="shared" si="0"/>
        <v>90766</v>
      </c>
    </row>
    <row r="22" spans="1:9" x14ac:dyDescent="0.2">
      <c r="A22" s="48">
        <f t="shared" si="1"/>
        <v>8</v>
      </c>
      <c r="C22" s="55">
        <f t="shared" si="2"/>
        <v>44397</v>
      </c>
      <c r="D22" s="55"/>
      <c r="E22" s="69">
        <f>'G9AYR TotalWO'!E22*'G9AYR Input'!$H$13</f>
        <v>0</v>
      </c>
      <c r="F22" s="68"/>
      <c r="G22" s="68">
        <f>'G9AYR TotalWO'!G22*'G9AYR Input'!$H$13</f>
        <v>90766</v>
      </c>
      <c r="H22" s="59"/>
      <c r="I22" s="59">
        <f t="shared" si="0"/>
        <v>90766</v>
      </c>
    </row>
    <row r="23" spans="1:9" x14ac:dyDescent="0.2">
      <c r="A23" s="48">
        <f t="shared" si="1"/>
        <v>9</v>
      </c>
      <c r="C23" s="55">
        <f t="shared" si="2"/>
        <v>44428</v>
      </c>
      <c r="D23" s="55"/>
      <c r="E23" s="69">
        <f>'G9AYR TotalWO'!E23*'G9AYR Input'!$H$13</f>
        <v>0</v>
      </c>
      <c r="F23" s="68"/>
      <c r="G23" s="68">
        <f>'G9AYR TotalWO'!G23*'G9AYR Input'!$H$13</f>
        <v>90766</v>
      </c>
      <c r="H23" s="59"/>
      <c r="I23" s="59">
        <f t="shared" si="0"/>
        <v>90766</v>
      </c>
    </row>
    <row r="24" spans="1:9" x14ac:dyDescent="0.2">
      <c r="A24" s="48">
        <f t="shared" si="1"/>
        <v>10</v>
      </c>
      <c r="C24" s="55">
        <f t="shared" si="2"/>
        <v>44459</v>
      </c>
      <c r="D24" s="55"/>
      <c r="E24" s="69">
        <f>'G9AYR TotalWO'!E24*'G9AYR Input'!$H$13</f>
        <v>0</v>
      </c>
      <c r="F24" s="68"/>
      <c r="G24" s="68">
        <f>'G9AYR TotalWO'!G24*'G9AYR Input'!$H$13</f>
        <v>90766</v>
      </c>
      <c r="H24" s="59"/>
      <c r="I24" s="59">
        <f t="shared" si="0"/>
        <v>90766</v>
      </c>
    </row>
    <row r="25" spans="1:9" x14ac:dyDescent="0.2">
      <c r="A25" s="48">
        <f t="shared" si="1"/>
        <v>11</v>
      </c>
      <c r="C25" s="55">
        <f t="shared" si="2"/>
        <v>44490</v>
      </c>
      <c r="D25" s="55"/>
      <c r="E25" s="69">
        <f>'G9AYR TotalWO'!E25*'G9AYR Input'!$H$13</f>
        <v>0</v>
      </c>
      <c r="F25" s="68"/>
      <c r="G25" s="68">
        <f>'G9AYR TotalWO'!G25*'G9AYR Input'!$H$13</f>
        <v>90766</v>
      </c>
      <c r="H25" s="59"/>
      <c r="I25" s="59">
        <f t="shared" si="0"/>
        <v>90766</v>
      </c>
    </row>
    <row r="26" spans="1:9" x14ac:dyDescent="0.2">
      <c r="A26" s="48">
        <f t="shared" si="1"/>
        <v>12</v>
      </c>
      <c r="C26" s="55">
        <f t="shared" si="2"/>
        <v>44521</v>
      </c>
      <c r="D26" s="55"/>
      <c r="E26" s="69">
        <f>'G9AYR TotalWO'!E26*'G9AYR Input'!$H$13</f>
        <v>0</v>
      </c>
      <c r="F26" s="68"/>
      <c r="G26" s="68">
        <f>'G9AYR TotalWO'!G26*'G9AYR Input'!$H$13</f>
        <v>90766</v>
      </c>
      <c r="H26" s="59"/>
      <c r="I26" s="59">
        <f t="shared" si="0"/>
        <v>90766</v>
      </c>
    </row>
    <row r="27" spans="1:9" x14ac:dyDescent="0.2">
      <c r="A27" s="48">
        <f t="shared" si="1"/>
        <v>13</v>
      </c>
      <c r="C27" s="55">
        <f t="shared" si="2"/>
        <v>44552</v>
      </c>
      <c r="D27" s="55"/>
      <c r="E27" s="70">
        <f>'G9AYR TotalWO'!E27*'G9AYR Input'!$H$13</f>
        <v>0</v>
      </c>
      <c r="F27" s="68"/>
      <c r="G27" s="71">
        <f>'G9AYR TotalWO'!G27*'G9AYR Input'!$H$13</f>
        <v>90766</v>
      </c>
      <c r="H27" s="59"/>
      <c r="I27" s="61">
        <f t="shared" si="0"/>
        <v>90766</v>
      </c>
    </row>
    <row r="28" spans="1:9" x14ac:dyDescent="0.2">
      <c r="A28" s="48">
        <f t="shared" si="1"/>
        <v>14</v>
      </c>
      <c r="C28" s="62" t="s">
        <v>52</v>
      </c>
      <c r="D28" s="62"/>
      <c r="E28" s="63">
        <f>SUM(E16:E27)</f>
        <v>0</v>
      </c>
      <c r="F28" s="64"/>
      <c r="G28" s="63">
        <f>SUM(G16:G27)</f>
        <v>1089192</v>
      </c>
      <c r="H28" s="64"/>
      <c r="I28" s="63">
        <f>SUM(I16:I27)</f>
        <v>1089192</v>
      </c>
    </row>
    <row r="29" spans="1:9" x14ac:dyDescent="0.2">
      <c r="A29" s="48">
        <f t="shared" si="1"/>
        <v>15</v>
      </c>
      <c r="E29" s="57"/>
      <c r="F29" s="57"/>
      <c r="G29" s="57"/>
      <c r="H29" s="57"/>
      <c r="I29" s="57"/>
    </row>
    <row r="30" spans="1:9" ht="12" thickBot="1" x14ac:dyDescent="0.25">
      <c r="A30" s="48">
        <f t="shared" si="1"/>
        <v>16</v>
      </c>
      <c r="C30" s="65" t="s">
        <v>97</v>
      </c>
      <c r="D30" s="65"/>
      <c r="E30" s="66">
        <f>ROUND(+E28/12,2)</f>
        <v>0</v>
      </c>
      <c r="F30" s="64"/>
      <c r="G30" s="66">
        <f>ROUND(+G28/12,2)</f>
        <v>90766</v>
      </c>
      <c r="H30" s="64"/>
      <c r="I30" s="66">
        <f>ROUND(+I28/12,2)</f>
        <v>90766</v>
      </c>
    </row>
    <row r="31" spans="1:9" ht="12" thickTop="1" x14ac:dyDescent="0.2">
      <c r="A31" s="48">
        <f t="shared" si="1"/>
        <v>17</v>
      </c>
    </row>
    <row r="32" spans="1:9" x14ac:dyDescent="0.2">
      <c r="A32" s="48">
        <f t="shared" si="1"/>
        <v>18</v>
      </c>
      <c r="E32" s="67" t="s">
        <v>9</v>
      </c>
      <c r="F32" s="67"/>
      <c r="G32" s="67" t="s">
        <v>9</v>
      </c>
      <c r="H32" s="67"/>
      <c r="I32" s="67" t="s">
        <v>9</v>
      </c>
    </row>
    <row r="33" spans="1:13" ht="12" thickBot="1" x14ac:dyDescent="0.25">
      <c r="A33" s="48">
        <f t="shared" si="1"/>
        <v>19</v>
      </c>
      <c r="C33" s="62" t="s">
        <v>98</v>
      </c>
      <c r="D33" s="62"/>
      <c r="E33" s="57"/>
      <c r="F33" s="57"/>
      <c r="G33" s="57"/>
      <c r="H33" s="57"/>
      <c r="I33" s="66">
        <f>I30</f>
        <v>90766</v>
      </c>
    </row>
    <row r="34" spans="1:13" ht="12" thickTop="1" x14ac:dyDescent="0.2">
      <c r="A34" s="48">
        <f t="shared" si="1"/>
        <v>20</v>
      </c>
    </row>
    <row r="35" spans="1:13" x14ac:dyDescent="0.2">
      <c r="A35" s="48">
        <f t="shared" si="1"/>
        <v>21</v>
      </c>
      <c r="I35" s="62" t="s">
        <v>99</v>
      </c>
    </row>
    <row r="36" spans="1:13" x14ac:dyDescent="0.2">
      <c r="A36" s="48">
        <f t="shared" si="1"/>
        <v>22</v>
      </c>
      <c r="I36" s="62" t="s">
        <v>131</v>
      </c>
    </row>
    <row r="37" spans="1:13" x14ac:dyDescent="0.2">
      <c r="A37" s="48">
        <f t="shared" si="1"/>
        <v>23</v>
      </c>
    </row>
    <row r="38" spans="1:13" x14ac:dyDescent="0.2">
      <c r="A38" s="48">
        <f t="shared" si="1"/>
        <v>24</v>
      </c>
    </row>
    <row r="39" spans="1:13" x14ac:dyDescent="0.2">
      <c r="A39" s="45"/>
      <c r="B39" s="45"/>
      <c r="C39" s="46"/>
      <c r="D39" s="46"/>
      <c r="E39" s="46"/>
      <c r="F39" s="46"/>
      <c r="G39" s="46"/>
      <c r="H39" s="46"/>
      <c r="I39" s="46"/>
    </row>
    <row r="40" spans="1:13" x14ac:dyDescent="0.2">
      <c r="A40" s="45"/>
      <c r="B40" s="45"/>
      <c r="C40" s="46"/>
      <c r="D40" s="46"/>
      <c r="E40" s="46"/>
      <c r="F40" s="46"/>
      <c r="G40" s="46"/>
      <c r="H40" s="46"/>
      <c r="I40" s="46"/>
    </row>
    <row r="42" spans="1:13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3" x14ac:dyDescent="0.2">
      <c r="A43" s="112" t="str">
        <f>A5</f>
        <v>Pro-Forma Adjustment - Integrity Management</v>
      </c>
      <c r="B43" s="112"/>
      <c r="C43" s="112"/>
      <c r="D43" s="112"/>
      <c r="E43" s="112"/>
      <c r="F43" s="112"/>
      <c r="G43" s="112"/>
      <c r="H43" s="112"/>
      <c r="I43" s="112"/>
    </row>
    <row r="44" spans="1:13" x14ac:dyDescent="0.2">
      <c r="A44" s="49" t="str">
        <f>A6</f>
        <v>SFS: Philips Ave Reconstruction</v>
      </c>
      <c r="B44" s="49"/>
      <c r="C44" s="47"/>
      <c r="D44" s="47"/>
      <c r="E44" s="47"/>
      <c r="F44" s="47"/>
      <c r="G44" s="47"/>
      <c r="H44" s="47"/>
      <c r="I44" s="47"/>
    </row>
    <row r="45" spans="1:13" x14ac:dyDescent="0.2">
      <c r="A45" s="49"/>
      <c r="B45" s="49"/>
      <c r="C45" s="47"/>
      <c r="D45" s="47"/>
      <c r="E45" s="47"/>
      <c r="F45" s="47"/>
      <c r="G45" s="47"/>
      <c r="H45" s="47"/>
      <c r="I45" s="47"/>
    </row>
    <row r="46" spans="1:13" x14ac:dyDescent="0.2">
      <c r="A46" s="49" t="s">
        <v>101</v>
      </c>
      <c r="B46" s="49"/>
      <c r="C46" s="47"/>
      <c r="D46" s="47"/>
      <c r="E46" s="47"/>
      <c r="F46" s="47"/>
      <c r="G46" s="47"/>
      <c r="H46" s="47"/>
      <c r="I46" s="47"/>
    </row>
    <row r="47" spans="1:13" x14ac:dyDescent="0.2">
      <c r="A47" s="49" t="s">
        <v>9</v>
      </c>
      <c r="B47" s="49"/>
      <c r="C47" s="47"/>
      <c r="D47" s="47"/>
      <c r="E47" s="47"/>
      <c r="F47" s="47"/>
      <c r="G47" s="47"/>
      <c r="H47" s="47"/>
      <c r="I47" s="47"/>
    </row>
    <row r="48" spans="1:13" x14ac:dyDescent="0.2">
      <c r="K48" s="54" t="s">
        <v>102</v>
      </c>
      <c r="M48" s="54" t="s">
        <v>102</v>
      </c>
    </row>
    <row r="49" spans="1:13" ht="12" thickBot="1" x14ac:dyDescent="0.25">
      <c r="A49" s="75" t="s">
        <v>90</v>
      </c>
      <c r="E49" s="51" t="str">
        <f>E11</f>
        <v>Acct 2.376.00</v>
      </c>
      <c r="F49" s="51"/>
      <c r="G49" s="51"/>
      <c r="H49" s="51"/>
      <c r="I49" s="51"/>
      <c r="K49" s="54" t="s">
        <v>103</v>
      </c>
      <c r="M49" s="54" t="s">
        <v>104</v>
      </c>
    </row>
    <row r="50" spans="1:13" ht="12" thickBot="1" x14ac:dyDescent="0.25">
      <c r="A50" s="92" t="s">
        <v>92</v>
      </c>
      <c r="B50" s="54"/>
      <c r="C50" s="52" t="s">
        <v>93</v>
      </c>
      <c r="D50" s="54"/>
      <c r="E50" s="52" t="s">
        <v>94</v>
      </c>
      <c r="F50" s="54"/>
      <c r="G50" s="52" t="s">
        <v>95</v>
      </c>
      <c r="H50" s="54"/>
      <c r="I50" s="52" t="s">
        <v>96</v>
      </c>
      <c r="K50" s="52" t="s">
        <v>105</v>
      </c>
      <c r="M50" s="52" t="s">
        <v>106</v>
      </c>
    </row>
    <row r="51" spans="1:13" x14ac:dyDescent="0.2">
      <c r="A51" s="54"/>
      <c r="B51" s="54"/>
      <c r="C51" s="96" t="s">
        <v>5</v>
      </c>
      <c r="D51" s="54"/>
      <c r="E51" s="36" t="s">
        <v>6</v>
      </c>
      <c r="F51" s="54"/>
      <c r="G51" s="36" t="s">
        <v>7</v>
      </c>
      <c r="H51" s="32"/>
      <c r="I51" s="36" t="s">
        <v>41</v>
      </c>
      <c r="K51" s="16" t="s">
        <v>42</v>
      </c>
      <c r="M51" s="54" t="s">
        <v>43</v>
      </c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</row>
    <row r="53" spans="1:13" x14ac:dyDescent="0.2">
      <c r="A53" s="48">
        <v>1</v>
      </c>
      <c r="C53" s="55">
        <f>C16</f>
        <v>44211</v>
      </c>
      <c r="D53" s="55"/>
      <c r="E53" s="56">
        <f t="shared" ref="E53:E64" si="3">ROUND(E15*$G$73,2)</f>
        <v>0</v>
      </c>
      <c r="F53" s="64"/>
      <c r="G53" s="56">
        <f>ROUND(+G16*$G$73,2)</f>
        <v>166.85</v>
      </c>
      <c r="H53" s="64"/>
      <c r="I53" s="63">
        <f t="shared" ref="I53:I64" si="4">G53-E53</f>
        <v>166.85</v>
      </c>
      <c r="K53" s="58"/>
      <c r="M53" s="63">
        <f>+ROUND(I53/I$67*M$67,2)</f>
        <v>24.53</v>
      </c>
    </row>
    <row r="54" spans="1:13" x14ac:dyDescent="0.2">
      <c r="A54" s="48">
        <f t="shared" ref="A54:A77" si="5">1+A53</f>
        <v>2</v>
      </c>
      <c r="C54" s="55">
        <f t="shared" ref="C54:C64" si="6">C53+31</f>
        <v>44242</v>
      </c>
      <c r="D54" s="55"/>
      <c r="E54" s="68">
        <f t="shared" si="3"/>
        <v>0</v>
      </c>
      <c r="F54" s="72"/>
      <c r="G54" s="68">
        <f t="shared" ref="G54:G64" si="7">ROUND(+G16*$G$73,2)</f>
        <v>166.85</v>
      </c>
      <c r="H54" s="57"/>
      <c r="I54" s="59">
        <f t="shared" si="4"/>
        <v>166.85</v>
      </c>
      <c r="M54" s="59">
        <f t="shared" ref="M54:M60" si="8">+ROUND(I54/I$67*M$67,2)</f>
        <v>24.53</v>
      </c>
    </row>
    <row r="55" spans="1:13" x14ac:dyDescent="0.2">
      <c r="A55" s="48">
        <f t="shared" si="5"/>
        <v>3</v>
      </c>
      <c r="C55" s="55">
        <f t="shared" si="6"/>
        <v>44273</v>
      </c>
      <c r="D55" s="55"/>
      <c r="E55" s="68">
        <f t="shared" si="3"/>
        <v>0</v>
      </c>
      <c r="F55" s="72"/>
      <c r="G55" s="68">
        <f t="shared" si="7"/>
        <v>166.85</v>
      </c>
      <c r="H55" s="57"/>
      <c r="I55" s="59">
        <f t="shared" si="4"/>
        <v>166.85</v>
      </c>
      <c r="M55" s="59">
        <f t="shared" si="8"/>
        <v>24.53</v>
      </c>
    </row>
    <row r="56" spans="1:13" x14ac:dyDescent="0.2">
      <c r="A56" s="48">
        <f t="shared" si="5"/>
        <v>4</v>
      </c>
      <c r="C56" s="55">
        <f t="shared" si="6"/>
        <v>44304</v>
      </c>
      <c r="D56" s="55"/>
      <c r="E56" s="68">
        <f t="shared" si="3"/>
        <v>0</v>
      </c>
      <c r="F56" s="72"/>
      <c r="G56" s="68">
        <f t="shared" si="7"/>
        <v>166.85</v>
      </c>
      <c r="H56" s="57"/>
      <c r="I56" s="59">
        <f t="shared" si="4"/>
        <v>166.85</v>
      </c>
      <c r="M56" s="59">
        <f t="shared" si="8"/>
        <v>24.53</v>
      </c>
    </row>
    <row r="57" spans="1:13" x14ac:dyDescent="0.2">
      <c r="A57" s="48">
        <f t="shared" si="5"/>
        <v>5</v>
      </c>
      <c r="C57" s="55">
        <f t="shared" si="6"/>
        <v>44335</v>
      </c>
      <c r="D57" s="55"/>
      <c r="E57" s="68">
        <f t="shared" si="3"/>
        <v>0</v>
      </c>
      <c r="F57" s="72"/>
      <c r="G57" s="68">
        <f t="shared" si="7"/>
        <v>166.85</v>
      </c>
      <c r="H57" s="57"/>
      <c r="I57" s="59">
        <f t="shared" si="4"/>
        <v>166.85</v>
      </c>
      <c r="M57" s="59">
        <f t="shared" si="8"/>
        <v>24.53</v>
      </c>
    </row>
    <row r="58" spans="1:13" x14ac:dyDescent="0.2">
      <c r="A58" s="48">
        <f t="shared" si="5"/>
        <v>6</v>
      </c>
      <c r="C58" s="55">
        <f t="shared" si="6"/>
        <v>44366</v>
      </c>
      <c r="D58" s="55"/>
      <c r="E58" s="68">
        <f t="shared" si="3"/>
        <v>0</v>
      </c>
      <c r="F58" s="72"/>
      <c r="G58" s="68">
        <f t="shared" si="7"/>
        <v>166.85</v>
      </c>
      <c r="H58" s="57"/>
      <c r="I58" s="59">
        <f t="shared" si="4"/>
        <v>166.85</v>
      </c>
      <c r="M58" s="59">
        <f t="shared" si="8"/>
        <v>24.53</v>
      </c>
    </row>
    <row r="59" spans="1:13" x14ac:dyDescent="0.2">
      <c r="A59" s="48">
        <f t="shared" si="5"/>
        <v>7</v>
      </c>
      <c r="C59" s="55">
        <f t="shared" si="6"/>
        <v>44397</v>
      </c>
      <c r="D59" s="55"/>
      <c r="E59" s="68">
        <f t="shared" si="3"/>
        <v>0</v>
      </c>
      <c r="F59" s="72"/>
      <c r="G59" s="68">
        <f t="shared" si="7"/>
        <v>166.85</v>
      </c>
      <c r="H59" s="57"/>
      <c r="I59" s="59">
        <f t="shared" si="4"/>
        <v>166.85</v>
      </c>
      <c r="M59" s="59">
        <f t="shared" si="8"/>
        <v>24.53</v>
      </c>
    </row>
    <row r="60" spans="1:13" x14ac:dyDescent="0.2">
      <c r="A60" s="48">
        <f t="shared" si="5"/>
        <v>8</v>
      </c>
      <c r="C60" s="55">
        <f t="shared" si="6"/>
        <v>44428</v>
      </c>
      <c r="D60" s="55"/>
      <c r="E60" s="68">
        <f t="shared" si="3"/>
        <v>0</v>
      </c>
      <c r="F60" s="72"/>
      <c r="G60" s="68">
        <f t="shared" si="7"/>
        <v>166.85</v>
      </c>
      <c r="H60" s="57"/>
      <c r="I60" s="59">
        <f t="shared" si="4"/>
        <v>166.85</v>
      </c>
      <c r="M60" s="59">
        <f t="shared" si="8"/>
        <v>24.53</v>
      </c>
    </row>
    <row r="61" spans="1:13" x14ac:dyDescent="0.2">
      <c r="A61" s="48">
        <f t="shared" si="5"/>
        <v>9</v>
      </c>
      <c r="C61" s="55">
        <f t="shared" si="6"/>
        <v>44459</v>
      </c>
      <c r="D61" s="55"/>
      <c r="E61" s="68">
        <f t="shared" si="3"/>
        <v>0</v>
      </c>
      <c r="F61" s="72"/>
      <c r="G61" s="68">
        <f t="shared" si="7"/>
        <v>166.85</v>
      </c>
      <c r="H61" s="57"/>
      <c r="I61" s="59">
        <f t="shared" si="4"/>
        <v>166.85</v>
      </c>
      <c r="M61" s="59">
        <f>+ROUND(I61/I$67*M$67,2)+0.01</f>
        <v>24.540000000000003</v>
      </c>
    </row>
    <row r="62" spans="1:13" x14ac:dyDescent="0.2">
      <c r="A62" s="48">
        <f t="shared" si="5"/>
        <v>10</v>
      </c>
      <c r="C62" s="55">
        <f t="shared" si="6"/>
        <v>44490</v>
      </c>
      <c r="D62" s="55"/>
      <c r="E62" s="68">
        <f t="shared" si="3"/>
        <v>0</v>
      </c>
      <c r="F62" s="72"/>
      <c r="G62" s="68">
        <f t="shared" si="7"/>
        <v>166.85</v>
      </c>
      <c r="H62" s="57"/>
      <c r="I62" s="59">
        <f t="shared" si="4"/>
        <v>166.85</v>
      </c>
      <c r="M62" s="59">
        <f>+ROUND(I62/I$67*M$67,2)+0.01</f>
        <v>24.540000000000003</v>
      </c>
    </row>
    <row r="63" spans="1:13" x14ac:dyDescent="0.2">
      <c r="A63" s="48">
        <f t="shared" si="5"/>
        <v>11</v>
      </c>
      <c r="C63" s="55">
        <f t="shared" si="6"/>
        <v>44521</v>
      </c>
      <c r="D63" s="55"/>
      <c r="E63" s="68">
        <f t="shared" si="3"/>
        <v>0</v>
      </c>
      <c r="F63" s="72"/>
      <c r="G63" s="68">
        <f t="shared" si="7"/>
        <v>166.85</v>
      </c>
      <c r="H63" s="57"/>
      <c r="I63" s="59">
        <f t="shared" si="4"/>
        <v>166.85</v>
      </c>
      <c r="M63" s="59">
        <f>+ROUND(I63/I$67*M$67,2)+0.01</f>
        <v>24.540000000000003</v>
      </c>
    </row>
    <row r="64" spans="1:13" x14ac:dyDescent="0.2">
      <c r="A64" s="48">
        <f t="shared" si="5"/>
        <v>12</v>
      </c>
      <c r="C64" s="55">
        <f t="shared" si="6"/>
        <v>44552</v>
      </c>
      <c r="D64" s="55"/>
      <c r="E64" s="71">
        <f t="shared" si="3"/>
        <v>0</v>
      </c>
      <c r="F64" s="72"/>
      <c r="G64" s="71">
        <f t="shared" si="7"/>
        <v>166.85</v>
      </c>
      <c r="H64" s="57"/>
      <c r="I64" s="61">
        <f t="shared" si="4"/>
        <v>166.85</v>
      </c>
      <c r="M64" s="61">
        <f>+ROUND(I64/I$67*M$67,2)+0.01</f>
        <v>24.540000000000003</v>
      </c>
    </row>
    <row r="65" spans="1:13" x14ac:dyDescent="0.2">
      <c r="A65" s="48">
        <f t="shared" si="5"/>
        <v>13</v>
      </c>
      <c r="C65" s="62" t="s">
        <v>52</v>
      </c>
      <c r="D65" s="62"/>
      <c r="E65" s="63">
        <f>SUM(E53:E64)</f>
        <v>0</v>
      </c>
      <c r="F65" s="64"/>
      <c r="G65" s="63">
        <f>SUM(G53:G64)</f>
        <v>2002.1999999999996</v>
      </c>
      <c r="H65" s="64"/>
      <c r="I65" s="63">
        <f>SUM(I53:I64)</f>
        <v>2002.1999999999996</v>
      </c>
      <c r="M65" s="63">
        <f>SUM(M53:M64)</f>
        <v>294.40000000000003</v>
      </c>
    </row>
    <row r="66" spans="1:13" x14ac:dyDescent="0.2">
      <c r="A66" s="48">
        <f t="shared" si="5"/>
        <v>14</v>
      </c>
      <c r="E66" s="67" t="s">
        <v>9</v>
      </c>
      <c r="F66" s="67"/>
      <c r="G66" s="67" t="s">
        <v>9</v>
      </c>
      <c r="H66" s="67"/>
      <c r="I66" s="67" t="s">
        <v>9</v>
      </c>
    </row>
    <row r="67" spans="1:13" ht="12" thickBot="1" x14ac:dyDescent="0.25">
      <c r="A67" s="48">
        <f t="shared" si="5"/>
        <v>15</v>
      </c>
      <c r="C67" s="62" t="s">
        <v>98</v>
      </c>
      <c r="D67" s="62"/>
      <c r="E67" s="64"/>
      <c r="F67" s="64"/>
      <c r="G67" s="64"/>
      <c r="H67" s="64"/>
      <c r="I67" s="66">
        <f>I65</f>
        <v>2002.1999999999996</v>
      </c>
      <c r="K67" s="66">
        <f>ROUND(G16*K73,2)</f>
        <v>3403.73</v>
      </c>
      <c r="M67" s="66">
        <f>ROUND(+(K67-I67)*M73,2)</f>
        <v>294.32</v>
      </c>
    </row>
    <row r="68" spans="1:13" ht="12" thickTop="1" x14ac:dyDescent="0.2">
      <c r="A68" s="48">
        <f t="shared" si="5"/>
        <v>16</v>
      </c>
      <c r="E68" s="57"/>
      <c r="F68" s="57"/>
      <c r="G68" s="57"/>
      <c r="H68" s="57"/>
      <c r="I68" s="62" t="s">
        <v>99</v>
      </c>
    </row>
    <row r="69" spans="1:13" x14ac:dyDescent="0.2">
      <c r="A69" s="48">
        <f t="shared" si="5"/>
        <v>17</v>
      </c>
      <c r="I69" s="62" t="s">
        <v>132</v>
      </c>
      <c r="M69" s="54" t="s">
        <v>102</v>
      </c>
    </row>
    <row r="70" spans="1:13" x14ac:dyDescent="0.2">
      <c r="A70" s="48">
        <f t="shared" si="5"/>
        <v>18</v>
      </c>
      <c r="K70" s="54" t="s">
        <v>108</v>
      </c>
      <c r="M70" s="54" t="s">
        <v>109</v>
      </c>
    </row>
    <row r="71" spans="1:13" x14ac:dyDescent="0.2">
      <c r="A71" s="48">
        <f t="shared" si="5"/>
        <v>19</v>
      </c>
      <c r="E71" s="73" t="s">
        <v>110</v>
      </c>
      <c r="F71" s="73"/>
      <c r="G71" s="73" t="s">
        <v>111</v>
      </c>
      <c r="K71" s="54" t="s">
        <v>112</v>
      </c>
      <c r="M71" s="54" t="s">
        <v>113</v>
      </c>
    </row>
    <row r="72" spans="1:13" ht="12" thickBot="1" x14ac:dyDescent="0.25">
      <c r="A72" s="48">
        <f t="shared" si="5"/>
        <v>20</v>
      </c>
      <c r="E72" s="74" t="s">
        <v>114</v>
      </c>
      <c r="F72" s="73"/>
      <c r="G72" s="74" t="s">
        <v>114</v>
      </c>
      <c r="K72" s="74" t="s">
        <v>115</v>
      </c>
      <c r="M72" s="74" t="s">
        <v>116</v>
      </c>
    </row>
    <row r="73" spans="1:13" x14ac:dyDescent="0.2">
      <c r="A73" s="48">
        <f t="shared" si="5"/>
        <v>21</v>
      </c>
      <c r="C73" s="75" t="str">
        <f>E49</f>
        <v>Acct 2.376.00</v>
      </c>
      <c r="D73" s="75"/>
      <c r="E73" s="76">
        <f>'G9AYR Input'!J13</f>
        <v>2.2058823529411766E-2</v>
      </c>
      <c r="F73" s="76"/>
      <c r="G73" s="76">
        <f>E73/12</f>
        <v>1.8382352941176473E-3</v>
      </c>
      <c r="K73" s="85">
        <f>+'G9AYR Input'!L13</f>
        <v>3.7499999999999999E-2</v>
      </c>
      <c r="M73" s="86">
        <f>+'G9AYR Input'!N13</f>
        <v>0.21</v>
      </c>
    </row>
    <row r="74" spans="1:13" x14ac:dyDescent="0.2">
      <c r="A74" s="48">
        <f t="shared" si="5"/>
        <v>22</v>
      </c>
      <c r="H74" s="67"/>
      <c r="I74" s="57"/>
      <c r="K74" s="54" t="s">
        <v>117</v>
      </c>
    </row>
    <row r="75" spans="1:13" x14ac:dyDescent="0.2">
      <c r="A75" s="48">
        <f t="shared" si="5"/>
        <v>23</v>
      </c>
      <c r="H75" s="76"/>
      <c r="I75" s="57"/>
    </row>
    <row r="76" spans="1:13" x14ac:dyDescent="0.2">
      <c r="A76" s="48">
        <f t="shared" si="5"/>
        <v>24</v>
      </c>
    </row>
    <row r="77" spans="1:13" x14ac:dyDescent="0.2">
      <c r="A77" s="48">
        <f t="shared" si="5"/>
        <v>25</v>
      </c>
      <c r="H77" s="76"/>
      <c r="I77" s="57"/>
    </row>
    <row r="78" spans="1:13" x14ac:dyDescent="0.2">
      <c r="A78" s="45"/>
      <c r="B78" s="45"/>
      <c r="C78" s="46"/>
      <c r="D78" s="46"/>
      <c r="E78" s="46"/>
      <c r="F78" s="46"/>
      <c r="G78" s="46"/>
      <c r="H78" s="46"/>
      <c r="I78" s="46"/>
    </row>
    <row r="79" spans="1:13" x14ac:dyDescent="0.2">
      <c r="A79" s="45"/>
      <c r="B79" s="45"/>
      <c r="C79" s="46"/>
      <c r="D79" s="46"/>
      <c r="E79" s="46"/>
      <c r="F79" s="46"/>
      <c r="G79" s="46"/>
      <c r="H79" s="46"/>
      <c r="I79" s="46"/>
    </row>
    <row r="81" spans="1:13" x14ac:dyDescent="0.2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13" x14ac:dyDescent="0.2">
      <c r="A82" s="112" t="str">
        <f>A5</f>
        <v>Pro-Forma Adjustment - Integrity Management</v>
      </c>
      <c r="B82" s="112"/>
      <c r="C82" s="112"/>
      <c r="D82" s="112"/>
      <c r="E82" s="112"/>
      <c r="F82" s="112"/>
      <c r="G82" s="112"/>
      <c r="H82" s="112"/>
      <c r="I82" s="112"/>
    </row>
    <row r="83" spans="1:13" x14ac:dyDescent="0.2">
      <c r="A83" s="49" t="str">
        <f>A6</f>
        <v>SFS: Philips Ave Reconstruction</v>
      </c>
      <c r="B83" s="49"/>
      <c r="C83" s="47"/>
      <c r="D83" s="47"/>
      <c r="E83" s="47"/>
      <c r="F83" s="47"/>
      <c r="G83" s="47"/>
      <c r="H83" s="47"/>
      <c r="I83" s="47"/>
    </row>
    <row r="84" spans="1:13" x14ac:dyDescent="0.2">
      <c r="A84" s="49"/>
      <c r="B84" s="49"/>
      <c r="C84" s="47"/>
      <c r="D84" s="47"/>
      <c r="E84" s="47"/>
      <c r="F84" s="47"/>
      <c r="G84" s="47"/>
      <c r="H84" s="47"/>
      <c r="I84" s="47"/>
    </row>
    <row r="85" spans="1:13" x14ac:dyDescent="0.2">
      <c r="A85" s="49" t="s">
        <v>118</v>
      </c>
      <c r="B85" s="49"/>
      <c r="C85" s="47"/>
      <c r="D85" s="47"/>
      <c r="E85" s="47"/>
      <c r="F85" s="47"/>
      <c r="G85" s="47"/>
      <c r="H85" s="47"/>
      <c r="I85" s="47"/>
    </row>
    <row r="86" spans="1:13" x14ac:dyDescent="0.2">
      <c r="A86" s="49" t="s">
        <v>9</v>
      </c>
      <c r="B86" s="49"/>
      <c r="C86" s="47"/>
      <c r="D86" s="47"/>
      <c r="E86" s="47"/>
      <c r="F86" s="47"/>
      <c r="G86" s="47"/>
      <c r="H86" s="47"/>
      <c r="I86" s="47"/>
    </row>
    <row r="88" spans="1:13" ht="12" thickBot="1" x14ac:dyDescent="0.25">
      <c r="A88" s="75" t="s">
        <v>90</v>
      </c>
      <c r="E88" s="51" t="str">
        <f>E11</f>
        <v>Acct 2.376.00</v>
      </c>
      <c r="F88" s="51"/>
      <c r="G88" s="51"/>
      <c r="H88" s="51"/>
      <c r="I88" s="51"/>
      <c r="M88" s="54" t="s">
        <v>119</v>
      </c>
    </row>
    <row r="89" spans="1:13" ht="12" thickBot="1" x14ac:dyDescent="0.25">
      <c r="A89" s="92" t="s">
        <v>92</v>
      </c>
      <c r="B89" s="54"/>
      <c r="C89" s="52" t="s">
        <v>93</v>
      </c>
      <c r="D89" s="54"/>
      <c r="E89" s="52" t="s">
        <v>94</v>
      </c>
      <c r="F89" s="54"/>
      <c r="G89" s="52" t="s">
        <v>95</v>
      </c>
      <c r="H89" s="54"/>
      <c r="I89" s="52" t="s">
        <v>96</v>
      </c>
      <c r="M89" s="52" t="s">
        <v>120</v>
      </c>
    </row>
    <row r="90" spans="1:13" x14ac:dyDescent="0.2">
      <c r="A90" s="54"/>
      <c r="B90" s="54"/>
      <c r="C90" s="96" t="s">
        <v>5</v>
      </c>
      <c r="D90" s="54"/>
      <c r="E90" s="36" t="s">
        <v>6</v>
      </c>
      <c r="F90" s="54"/>
      <c r="G90" s="36" t="s">
        <v>7</v>
      </c>
      <c r="H90" s="32"/>
      <c r="I90" s="36" t="s">
        <v>41</v>
      </c>
      <c r="K90" s="16" t="s">
        <v>42</v>
      </c>
      <c r="M90" s="54" t="s">
        <v>43</v>
      </c>
    </row>
    <row r="91" spans="1:13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13" x14ac:dyDescent="0.2">
      <c r="A92" s="48">
        <v>1</v>
      </c>
      <c r="C92" s="55">
        <f>C15</f>
        <v>44180</v>
      </c>
      <c r="D92" s="55"/>
      <c r="E92" s="56">
        <v>0</v>
      </c>
      <c r="F92" s="57"/>
      <c r="G92" s="56">
        <v>0</v>
      </c>
      <c r="H92" s="57"/>
      <c r="I92" s="56">
        <f t="shared" ref="I92:I104" si="9">G92-E92</f>
        <v>0</v>
      </c>
      <c r="M92" s="56">
        <v>0</v>
      </c>
    </row>
    <row r="93" spans="1:13" x14ac:dyDescent="0.2">
      <c r="A93" s="48">
        <f t="shared" ref="A93:A121" si="10">1+A92</f>
        <v>2</v>
      </c>
      <c r="C93" s="55">
        <f>C16</f>
        <v>44211</v>
      </c>
      <c r="D93" s="55"/>
      <c r="E93" s="58">
        <f>E53</f>
        <v>0</v>
      </c>
      <c r="F93" s="57"/>
      <c r="G93" s="58">
        <f>G53</f>
        <v>166.85</v>
      </c>
      <c r="H93" s="57"/>
      <c r="I93" s="58">
        <f t="shared" si="9"/>
        <v>166.85</v>
      </c>
      <c r="M93" s="58">
        <f>+M53</f>
        <v>24.53</v>
      </c>
    </row>
    <row r="94" spans="1:13" x14ac:dyDescent="0.2">
      <c r="A94" s="48">
        <f t="shared" si="10"/>
        <v>3</v>
      </c>
      <c r="C94" s="55">
        <f t="shared" ref="C94:C104" si="11">C93+31</f>
        <v>44242</v>
      </c>
      <c r="D94" s="55"/>
      <c r="E94" s="59">
        <f t="shared" ref="E94:E104" si="12">E93+E54</f>
        <v>0</v>
      </c>
      <c r="F94" s="57"/>
      <c r="G94" s="59">
        <f t="shared" ref="G94:G104" si="13">G93+G54</f>
        <v>333.7</v>
      </c>
      <c r="H94" s="57"/>
      <c r="I94" s="59">
        <f t="shared" si="9"/>
        <v>333.7</v>
      </c>
      <c r="M94" s="59">
        <f>+M93+M54</f>
        <v>49.06</v>
      </c>
    </row>
    <row r="95" spans="1:13" x14ac:dyDescent="0.2">
      <c r="A95" s="48">
        <f t="shared" si="10"/>
        <v>4</v>
      </c>
      <c r="C95" s="55">
        <f t="shared" si="11"/>
        <v>44273</v>
      </c>
      <c r="D95" s="55"/>
      <c r="E95" s="59">
        <f t="shared" si="12"/>
        <v>0</v>
      </c>
      <c r="F95" s="57"/>
      <c r="G95" s="59">
        <f t="shared" si="13"/>
        <v>500.54999999999995</v>
      </c>
      <c r="H95" s="57"/>
      <c r="I95" s="59">
        <f t="shared" si="9"/>
        <v>500.54999999999995</v>
      </c>
      <c r="M95" s="59">
        <f t="shared" ref="M95:M104" si="14">+M94+M55</f>
        <v>73.59</v>
      </c>
    </row>
    <row r="96" spans="1:13" x14ac:dyDescent="0.2">
      <c r="A96" s="48">
        <f t="shared" si="10"/>
        <v>5</v>
      </c>
      <c r="C96" s="55">
        <f t="shared" si="11"/>
        <v>44304</v>
      </c>
      <c r="D96" s="55"/>
      <c r="E96" s="59">
        <f t="shared" si="12"/>
        <v>0</v>
      </c>
      <c r="F96" s="57"/>
      <c r="G96" s="59">
        <f t="shared" si="13"/>
        <v>667.4</v>
      </c>
      <c r="H96" s="57"/>
      <c r="I96" s="59">
        <f t="shared" si="9"/>
        <v>667.4</v>
      </c>
      <c r="M96" s="59">
        <f t="shared" si="14"/>
        <v>98.12</v>
      </c>
    </row>
    <row r="97" spans="1:13" x14ac:dyDescent="0.2">
      <c r="A97" s="48">
        <f t="shared" si="10"/>
        <v>6</v>
      </c>
      <c r="C97" s="55">
        <f t="shared" si="11"/>
        <v>44335</v>
      </c>
      <c r="D97" s="55"/>
      <c r="E97" s="59">
        <f t="shared" si="12"/>
        <v>0</v>
      </c>
      <c r="F97" s="57"/>
      <c r="G97" s="59">
        <f t="shared" si="13"/>
        <v>834.25</v>
      </c>
      <c r="H97" s="57"/>
      <c r="I97" s="59">
        <f t="shared" si="9"/>
        <v>834.25</v>
      </c>
      <c r="M97" s="59">
        <f t="shared" si="14"/>
        <v>122.65</v>
      </c>
    </row>
    <row r="98" spans="1:13" x14ac:dyDescent="0.2">
      <c r="A98" s="48">
        <f t="shared" si="10"/>
        <v>7</v>
      </c>
      <c r="C98" s="55">
        <f t="shared" si="11"/>
        <v>44366</v>
      </c>
      <c r="D98" s="55"/>
      <c r="E98" s="59">
        <f t="shared" si="12"/>
        <v>0</v>
      </c>
      <c r="F98" s="57"/>
      <c r="G98" s="59">
        <f t="shared" si="13"/>
        <v>1001.1</v>
      </c>
      <c r="H98" s="57"/>
      <c r="I98" s="59">
        <f t="shared" si="9"/>
        <v>1001.1</v>
      </c>
      <c r="M98" s="59">
        <f t="shared" si="14"/>
        <v>147.18</v>
      </c>
    </row>
    <row r="99" spans="1:13" x14ac:dyDescent="0.2">
      <c r="A99" s="48">
        <f t="shared" si="10"/>
        <v>8</v>
      </c>
      <c r="C99" s="55">
        <f t="shared" si="11"/>
        <v>44397</v>
      </c>
      <c r="D99" s="55"/>
      <c r="E99" s="59">
        <f t="shared" si="12"/>
        <v>0</v>
      </c>
      <c r="F99" s="57"/>
      <c r="G99" s="59">
        <f t="shared" si="13"/>
        <v>1167.95</v>
      </c>
      <c r="H99" s="57"/>
      <c r="I99" s="59">
        <f t="shared" si="9"/>
        <v>1167.95</v>
      </c>
      <c r="M99" s="59">
        <f t="shared" si="14"/>
        <v>171.71</v>
      </c>
    </row>
    <row r="100" spans="1:13" x14ac:dyDescent="0.2">
      <c r="A100" s="48">
        <f t="shared" si="10"/>
        <v>9</v>
      </c>
      <c r="C100" s="55">
        <f t="shared" si="11"/>
        <v>44428</v>
      </c>
      <c r="D100" s="55"/>
      <c r="E100" s="59">
        <f t="shared" si="12"/>
        <v>0</v>
      </c>
      <c r="F100" s="57"/>
      <c r="G100" s="59">
        <f t="shared" si="13"/>
        <v>1334.8</v>
      </c>
      <c r="H100" s="57"/>
      <c r="I100" s="59">
        <f t="shared" si="9"/>
        <v>1334.8</v>
      </c>
      <c r="M100" s="59">
        <f t="shared" si="14"/>
        <v>196.24</v>
      </c>
    </row>
    <row r="101" spans="1:13" x14ac:dyDescent="0.2">
      <c r="A101" s="48">
        <f t="shared" si="10"/>
        <v>10</v>
      </c>
      <c r="C101" s="55">
        <f t="shared" si="11"/>
        <v>44459</v>
      </c>
      <c r="D101" s="55"/>
      <c r="E101" s="59">
        <f t="shared" si="12"/>
        <v>0</v>
      </c>
      <c r="F101" s="57"/>
      <c r="G101" s="59">
        <f t="shared" si="13"/>
        <v>1501.6499999999999</v>
      </c>
      <c r="H101" s="57"/>
      <c r="I101" s="59">
        <f t="shared" si="9"/>
        <v>1501.6499999999999</v>
      </c>
      <c r="M101" s="59">
        <f t="shared" si="14"/>
        <v>220.78</v>
      </c>
    </row>
    <row r="102" spans="1:13" x14ac:dyDescent="0.2">
      <c r="A102" s="48">
        <f t="shared" si="10"/>
        <v>11</v>
      </c>
      <c r="C102" s="55">
        <f t="shared" si="11"/>
        <v>44490</v>
      </c>
      <c r="D102" s="55"/>
      <c r="E102" s="59">
        <f t="shared" si="12"/>
        <v>0</v>
      </c>
      <c r="F102" s="57"/>
      <c r="G102" s="59">
        <f t="shared" si="13"/>
        <v>1668.4999999999998</v>
      </c>
      <c r="H102" s="57"/>
      <c r="I102" s="59">
        <f t="shared" si="9"/>
        <v>1668.4999999999998</v>
      </c>
      <c r="M102" s="59">
        <f t="shared" si="14"/>
        <v>245.32</v>
      </c>
    </row>
    <row r="103" spans="1:13" x14ac:dyDescent="0.2">
      <c r="A103" s="48">
        <f t="shared" si="10"/>
        <v>12</v>
      </c>
      <c r="C103" s="55">
        <f t="shared" si="11"/>
        <v>44521</v>
      </c>
      <c r="D103" s="55"/>
      <c r="E103" s="59">
        <f t="shared" si="12"/>
        <v>0</v>
      </c>
      <c r="F103" s="57"/>
      <c r="G103" s="59">
        <f t="shared" si="13"/>
        <v>1835.3499999999997</v>
      </c>
      <c r="H103" s="57"/>
      <c r="I103" s="59">
        <f t="shared" si="9"/>
        <v>1835.3499999999997</v>
      </c>
      <c r="M103" s="59">
        <f t="shared" si="14"/>
        <v>269.86</v>
      </c>
    </row>
    <row r="104" spans="1:13" x14ac:dyDescent="0.2">
      <c r="A104" s="48">
        <f t="shared" si="10"/>
        <v>13</v>
      </c>
      <c r="C104" s="55">
        <f t="shared" si="11"/>
        <v>44552</v>
      </c>
      <c r="D104" s="55"/>
      <c r="E104" s="61">
        <f t="shared" si="12"/>
        <v>0</v>
      </c>
      <c r="F104" s="57"/>
      <c r="G104" s="61">
        <f t="shared" si="13"/>
        <v>2002.1999999999996</v>
      </c>
      <c r="H104" s="57"/>
      <c r="I104" s="61">
        <f t="shared" si="9"/>
        <v>2002.1999999999996</v>
      </c>
      <c r="M104" s="61">
        <f t="shared" si="14"/>
        <v>294.40000000000003</v>
      </c>
    </row>
    <row r="105" spans="1:13" x14ac:dyDescent="0.2">
      <c r="A105" s="48">
        <f t="shared" si="10"/>
        <v>14</v>
      </c>
      <c r="C105" s="62" t="s">
        <v>52</v>
      </c>
      <c r="D105" s="62"/>
      <c r="E105" s="63">
        <f>SUM(E93:E104)</f>
        <v>0</v>
      </c>
      <c r="F105" s="64"/>
      <c r="G105" s="63">
        <f>SUM(G93:G104)</f>
        <v>13014.3</v>
      </c>
      <c r="H105" s="64"/>
      <c r="I105" s="63">
        <f>SUM(I93:I104)</f>
        <v>13014.3</v>
      </c>
      <c r="M105" s="63">
        <f>SUM(M93:M104)</f>
        <v>1913.44</v>
      </c>
    </row>
    <row r="106" spans="1:13" x14ac:dyDescent="0.2">
      <c r="A106" s="48">
        <f t="shared" si="10"/>
        <v>15</v>
      </c>
      <c r="E106" s="57"/>
      <c r="F106" s="57"/>
      <c r="G106" s="57"/>
      <c r="H106" s="57"/>
      <c r="I106" s="57"/>
      <c r="M106" s="57"/>
    </row>
    <row r="107" spans="1:13" ht="12" thickBot="1" x14ac:dyDescent="0.25">
      <c r="A107" s="48">
        <f t="shared" si="10"/>
        <v>16</v>
      </c>
      <c r="C107" s="77" t="s">
        <v>121</v>
      </c>
      <c r="D107" s="77"/>
      <c r="E107" s="66">
        <f>ROUND(+E105/12,2)</f>
        <v>0</v>
      </c>
      <c r="F107" s="64"/>
      <c r="G107" s="66">
        <f>ROUND(+G105/12,2)</f>
        <v>1084.53</v>
      </c>
      <c r="H107" s="64"/>
      <c r="I107" s="66">
        <f>ROUND(+I105/12,2)</f>
        <v>1084.53</v>
      </c>
      <c r="M107" s="66">
        <f>ROUND(+M105/12,2)</f>
        <v>159.44999999999999</v>
      </c>
    </row>
    <row r="108" spans="1:13" ht="12" thickTop="1" x14ac:dyDescent="0.2">
      <c r="A108" s="48">
        <f t="shared" si="10"/>
        <v>17</v>
      </c>
      <c r="E108" s="67" t="s">
        <v>9</v>
      </c>
      <c r="F108" s="67"/>
      <c r="G108" s="67" t="s">
        <v>9</v>
      </c>
      <c r="H108" s="67"/>
      <c r="I108" s="67" t="s">
        <v>9</v>
      </c>
    </row>
    <row r="109" spans="1:13" x14ac:dyDescent="0.2">
      <c r="A109" s="48">
        <f t="shared" si="10"/>
        <v>18</v>
      </c>
      <c r="E109" s="57"/>
      <c r="F109" s="57"/>
      <c r="G109" s="57"/>
      <c r="H109" s="57"/>
      <c r="I109" s="57"/>
    </row>
    <row r="110" spans="1:13" ht="12" thickBot="1" x14ac:dyDescent="0.25">
      <c r="A110" s="48">
        <f t="shared" si="10"/>
        <v>19</v>
      </c>
      <c r="C110" s="62" t="s">
        <v>98</v>
      </c>
      <c r="D110" s="62"/>
      <c r="E110" s="57"/>
      <c r="F110" s="57"/>
      <c r="G110" s="57"/>
      <c r="H110" s="57"/>
      <c r="I110" s="78">
        <f>I107</f>
        <v>1084.53</v>
      </c>
      <c r="M110" s="78">
        <f>+M107</f>
        <v>159.44999999999999</v>
      </c>
    </row>
    <row r="111" spans="1:13" ht="12" thickTop="1" x14ac:dyDescent="0.2">
      <c r="A111" s="48">
        <f t="shared" si="10"/>
        <v>20</v>
      </c>
      <c r="E111" s="57"/>
      <c r="F111" s="57"/>
      <c r="G111" s="57"/>
      <c r="H111" s="57"/>
      <c r="I111" s="62" t="s">
        <v>99</v>
      </c>
      <c r="M111" s="62" t="s">
        <v>99</v>
      </c>
    </row>
    <row r="112" spans="1:13" x14ac:dyDescent="0.2">
      <c r="A112" s="48">
        <f t="shared" si="10"/>
        <v>21</v>
      </c>
      <c r="I112" s="62" t="s">
        <v>133</v>
      </c>
      <c r="M112" s="62" t="s">
        <v>134</v>
      </c>
    </row>
    <row r="113" spans="1:9" x14ac:dyDescent="0.2">
      <c r="A113" s="48">
        <f t="shared" si="10"/>
        <v>22</v>
      </c>
    </row>
    <row r="114" spans="1:9" x14ac:dyDescent="0.2">
      <c r="A114" s="48">
        <f t="shared" si="10"/>
        <v>23</v>
      </c>
      <c r="E114" s="73" t="s">
        <v>110</v>
      </c>
      <c r="F114" s="73"/>
      <c r="G114" s="73" t="s">
        <v>111</v>
      </c>
    </row>
    <row r="115" spans="1:9" ht="12" thickBot="1" x14ac:dyDescent="0.25">
      <c r="A115" s="48">
        <f t="shared" si="10"/>
        <v>24</v>
      </c>
      <c r="E115" s="74" t="s">
        <v>114</v>
      </c>
      <c r="F115" s="73"/>
      <c r="G115" s="74" t="s">
        <v>114</v>
      </c>
    </row>
    <row r="116" spans="1:9" x14ac:dyDescent="0.2">
      <c r="A116" s="48">
        <f t="shared" si="10"/>
        <v>25</v>
      </c>
      <c r="C116" s="75" t="str">
        <f>C73</f>
        <v>Acct 2.376.00</v>
      </c>
      <c r="D116" s="75"/>
      <c r="E116" s="79">
        <f>E73</f>
        <v>2.2058823529411766E-2</v>
      </c>
      <c r="F116" s="79"/>
      <c r="G116" s="79">
        <f>G73</f>
        <v>1.8382352941176473E-3</v>
      </c>
    </row>
    <row r="117" spans="1:9" x14ac:dyDescent="0.2">
      <c r="A117" s="48">
        <f t="shared" si="10"/>
        <v>26</v>
      </c>
      <c r="E117" s="57"/>
      <c r="F117" s="57"/>
      <c r="G117" s="57"/>
      <c r="H117" s="57"/>
      <c r="I117" s="57"/>
    </row>
    <row r="118" spans="1:9" x14ac:dyDescent="0.2">
      <c r="A118" s="48">
        <f t="shared" si="10"/>
        <v>27</v>
      </c>
      <c r="H118" s="57"/>
      <c r="I118" s="57"/>
    </row>
    <row r="119" spans="1:9" x14ac:dyDescent="0.2">
      <c r="A119" s="48">
        <f t="shared" si="10"/>
        <v>28</v>
      </c>
    </row>
    <row r="120" spans="1:9" x14ac:dyDescent="0.2">
      <c r="A120" s="48">
        <f t="shared" si="10"/>
        <v>29</v>
      </c>
    </row>
    <row r="121" spans="1:9" x14ac:dyDescent="0.2">
      <c r="A121" s="48">
        <f t="shared" si="10"/>
        <v>30</v>
      </c>
    </row>
  </sheetData>
  <mergeCells count="7">
    <mergeCell ref="A82:I82"/>
    <mergeCell ref="A81:I81"/>
    <mergeCell ref="A2:I2"/>
    <mergeCell ref="A5:I5"/>
    <mergeCell ref="A6:I6"/>
    <mergeCell ref="A43:I43"/>
    <mergeCell ref="A42:I42"/>
  </mergeCells>
  <pageMargins left="0.75" right="0.75" top="1" bottom="1" header="0.5" footer="0.5"/>
  <pageSetup scale="96" orientation="portrait" r:id="rId1"/>
  <headerFooter alignWithMargins="0">
    <oddHeader>&amp;C&amp;"Times New Roman,Regular"Exhibit ASR 1.1, WP D
Integrity Management
Test Year Ending December 31, 2021
Utility: MidAmerican Energy Company
Docket No. NG22-___
Individual Responsible: Aimee S. Rooney</oddHeader>
    <oddFooter>&amp;C&amp;8Exhibit ASR 1.1, WP D
Page &amp;P of &amp;N</oddFooter>
  </headerFooter>
  <rowBreaks count="2" manualBreakCount="2">
    <brk id="38" max="16383" man="1"/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2C1181-6DB4-46D6-9D62-F22BAE03F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0D459-07EC-4507-96E3-45CBD95CE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AA0B5-16A5-4ACE-95A8-A72A5E001CA6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c465538-51ad-4a49-97bb-3af484439683"/>
    <ds:schemaRef ds:uri="http://purl.org/dc/elements/1.1/"/>
    <ds:schemaRef ds:uri="a6bdf0c3-ccba-4ad4-a261-da85c323314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22</vt:i4>
      </vt:variant>
    </vt:vector>
  </HeadingPairs>
  <TitlesOfParts>
    <vt:vector size="50" baseType="lpstr">
      <vt:lpstr>WP D , pg 1</vt:lpstr>
      <vt:lpstr>WP D, pg 2 &amp; 3</vt:lpstr>
      <vt:lpstr>G9BDD Input</vt:lpstr>
      <vt:lpstr>G9BDDTotalWO</vt:lpstr>
      <vt:lpstr>G9BDD Acct1</vt:lpstr>
      <vt:lpstr>G9BDD Support</vt:lpstr>
      <vt:lpstr>G9AYR Input</vt:lpstr>
      <vt:lpstr>G9AYR TotalWO</vt:lpstr>
      <vt:lpstr>G9AYR Acct1</vt:lpstr>
      <vt:lpstr>G9AYR Support</vt:lpstr>
      <vt:lpstr>G9BCU Input</vt:lpstr>
      <vt:lpstr>G9BCU TotalWO</vt:lpstr>
      <vt:lpstr>G9BCU Acct1</vt:lpstr>
      <vt:lpstr>G9BCU Support</vt:lpstr>
      <vt:lpstr>G9BDE Input</vt:lpstr>
      <vt:lpstr>G9BDE TotalWO</vt:lpstr>
      <vt:lpstr>G9BDE Acct1</vt:lpstr>
      <vt:lpstr>G9BDE Acct2</vt:lpstr>
      <vt:lpstr>G9BDE Support</vt:lpstr>
      <vt:lpstr>G9BDS Input</vt:lpstr>
      <vt:lpstr>G9BDS TotalWO</vt:lpstr>
      <vt:lpstr>G9BDS Acct1</vt:lpstr>
      <vt:lpstr>G9BDS Support</vt:lpstr>
      <vt:lpstr>G9BDF Input</vt:lpstr>
      <vt:lpstr>G9BDF TotalWO</vt:lpstr>
      <vt:lpstr>G9BDF Acct1</vt:lpstr>
      <vt:lpstr>G9BDF Acct2</vt:lpstr>
      <vt:lpstr>G9BDF Support</vt:lpstr>
      <vt:lpstr>'G9AYR Acct1'!Print_Area</vt:lpstr>
      <vt:lpstr>'G9AYR Support'!Print_Area</vt:lpstr>
      <vt:lpstr>'G9AYR TotalWO'!Print_Area</vt:lpstr>
      <vt:lpstr>'G9BCU Acct1'!Print_Area</vt:lpstr>
      <vt:lpstr>'G9BCU Support'!Print_Area</vt:lpstr>
      <vt:lpstr>'G9BCU TotalWO'!Print_Area</vt:lpstr>
      <vt:lpstr>'G9BDD Acct1'!Print_Area</vt:lpstr>
      <vt:lpstr>'G9BDD Support'!Print_Area</vt:lpstr>
      <vt:lpstr>G9BDDTotalWO!Print_Area</vt:lpstr>
      <vt:lpstr>'G9BDE Acct1'!Print_Area</vt:lpstr>
      <vt:lpstr>'G9BDE Acct2'!Print_Area</vt:lpstr>
      <vt:lpstr>'G9BDE Support'!Print_Area</vt:lpstr>
      <vt:lpstr>'G9BDE TotalWO'!Print_Area</vt:lpstr>
      <vt:lpstr>'G9BDF Acct1'!Print_Area</vt:lpstr>
      <vt:lpstr>'G9BDF Acct2'!Print_Area</vt:lpstr>
      <vt:lpstr>'G9BDF Support'!Print_Area</vt:lpstr>
      <vt:lpstr>'G9BDF TotalWO'!Print_Area</vt:lpstr>
      <vt:lpstr>'G9BDS Acct1'!Print_Area</vt:lpstr>
      <vt:lpstr>'G9BDS Support'!Print_Area</vt:lpstr>
      <vt:lpstr>'G9BDS TotalWO'!Print_Area</vt:lpstr>
      <vt:lpstr>'WP D , pg 1'!Print_Area</vt:lpstr>
      <vt:lpstr>'WP D, pg 2 &amp; 3'!Print_Area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White, Renee (MidAmerican)</cp:lastModifiedBy>
  <cp:revision/>
  <cp:lastPrinted>2022-05-11T20:07:59Z</cp:lastPrinted>
  <dcterms:created xsi:type="dcterms:W3CDTF">2014-02-18T02:22:57Z</dcterms:created>
  <dcterms:modified xsi:type="dcterms:W3CDTF">2022-05-17T13:26:12Z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