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15 Statement O, Schedule O-1/"/>
    </mc:Choice>
  </mc:AlternateContent>
  <xr:revisionPtr revIDLastSave="85" documentId="13_ncr:1_{D4E033ED-C217-4605-9EFA-3820B4C6FDC7}" xr6:coauthVersionLast="47" xr6:coauthVersionMax="47" xr10:uidLastSave="{12C76580-1CDF-43D6-830A-92718C3E785C}"/>
  <bookViews>
    <workbookView xWindow="1950" yWindow="795" windowWidth="24510" windowHeight="15405" tabRatio="926" xr2:uid="{DD8492BB-776A-4E26-8BC8-C01CD7403935}"/>
  </bookViews>
  <sheets>
    <sheet name="FUN-1 (Results)" sheetId="1" r:id="rId1"/>
    <sheet name="FUN-2 (Test Year)" sheetId="2" r:id="rId2"/>
    <sheet name="FUN-3 (Functional COS)" sheetId="4" r:id="rId3"/>
    <sheet name="FUN-4 (Functional Allocators)" sheetId="5" r:id="rId4"/>
    <sheet name="FUN-5 (Payroll)" sheetId="6" r:id="rId5"/>
    <sheet name="CLS1-1 (Class COS)" sheetId="22" r:id="rId6"/>
    <sheet name="SRC-1 (S.D. Sales)" sheetId="28" r:id="rId7"/>
    <sheet name="SRC-2 (S.D. Revenue)" sheetId="36" r:id="rId8"/>
    <sheet name="SRC-3 (S.D. Riders)" sheetId="34" r:id="rId9"/>
    <sheet name="SRC-4 (S.D. Customers)" sheetId="31" r:id="rId10"/>
    <sheet name="SRC-5 (Monthly Sales)" sheetId="33" r:id="rId11"/>
    <sheet name="ALO-1 (Design Day Peak)" sheetId="12" r:id="rId12"/>
    <sheet name="RD-1 (SV)" sheetId="38" r:id="rId13"/>
    <sheet name="RD-2 (MV)" sheetId="39" r:id="rId14"/>
    <sheet name="RD-3 (LV)" sheetId="40" r:id="rId15"/>
    <sheet name="RD-4 (MTR)" sheetId="41" r:id="rId16"/>
    <sheet name="RD-5 (INTRVL METER) " sheetId="43" r:id="rId17"/>
    <sheet name="RD-6 (NF RATE SCHEDULE)" sheetId="44" r:id="rId18"/>
    <sheet name="Billing Determinants" sheetId="37" r:id="rId19"/>
    <sheet name="Rate Summary" sheetId="42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\a">[1]CONSLPGA!#REF!</definedName>
    <definedName name="\b">[1]CONSLPGA!#REF!</definedName>
    <definedName name="\c">[1]CONSLPGA!#REF!</definedName>
    <definedName name="\d">[1]CONSLPGA!#REF!</definedName>
    <definedName name="AlocList" localSheetId="17">'[2]FUN-4 (Functional Allocators)'!$B$6:$B$29</definedName>
    <definedName name="AlocList" localSheetId="8">'[3]FUN-5 (Functional Allocators)'!$B$6:$B$37</definedName>
    <definedName name="AlocList">'FUN-4 (Functional Allocators)'!$B$6:$B$29</definedName>
    <definedName name="AlocTable" localSheetId="17">'[2]FUN-4 (Functional Allocators)'!$B$6:$N$29</definedName>
    <definedName name="AlocTable" localSheetId="8">'[3]FUN-5 (Functional Allocators)'!$B$6:$L$37</definedName>
    <definedName name="AlocTable">'FUN-4 (Functional Allocators)'!$B$6:$N$29</definedName>
    <definedName name="_xlnm.Print_Area" localSheetId="16">'RD-5 (INTRVL METER) '!$A$1:$H$40</definedName>
    <definedName name="_xlnm.Print_Area" localSheetId="17">'RD-6 (NF RATE SCHEDULE)'!$A$1:$F$157</definedName>
    <definedName name="Print_Area_MI">[1]CONSLPGA!#REF!</definedName>
    <definedName name="_xlnm.Print_Titles" localSheetId="11">'ALO-1 (Design Day Peak)'!$A:$B,'ALO-1 (Design Day Peak)'!$1:$8</definedName>
    <definedName name="_xlnm.Print_Titles" localSheetId="5">'CLS1-1 (Class COS)'!$A:$B,'CLS1-1 (Class COS)'!$1:$6</definedName>
    <definedName name="_xlnm.Print_Titles" localSheetId="0">'FUN-1 (Results)'!$A:$D,'FUN-1 (Results)'!$1:$5</definedName>
    <definedName name="_xlnm.Print_Titles" localSheetId="1">'FUN-2 (Test Year)'!$A:$F,'FUN-2 (Test Year)'!$1:$8</definedName>
    <definedName name="_xlnm.Print_Titles" localSheetId="2">'FUN-3 (Functional COS)'!$A:$G,'FUN-3 (Functional COS)'!$1:$5</definedName>
    <definedName name="_xlnm.Print_Titles" localSheetId="3">'FUN-4 (Functional Allocators)'!$A:$C,'FUN-4 (Functional Allocators)'!$1:$5</definedName>
    <definedName name="_xlnm.Print_Titles" localSheetId="4">'FUN-5 (Payroll)'!$A:$E,'FUN-5 (Payroll)'!$1:$4</definedName>
    <definedName name="_xlnm.Print_Titles" localSheetId="15">'RD-4 (MTR)'!$1:$3</definedName>
    <definedName name="_xlnm.Print_Titles" localSheetId="17">'RD-6 (NF RATE SCHEDULE)'!$1:$8</definedName>
    <definedName name="_xlnm.Print_Titles" localSheetId="6">'SRC-1 (S.D. Sales)'!$1:$8</definedName>
    <definedName name="_xlnm.Print_Titles" localSheetId="7">'SRC-2 (S.D. Revenue)'!$A:$F,'SRC-2 (S.D. Revenue)'!$1:$7</definedName>
    <definedName name="_xlnm.Print_Titles" localSheetId="8">'SRC-3 (S.D. Riders)'!$A:$C,'SRC-3 (S.D. Riders)'!$1:$5</definedName>
    <definedName name="_xlnm.Print_Titles" localSheetId="9">'SRC-4 (S.D. Customers)'!$1:$8</definedName>
    <definedName name="_xlnm.Print_Titles" localSheetId="10">'SRC-5 (Monthly Sales)'!$A:$E,'SRC-5 (Monthly Sales)'!$1:$5</definedName>
    <definedName name="qryIADemand" localSheetId="13">#REF!</definedName>
    <definedName name="qryIADemand" localSheetId="14">#REF!</definedName>
    <definedName name="qryIADemand" localSheetId="8">#REF!</definedName>
    <definedName name="qryIADemand">#REF!</definedName>
    <definedName name="Recover" localSheetId="15">[4]Macro1!$A$108</definedName>
    <definedName name="Recover" localSheetId="8">[5]Macro1!$A$638</definedName>
    <definedName name="Recover">[5]Macro1!$A$638</definedName>
    <definedName name="solver_adj" localSheetId="0" hidden="1">'FUN-1 (Results)'!#REF!</definedName>
    <definedName name="solver_adj" localSheetId="1" hidden="1">'FUN-2 (Test Year)'!$G$266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'FUN-1 (Results)'!$E$36</definedName>
    <definedName name="solver_opt" localSheetId="1" hidden="1">'FUN-2 (Test Year)'!$G$269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3</definedName>
    <definedName name="solver_typ" localSheetId="1" hidden="1">3</definedName>
    <definedName name="solver_val" localSheetId="0" hidden="1">1388850000</definedName>
    <definedName name="solver_val" localSheetId="1" hidden="1">369533830</definedName>
    <definedName name="solver_ver" localSheetId="0" hidden="1">3</definedName>
    <definedName name="solver_ver" localSheetId="1" hidden="1">3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42" l="1"/>
  <c r="B11" i="42"/>
  <c r="B75" i="42"/>
  <c r="B74" i="42"/>
  <c r="B72" i="42"/>
  <c r="B71" i="42"/>
  <c r="B69" i="42"/>
  <c r="B68" i="42"/>
  <c r="B66" i="42"/>
  <c r="B65" i="42"/>
  <c r="B63" i="42"/>
  <c r="B62" i="42"/>
  <c r="B60" i="42"/>
  <c r="B59" i="42"/>
  <c r="B57" i="42"/>
  <c r="B56" i="42"/>
  <c r="B54" i="42"/>
  <c r="B53" i="42"/>
  <c r="A55" i="42"/>
  <c r="A58" i="42" s="1"/>
  <c r="A61" i="42" s="1"/>
  <c r="A64" i="42" s="1"/>
  <c r="A67" i="42" s="1"/>
  <c r="A70" i="42" s="1"/>
  <c r="A73" i="42" s="1"/>
  <c r="D151" i="44" l="1"/>
  <c r="D150" i="44"/>
  <c r="E145" i="44"/>
  <c r="E144" i="44"/>
  <c r="E150" i="44" s="1"/>
  <c r="D132" i="44"/>
  <c r="D131" i="44"/>
  <c r="E126" i="44"/>
  <c r="E125" i="44"/>
  <c r="E131" i="44" s="1"/>
  <c r="D113" i="44"/>
  <c r="E112" i="44"/>
  <c r="E113" i="44" s="1"/>
  <c r="D112" i="44"/>
  <c r="E107" i="44"/>
  <c r="E106" i="44"/>
  <c r="D94" i="44"/>
  <c r="D93" i="44"/>
  <c r="E88" i="44"/>
  <c r="E87" i="44"/>
  <c r="E93" i="44" s="1"/>
  <c r="D75" i="44"/>
  <c r="E74" i="44"/>
  <c r="E75" i="44" s="1"/>
  <c r="F75" i="44" s="1"/>
  <c r="D74" i="44"/>
  <c r="E69" i="44"/>
  <c r="E68" i="44"/>
  <c r="D56" i="44"/>
  <c r="D55" i="44"/>
  <c r="E50" i="44"/>
  <c r="E49" i="44"/>
  <c r="F49" i="44" s="1"/>
  <c r="D37" i="44"/>
  <c r="D36" i="44"/>
  <c r="E31" i="44"/>
  <c r="E30" i="44"/>
  <c r="E36" i="44" s="1"/>
  <c r="D30" i="44"/>
  <c r="D49" i="44" s="1"/>
  <c r="D68" i="44" s="1"/>
  <c r="D18" i="44"/>
  <c r="E17" i="44"/>
  <c r="E18" i="44" s="1"/>
  <c r="F18" i="44" s="1"/>
  <c r="D17" i="44"/>
  <c r="E12" i="44"/>
  <c r="F12" i="44" s="1"/>
  <c r="D12" i="44"/>
  <c r="D31" i="44" s="1"/>
  <c r="F11" i="44"/>
  <c r="F13" i="44" s="1"/>
  <c r="F15" i="44" s="1"/>
  <c r="E11" i="44"/>
  <c r="D11" i="44"/>
  <c r="A11" i="44"/>
  <c r="A12" i="44" s="1"/>
  <c r="A13" i="44" s="1"/>
  <c r="A15" i="44" s="1"/>
  <c r="A17" i="44" s="1"/>
  <c r="A18" i="44" s="1"/>
  <c r="A19" i="44" s="1"/>
  <c r="A22" i="44" s="1"/>
  <c r="A24" i="44" s="1"/>
  <c r="A28" i="44" s="1"/>
  <c r="A30" i="44" s="1"/>
  <c r="A31" i="44" s="1"/>
  <c r="A32" i="44" s="1"/>
  <c r="A34" i="44" s="1"/>
  <c r="A36" i="44" s="1"/>
  <c r="A37" i="44" s="1"/>
  <c r="A38" i="44" s="1"/>
  <c r="A41" i="44" s="1"/>
  <c r="A43" i="44" s="1"/>
  <c r="A47" i="44" s="1"/>
  <c r="A49" i="44" s="1"/>
  <c r="A50" i="44" s="1"/>
  <c r="A51" i="44" s="1"/>
  <c r="A53" i="44" s="1"/>
  <c r="A55" i="44" s="1"/>
  <c r="A56" i="44" s="1"/>
  <c r="A57" i="44" s="1"/>
  <c r="A60" i="44" s="1"/>
  <c r="A62" i="44" s="1"/>
  <c r="A66" i="44" s="1"/>
  <c r="A68" i="44" s="1"/>
  <c r="A69" i="44" s="1"/>
  <c r="A70" i="44" s="1"/>
  <c r="A72" i="44" s="1"/>
  <c r="A74" i="44" s="1"/>
  <c r="A75" i="44" s="1"/>
  <c r="A76" i="44" s="1"/>
  <c r="A79" i="44" s="1"/>
  <c r="A81" i="44" s="1"/>
  <c r="A85" i="44" s="1"/>
  <c r="A87" i="44" s="1"/>
  <c r="A88" i="44" s="1"/>
  <c r="A89" i="44" s="1"/>
  <c r="A91" i="44" s="1"/>
  <c r="A93" i="44" s="1"/>
  <c r="A94" i="44" s="1"/>
  <c r="A95" i="44" s="1"/>
  <c r="A98" i="44" s="1"/>
  <c r="A100" i="44" s="1"/>
  <c r="A104" i="44" s="1"/>
  <c r="A106" i="44" s="1"/>
  <c r="A107" i="44" s="1"/>
  <c r="A108" i="44" s="1"/>
  <c r="A110" i="44" s="1"/>
  <c r="A112" i="44" s="1"/>
  <c r="A113" i="44" s="1"/>
  <c r="A114" i="44" s="1"/>
  <c r="A117" i="44" s="1"/>
  <c r="A119" i="44" s="1"/>
  <c r="A123" i="44" s="1"/>
  <c r="A125" i="44" s="1"/>
  <c r="A126" i="44" s="1"/>
  <c r="A127" i="44" s="1"/>
  <c r="A129" i="44" s="1"/>
  <c r="A131" i="44" s="1"/>
  <c r="A132" i="44" s="1"/>
  <c r="A133" i="44" s="1"/>
  <c r="A136" i="44" s="1"/>
  <c r="A138" i="44" s="1"/>
  <c r="A142" i="44" s="1"/>
  <c r="A144" i="44" s="1"/>
  <c r="A145" i="44" s="1"/>
  <c r="A146" i="44" s="1"/>
  <c r="A148" i="44" s="1"/>
  <c r="A150" i="44" s="1"/>
  <c r="A151" i="44" s="1"/>
  <c r="A152" i="44" s="1"/>
  <c r="A155" i="44" s="1"/>
  <c r="A157" i="44" s="1"/>
  <c r="F113" i="44" l="1"/>
  <c r="F150" i="44"/>
  <c r="E151" i="44"/>
  <c r="F151" i="44" s="1"/>
  <c r="F31" i="44"/>
  <c r="D50" i="44"/>
  <c r="D69" i="44" s="1"/>
  <c r="F50" i="44"/>
  <c r="F51" i="44" s="1"/>
  <c r="F53" i="44" s="1"/>
  <c r="F93" i="44"/>
  <c r="E94" i="44"/>
  <c r="F94" i="44" s="1"/>
  <c r="D87" i="44"/>
  <c r="D106" i="44" s="1"/>
  <c r="F68" i="44"/>
  <c r="F36" i="44"/>
  <c r="E37" i="44"/>
  <c r="F37" i="44" s="1"/>
  <c r="F131" i="44"/>
  <c r="E132" i="44"/>
  <c r="F132" i="44" s="1"/>
  <c r="F74" i="44"/>
  <c r="F76" i="44" s="1"/>
  <c r="F79" i="44" s="1"/>
  <c r="F17" i="44"/>
  <c r="F19" i="44" s="1"/>
  <c r="F22" i="44" s="1"/>
  <c r="E55" i="44"/>
  <c r="F112" i="44"/>
  <c r="F114" i="44" s="1"/>
  <c r="F117" i="44" s="1"/>
  <c r="F87" i="44"/>
  <c r="F30" i="44"/>
  <c r="F32" i="44" s="1"/>
  <c r="F34" i="44" s="1"/>
  <c r="F95" i="44" l="1"/>
  <c r="F98" i="44" s="1"/>
  <c r="F69" i="44"/>
  <c r="F70" i="44" s="1"/>
  <c r="F72" i="44" s="1"/>
  <c r="F81" i="44" s="1"/>
  <c r="D88" i="44"/>
  <c r="F38" i="44"/>
  <c r="F41" i="44" s="1"/>
  <c r="F43" i="44" s="1"/>
  <c r="F24" i="44"/>
  <c r="F106" i="44"/>
  <c r="D125" i="44"/>
  <c r="F152" i="44"/>
  <c r="F155" i="44" s="1"/>
  <c r="F133" i="44"/>
  <c r="F136" i="44" s="1"/>
  <c r="E56" i="44"/>
  <c r="F56" i="44" s="1"/>
  <c r="F55" i="44"/>
  <c r="F57" i="44" s="1"/>
  <c r="F60" i="44" s="1"/>
  <c r="F62" i="44" s="1"/>
  <c r="D107" i="44" l="1"/>
  <c r="F88" i="44"/>
  <c r="F89" i="44" s="1"/>
  <c r="F91" i="44" s="1"/>
  <c r="F100" i="44"/>
  <c r="D144" i="44"/>
  <c r="F144" i="44" s="1"/>
  <c r="F125" i="44"/>
  <c r="D126" i="44" l="1"/>
  <c r="F107" i="44"/>
  <c r="F108" i="44" s="1"/>
  <c r="F110" i="44" s="1"/>
  <c r="F119" i="44" s="1"/>
  <c r="D145" i="44" l="1"/>
  <c r="F145" i="44" s="1"/>
  <c r="F146" i="44" s="1"/>
  <c r="F148" i="44" s="1"/>
  <c r="F157" i="44" s="1"/>
  <c r="F126" i="44"/>
  <c r="F127" i="44" s="1"/>
  <c r="F129" i="44" s="1"/>
  <c r="F138" i="44" s="1"/>
  <c r="C48" i="37" l="1"/>
  <c r="G48" i="37" s="1"/>
  <c r="L9" i="28"/>
  <c r="R11" i="36" l="1"/>
  <c r="AE223" i="2" l="1"/>
  <c r="H237" i="4" l="1"/>
  <c r="B35" i="42" l="1"/>
  <c r="R58" i="36"/>
  <c r="E54" i="34" l="1"/>
  <c r="E56" i="34"/>
  <c r="P53" i="36"/>
  <c r="P52" i="36"/>
  <c r="R52" i="36" l="1"/>
  <c r="L81" i="2" l="1"/>
  <c r="L75" i="2"/>
  <c r="L39" i="2"/>
  <c r="A40" i="1" l="1"/>
  <c r="A38" i="1"/>
  <c r="A36" i="1"/>
  <c r="A34" i="1"/>
  <c r="A32" i="1"/>
  <c r="A31" i="1"/>
  <c r="A29" i="1"/>
  <c r="A27" i="1"/>
  <c r="A25" i="1"/>
  <c r="A24" i="1"/>
  <c r="A23" i="1"/>
  <c r="A22" i="1"/>
  <c r="A19" i="1"/>
  <c r="A17" i="1"/>
  <c r="A15" i="1"/>
  <c r="A13" i="1"/>
  <c r="A12" i="1"/>
  <c r="A11" i="1"/>
  <c r="A10" i="1"/>
  <c r="A14" i="2" l="1"/>
  <c r="A15" i="2" s="1"/>
  <c r="A16" i="2" s="1"/>
  <c r="A17" i="2" s="1"/>
  <c r="A18" i="2" s="1"/>
  <c r="A19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9" i="2" s="1"/>
  <c r="A50" i="2" s="1"/>
  <c r="A53" i="2" s="1"/>
  <c r="A54" i="2" s="1"/>
  <c r="A56" i="2" s="1"/>
  <c r="A61" i="2" s="1"/>
  <c r="A62" i="2" s="1"/>
  <c r="A63" i="2" s="1"/>
  <c r="A64" i="2" s="1"/>
  <c r="A65" i="2" s="1"/>
  <c r="A66" i="2" s="1"/>
  <c r="A68" i="2" s="1"/>
  <c r="A73" i="2" s="1"/>
  <c r="A74" i="2" s="1"/>
  <c r="A75" i="2" s="1"/>
  <c r="A76" i="2" s="1"/>
  <c r="A77" i="2" s="1"/>
  <c r="A78" i="2" s="1"/>
  <c r="A80" i="2" s="1"/>
  <c r="A81" i="2" s="1"/>
  <c r="A82" i="2" s="1"/>
  <c r="A83" i="2" s="1"/>
  <c r="A84" i="2" s="1"/>
  <c r="A85" i="2" s="1"/>
  <c r="A86" i="2" s="1"/>
  <c r="A88" i="2" s="1"/>
  <c r="A90" i="2" s="1"/>
  <c r="A97" i="2" s="1"/>
  <c r="A98" i="2" s="1"/>
  <c r="A99" i="2" s="1"/>
  <c r="A100" i="2" s="1"/>
  <c r="A101" i="2" s="1"/>
  <c r="A102" i="2" s="1"/>
  <c r="A104" i="2" s="1"/>
  <c r="A105" i="2" s="1"/>
  <c r="A106" i="2" s="1"/>
  <c r="A108" i="2" s="1"/>
  <c r="A109" i="2" s="1"/>
  <c r="A110" i="2" s="1"/>
  <c r="A111" i="2" s="1"/>
  <c r="A112" i="2" s="1"/>
  <c r="A116" i="2" s="1"/>
  <c r="A117" i="2" s="1"/>
  <c r="A118" i="2" s="1"/>
  <c r="A120" i="2" s="1"/>
  <c r="A121" i="2" s="1"/>
  <c r="A122" i="2" s="1"/>
  <c r="A123" i="2" s="1"/>
  <c r="A261" i="4"/>
  <c r="A259" i="4"/>
  <c r="A257" i="4"/>
  <c r="A255" i="4"/>
  <c r="A253" i="4"/>
  <c r="A251" i="4"/>
  <c r="A250" i="4"/>
  <c r="A249" i="4"/>
  <c r="A248" i="4"/>
  <c r="A247" i="4"/>
  <c r="A246" i="4"/>
  <c r="A245" i="4"/>
  <c r="A244" i="4"/>
  <c r="A240" i="4"/>
  <c r="A238" i="4"/>
  <c r="A237" i="4"/>
  <c r="A236" i="4"/>
  <c r="A233" i="4"/>
  <c r="A231" i="4"/>
  <c r="A230" i="4"/>
  <c r="A229" i="4"/>
  <c r="A226" i="4"/>
  <c r="A217" i="4"/>
  <c r="A218" i="4" s="1"/>
  <c r="A219" i="4" s="1"/>
  <c r="A220" i="4" s="1"/>
  <c r="A221" i="4" s="1"/>
  <c r="A222" i="4" s="1"/>
  <c r="A223" i="4" s="1"/>
  <c r="A224" i="4" s="1"/>
  <c r="A216" i="4"/>
  <c r="A215" i="4"/>
  <c r="A212" i="4"/>
  <c r="A208" i="4"/>
  <c r="A204" i="4"/>
  <c r="A205" i="4" s="1"/>
  <c r="A206" i="4" s="1"/>
  <c r="A203" i="4"/>
  <c r="A202" i="4"/>
  <c r="A195" i="4"/>
  <c r="A196" i="4" s="1"/>
  <c r="A197" i="4" s="1"/>
  <c r="A198" i="4" s="1"/>
  <c r="A199" i="4" s="1"/>
  <c r="A194" i="4"/>
  <c r="A193" i="4"/>
  <c r="A192" i="4"/>
  <c r="A189" i="4"/>
  <c r="A188" i="4"/>
  <c r="A186" i="4"/>
  <c r="A185" i="4"/>
  <c r="A175" i="4"/>
  <c r="A176" i="4" s="1"/>
  <c r="A177" i="4" s="1"/>
  <c r="A178" i="4" s="1"/>
  <c r="A179" i="4" s="1"/>
  <c r="A180" i="4" s="1"/>
  <c r="A181" i="4" s="1"/>
  <c r="A182" i="4" s="1"/>
  <c r="A183" i="4" s="1"/>
  <c r="A174" i="4"/>
  <c r="A173" i="4"/>
  <c r="A169" i="4"/>
  <c r="A168" i="4"/>
  <c r="A167" i="4"/>
  <c r="A163" i="4"/>
  <c r="A164" i="4" s="1"/>
  <c r="A162" i="4"/>
  <c r="A161" i="4"/>
  <c r="A158" i="4"/>
  <c r="A154" i="4"/>
  <c r="A155" i="4" s="1"/>
  <c r="A156" i="4" s="1"/>
  <c r="A157" i="4" s="1"/>
  <c r="A153" i="4"/>
  <c r="A152" i="4"/>
  <c r="A142" i="4"/>
  <c r="A143" i="4" s="1"/>
  <c r="A144" i="4" s="1"/>
  <c r="A145" i="4" s="1"/>
  <c r="A146" i="4" s="1"/>
  <c r="A147" i="4" s="1"/>
  <c r="A148" i="4" s="1"/>
  <c r="A149" i="4" s="1"/>
  <c r="A141" i="4"/>
  <c r="A140" i="4"/>
  <c r="A131" i="4"/>
  <c r="A132" i="4" s="1"/>
  <c r="A133" i="4" s="1"/>
  <c r="A134" i="4" s="1"/>
  <c r="A135" i="4" s="1"/>
  <c r="A136" i="4" s="1"/>
  <c r="A137" i="4" s="1"/>
  <c r="A138" i="4" s="1"/>
  <c r="A130" i="4"/>
  <c r="A129" i="4"/>
  <c r="A119" i="4"/>
  <c r="A120" i="4" s="1"/>
  <c r="A121" i="4" s="1"/>
  <c r="A122" i="4" s="1"/>
  <c r="A123" i="4" s="1"/>
  <c r="A124" i="4" s="1"/>
  <c r="A125" i="4" s="1"/>
  <c r="A118" i="4"/>
  <c r="A117" i="4"/>
  <c r="A116" i="4"/>
  <c r="A114" i="4"/>
  <c r="A113" i="4"/>
  <c r="A112" i="4"/>
  <c r="A108" i="4"/>
  <c r="A107" i="4"/>
  <c r="A106" i="4"/>
  <c r="A105" i="4"/>
  <c r="A104" i="4"/>
  <c r="A102" i="4"/>
  <c r="A101" i="4"/>
  <c r="A100" i="4"/>
  <c r="A95" i="4"/>
  <c r="A96" i="4" s="1"/>
  <c r="A97" i="4" s="1"/>
  <c r="A98" i="4" s="1"/>
  <c r="A94" i="4"/>
  <c r="A93" i="4"/>
  <c r="A86" i="4"/>
  <c r="A84" i="4"/>
  <c r="A78" i="4"/>
  <c r="A79" i="4" s="1"/>
  <c r="A80" i="4" s="1"/>
  <c r="A81" i="4" s="1"/>
  <c r="A82" i="4" s="1"/>
  <c r="A77" i="4"/>
  <c r="A76" i="4"/>
  <c r="A71" i="4"/>
  <c r="A72" i="4" s="1"/>
  <c r="A73" i="4" s="1"/>
  <c r="A74" i="4" s="1"/>
  <c r="A70" i="4"/>
  <c r="A69" i="4"/>
  <c r="A64" i="4"/>
  <c r="A59" i="4"/>
  <c r="A60" i="4" s="1"/>
  <c r="A61" i="4" s="1"/>
  <c r="A62" i="4" s="1"/>
  <c r="A58" i="4"/>
  <c r="A57" i="4"/>
  <c r="A53" i="4"/>
  <c r="A51" i="4"/>
  <c r="A50" i="4"/>
  <c r="A47" i="4"/>
  <c r="A46" i="4"/>
  <c r="A33" i="4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32" i="4"/>
  <c r="A31" i="4"/>
  <c r="A21" i="4"/>
  <c r="A22" i="4" s="1"/>
  <c r="A23" i="4" s="1"/>
  <c r="A24" i="4" s="1"/>
  <c r="A25" i="4" s="1"/>
  <c r="A26" i="4" s="1"/>
  <c r="A27" i="4" s="1"/>
  <c r="A28" i="4" s="1"/>
  <c r="A20" i="4"/>
  <c r="A19" i="4"/>
  <c r="A14" i="4"/>
  <c r="A15" i="4"/>
  <c r="A16" i="4"/>
  <c r="A13" i="4"/>
  <c r="A12" i="4"/>
  <c r="A11" i="4"/>
  <c r="L13" i="5"/>
  <c r="D73" i="22"/>
  <c r="A84" i="6"/>
  <c r="A83" i="6"/>
  <c r="A82" i="6"/>
  <c r="A81" i="6"/>
  <c r="A79" i="6"/>
  <c r="A78" i="6"/>
  <c r="A76" i="6"/>
  <c r="A75" i="6"/>
  <c r="A74" i="6"/>
  <c r="A67" i="6"/>
  <c r="A68" i="6" s="1"/>
  <c r="A69" i="6" s="1"/>
  <c r="A70" i="6" s="1"/>
  <c r="A71" i="6" s="1"/>
  <c r="A72" i="6" s="1"/>
  <c r="A66" i="6"/>
  <c r="A65" i="6"/>
  <c r="A62" i="6"/>
  <c r="A61" i="6"/>
  <c r="A60" i="6"/>
  <c r="A57" i="6"/>
  <c r="A56" i="6"/>
  <c r="A55" i="6"/>
  <c r="A54" i="6"/>
  <c r="A48" i="6"/>
  <c r="A49" i="6" s="1"/>
  <c r="A50" i="6" s="1"/>
  <c r="A51" i="6" s="1"/>
  <c r="A47" i="6"/>
  <c r="A46" i="6"/>
  <c r="A39" i="6"/>
  <c r="A40" i="6" s="1"/>
  <c r="A41" i="6" s="1"/>
  <c r="A42" i="6" s="1"/>
  <c r="A43" i="6" s="1"/>
  <c r="A38" i="6"/>
  <c r="A37" i="6"/>
  <c r="A35" i="6"/>
  <c r="A29" i="6"/>
  <c r="A30" i="6" s="1"/>
  <c r="A31" i="6" s="1"/>
  <c r="A32" i="6" s="1"/>
  <c r="A33" i="6" s="1"/>
  <c r="A34" i="6" s="1"/>
  <c r="A28" i="6"/>
  <c r="A27" i="6"/>
  <c r="A24" i="6"/>
  <c r="A23" i="6"/>
  <c r="A21" i="6"/>
  <c r="A20" i="6"/>
  <c r="A19" i="6"/>
  <c r="A16" i="6"/>
  <c r="A15" i="6"/>
  <c r="A12" i="6"/>
  <c r="A11" i="6"/>
  <c r="A9" i="6"/>
  <c r="A8" i="6"/>
  <c r="A247" i="41"/>
  <c r="A248" i="41" s="1"/>
  <c r="A249" i="41" s="1"/>
  <c r="A250" i="41" s="1"/>
  <c r="A251" i="41" s="1"/>
  <c r="A252" i="41" s="1"/>
  <c r="A253" i="41" s="1"/>
  <c r="A254" i="41" s="1"/>
  <c r="A255" i="41" s="1"/>
  <c r="A256" i="41" s="1"/>
  <c r="A257" i="41" s="1"/>
  <c r="A246" i="41"/>
  <c r="A245" i="41"/>
  <c r="A226" i="41"/>
  <c r="C207" i="41"/>
  <c r="H44" i="41"/>
  <c r="I44" i="41" s="1"/>
  <c r="A44" i="41"/>
  <c r="D53" i="40" l="1"/>
  <c r="D51" i="40"/>
  <c r="E43" i="40"/>
  <c r="H47" i="37"/>
  <c r="A22" i="39"/>
  <c r="C29" i="38" l="1"/>
  <c r="E38" i="12"/>
  <c r="I37" i="12"/>
  <c r="I35" i="12"/>
  <c r="I34" i="12"/>
  <c r="I32" i="12"/>
  <c r="J32" i="12" s="1"/>
  <c r="J30" i="12"/>
  <c r="I27" i="12"/>
  <c r="G37" i="28"/>
  <c r="A39" i="28" l="1"/>
  <c r="A38" i="28"/>
  <c r="A37" i="28"/>
  <c r="A32" i="28"/>
  <c r="A40" i="22"/>
  <c r="A41" i="22" s="1"/>
  <c r="A10" i="31"/>
  <c r="B47" i="42" l="1"/>
  <c r="B48" i="42"/>
  <c r="B49" i="42"/>
  <c r="B46" i="42"/>
  <c r="C15" i="43"/>
  <c r="H210" i="41"/>
  <c r="H209" i="41"/>
  <c r="H208" i="41"/>
  <c r="H207" i="41"/>
  <c r="H211" i="41" s="1"/>
  <c r="H81" i="2" l="1"/>
  <c r="N250" i="2" l="1"/>
  <c r="N236" i="2"/>
  <c r="N224" i="2"/>
  <c r="N238" i="2" s="1"/>
  <c r="N215" i="2"/>
  <c r="N208" i="2"/>
  <c r="N217" i="2" s="1"/>
  <c r="N242" i="2" s="1"/>
  <c r="N190" i="2"/>
  <c r="N192" i="2"/>
  <c r="N194" i="2"/>
  <c r="N173" i="2"/>
  <c r="N168" i="2"/>
  <c r="N162" i="2"/>
  <c r="N153" i="2"/>
  <c r="N129" i="2"/>
  <c r="N112" i="2"/>
  <c r="N196" i="2" s="1"/>
  <c r="N241" i="2" s="1"/>
  <c r="N86" i="2"/>
  <c r="N78" i="2"/>
  <c r="N66" i="2"/>
  <c r="N68" i="2" s="1"/>
  <c r="O54" i="2"/>
  <c r="N54" i="2"/>
  <c r="O50" i="2"/>
  <c r="N50" i="2"/>
  <c r="O46" i="2"/>
  <c r="N46" i="2"/>
  <c r="O31" i="2"/>
  <c r="N31" i="2"/>
  <c r="N19" i="2"/>
  <c r="O19" i="2"/>
  <c r="O56" i="2" l="1"/>
  <c r="N243" i="2"/>
  <c r="N245" i="2" s="1"/>
  <c r="N252" i="2" s="1"/>
  <c r="N258" i="2" s="1"/>
  <c r="N265" i="2" s="1"/>
  <c r="N267" i="2" s="1"/>
  <c r="N269" i="2" s="1"/>
  <c r="N56" i="2"/>
  <c r="N88" i="2"/>
  <c r="N90" i="2"/>
  <c r="C9" i="43" l="1"/>
  <c r="B28" i="42" l="1"/>
  <c r="B10" i="42"/>
  <c r="H27" i="1" l="1"/>
  <c r="I27" i="1"/>
  <c r="J27" i="1"/>
  <c r="K27" i="1"/>
  <c r="L27" i="1"/>
  <c r="M27" i="1"/>
  <c r="N27" i="1"/>
  <c r="O27" i="1"/>
  <c r="P27" i="1"/>
  <c r="G27" i="1"/>
  <c r="T204" i="2" l="1"/>
  <c r="T208" i="2" s="1"/>
  <c r="O208" i="2" l="1"/>
  <c r="O78" i="2"/>
  <c r="O250" i="2"/>
  <c r="O236" i="2"/>
  <c r="O224" i="2"/>
  <c r="O215" i="2"/>
  <c r="O190" i="2"/>
  <c r="O192" i="2"/>
  <c r="O194" i="2"/>
  <c r="O173" i="2"/>
  <c r="O168" i="2"/>
  <c r="O162" i="2"/>
  <c r="O153" i="2"/>
  <c r="O129" i="2"/>
  <c r="O112" i="2"/>
  <c r="O86" i="2"/>
  <c r="O66" i="2"/>
  <c r="O68" i="2" s="1"/>
  <c r="O238" i="2" l="1"/>
  <c r="O196" i="2"/>
  <c r="O241" i="2" s="1"/>
  <c r="O217" i="2"/>
  <c r="O242" i="2" s="1"/>
  <c r="O243" i="2" s="1"/>
  <c r="O245" i="2" s="1"/>
  <c r="O252" i="2" s="1"/>
  <c r="O258" i="2" s="1"/>
  <c r="O265" i="2" s="1"/>
  <c r="O267" i="2" s="1"/>
  <c r="O88" i="2"/>
  <c r="O90" i="2" s="1"/>
  <c r="O269" i="2" l="1"/>
  <c r="K10" i="36" l="1"/>
  <c r="G34" i="31" l="1"/>
  <c r="A22" i="40"/>
  <c r="A23" i="40" s="1"/>
  <c r="A23" i="39"/>
  <c r="A23" i="38"/>
  <c r="A24" i="38" s="1"/>
  <c r="O6" i="5"/>
  <c r="O8" i="5"/>
  <c r="O9" i="5"/>
  <c r="O11" i="5"/>
  <c r="O14" i="5"/>
  <c r="K224" i="2" l="1"/>
  <c r="L224" i="2"/>
  <c r="M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G224" i="2"/>
  <c r="AE19" i="2"/>
  <c r="AE31" i="2"/>
  <c r="AE46" i="2"/>
  <c r="AE50" i="2"/>
  <c r="AE54" i="2"/>
  <c r="AE66" i="2"/>
  <c r="AE68" i="2"/>
  <c r="AE78" i="2"/>
  <c r="AE86" i="2"/>
  <c r="AE112" i="2"/>
  <c r="AE129" i="2"/>
  <c r="AE153" i="2"/>
  <c r="AE162" i="2"/>
  <c r="AE168" i="2"/>
  <c r="AE173" i="2"/>
  <c r="AE190" i="2"/>
  <c r="AE192" i="2"/>
  <c r="AE194" i="2"/>
  <c r="AE208" i="2"/>
  <c r="AE215" i="2"/>
  <c r="AE236" i="2"/>
  <c r="AE250" i="2"/>
  <c r="AE217" i="2" l="1"/>
  <c r="AE242" i="2" s="1"/>
  <c r="AE56" i="2"/>
  <c r="AE88" i="2"/>
  <c r="AE196" i="2"/>
  <c r="AE241" i="2" s="1"/>
  <c r="AE243" i="2" s="1"/>
  <c r="A17" i="40"/>
  <c r="A18" i="40" s="1"/>
  <c r="A19" i="40" s="1"/>
  <c r="A20" i="40" s="1"/>
  <c r="A21" i="40" s="1"/>
  <c r="A38" i="43"/>
  <c r="A26" i="43"/>
  <c r="A27" i="43" s="1"/>
  <c r="A28" i="43" s="1"/>
  <c r="A29" i="43" s="1"/>
  <c r="A30" i="43" s="1"/>
  <c r="O22" i="36"/>
  <c r="O18" i="36"/>
  <c r="J29" i="36"/>
  <c r="G58" i="36"/>
  <c r="AE90" i="2" l="1"/>
  <c r="A39" i="43"/>
  <c r="A40" i="43" s="1"/>
  <c r="D44" i="37" l="1"/>
  <c r="N32" i="36" l="1"/>
  <c r="E44" i="37"/>
  <c r="A9" i="43" l="1"/>
  <c r="A10" i="43" s="1"/>
  <c r="A11" i="43" s="1"/>
  <c r="A12" i="43" s="1"/>
  <c r="A13" i="43" s="1"/>
  <c r="C8" i="43"/>
  <c r="C12" i="43" s="1"/>
  <c r="C10" i="43" l="1"/>
  <c r="C11" i="43"/>
  <c r="C13" i="43" l="1"/>
  <c r="E26" i="43" l="1"/>
  <c r="B29" i="42"/>
  <c r="E28" i="43"/>
  <c r="C40" i="43" s="1"/>
  <c r="F18" i="22" s="1"/>
  <c r="C17" i="40" s="1"/>
  <c r="E30" i="43"/>
  <c r="C38" i="43"/>
  <c r="D18" i="22" s="1"/>
  <c r="C18" i="22" s="1"/>
  <c r="E29" i="43"/>
  <c r="E27" i="43"/>
  <c r="C39" i="43" s="1"/>
  <c r="E18" i="22" s="1"/>
  <c r="C18" i="39" s="1"/>
  <c r="G28" i="31"/>
  <c r="E49" i="34"/>
  <c r="C18" i="38" l="1"/>
  <c r="A15" i="39"/>
  <c r="A16" i="39" s="1"/>
  <c r="A17" i="39" s="1"/>
  <c r="A18" i="39" s="1"/>
  <c r="A19" i="39" s="1"/>
  <c r="A20" i="39" s="1"/>
  <c r="A21" i="39" s="1"/>
  <c r="A28" i="39" s="1"/>
  <c r="A29" i="39" s="1"/>
  <c r="A30" i="39" s="1"/>
  <c r="A31" i="39" s="1"/>
  <c r="A33" i="39" s="1"/>
  <c r="A34" i="39" s="1"/>
  <c r="A35" i="39" s="1"/>
  <c r="A36" i="39" s="1"/>
  <c r="A41" i="39" s="1"/>
  <c r="A42" i="39" s="1"/>
  <c r="A43" i="39" s="1"/>
  <c r="A44" i="39" s="1"/>
  <c r="A46" i="39" s="1"/>
  <c r="A48" i="39" s="1"/>
  <c r="A50" i="39" s="1"/>
  <c r="A8" i="38"/>
  <c r="A9" i="38" s="1"/>
  <c r="A10" i="38" s="1"/>
  <c r="A11" i="38" s="1"/>
  <c r="A12" i="38" s="1"/>
  <c r="A13" i="38" s="1"/>
  <c r="A14" i="38" s="1"/>
  <c r="A15" i="38" s="1"/>
  <c r="A16" i="38" s="1"/>
  <c r="A17" i="38" s="1"/>
  <c r="F74" i="22"/>
  <c r="A8" i="22"/>
  <c r="A9" i="22" s="1"/>
  <c r="A10" i="22" s="1"/>
  <c r="A11" i="22" s="1"/>
  <c r="A12" i="22" s="1"/>
  <c r="A13" i="22" s="1"/>
  <c r="A18" i="38" l="1"/>
  <c r="A19" i="38" s="1"/>
  <c r="A20" i="38" s="1"/>
  <c r="A21" i="38" s="1"/>
  <c r="A22" i="38" s="1"/>
  <c r="A29" i="38" s="1"/>
  <c r="A30" i="38" s="1"/>
  <c r="A31" i="38" s="1"/>
  <c r="A32" i="38" s="1"/>
  <c r="A33" i="38" s="1"/>
  <c r="A14" i="22"/>
  <c r="A15" i="22" s="1"/>
  <c r="A16" i="22" s="1"/>
  <c r="A17" i="22" s="1"/>
  <c r="A18" i="22" l="1"/>
  <c r="A19" i="22" s="1"/>
  <c r="P61" i="6"/>
  <c r="O61" i="6"/>
  <c r="P60" i="6"/>
  <c r="O60" i="6"/>
  <c r="P54" i="6"/>
  <c r="O54" i="6"/>
  <c r="P56" i="6"/>
  <c r="O56" i="6"/>
  <c r="P55" i="6"/>
  <c r="O55" i="6"/>
  <c r="O47" i="6"/>
  <c r="P47" i="6"/>
  <c r="O48" i="6"/>
  <c r="P48" i="6"/>
  <c r="O49" i="6"/>
  <c r="P49" i="6"/>
  <c r="P50" i="6"/>
  <c r="O38" i="6"/>
  <c r="P38" i="6"/>
  <c r="O39" i="6"/>
  <c r="P39" i="6"/>
  <c r="O40" i="6"/>
  <c r="P40" i="6"/>
  <c r="O41" i="6"/>
  <c r="P41" i="6"/>
  <c r="O30" i="6"/>
  <c r="P30" i="6"/>
  <c r="O31" i="6"/>
  <c r="P31" i="6"/>
  <c r="P23" i="6"/>
  <c r="O23" i="6"/>
  <c r="O24" i="6" s="1"/>
  <c r="P20" i="6"/>
  <c r="O20" i="6"/>
  <c r="P19" i="6"/>
  <c r="O19" i="6"/>
  <c r="P15" i="6"/>
  <c r="O15" i="6"/>
  <c r="O16" i="6" s="1"/>
  <c r="P11" i="6"/>
  <c r="O11" i="6"/>
  <c r="O12" i="6" s="1"/>
  <c r="O8" i="6"/>
  <c r="P8" i="6"/>
  <c r="P7" i="6"/>
  <c r="O7" i="6"/>
  <c r="A20" i="22" l="1"/>
  <c r="A22" i="22" s="1"/>
  <c r="A23" i="22" s="1"/>
  <c r="A24" i="22" s="1"/>
  <c r="A25" i="22" s="1"/>
  <c r="O62" i="6"/>
  <c r="O57" i="6"/>
  <c r="P57" i="6"/>
  <c r="O21" i="6"/>
  <c r="O9" i="6"/>
  <c r="A26" i="22" l="1"/>
  <c r="A27" i="22" s="1"/>
  <c r="A31" i="22" s="1"/>
  <c r="A32" i="22" s="1"/>
  <c r="A33" i="22" s="1"/>
  <c r="A34" i="22" s="1"/>
  <c r="A35" i="22" s="1"/>
  <c r="A36" i="22" s="1"/>
  <c r="A37" i="22" s="1"/>
  <c r="A38" i="22" s="1"/>
  <c r="A39" i="22" s="1"/>
  <c r="A42" i="22" s="1"/>
  <c r="A46" i="22" s="1"/>
  <c r="A38" i="34"/>
  <c r="A37" i="34"/>
  <c r="A36" i="34"/>
  <c r="A34" i="34"/>
  <c r="A33" i="34"/>
  <c r="A32" i="34"/>
  <c r="A31" i="34"/>
  <c r="A20" i="34"/>
  <c r="B41" i="42" l="1"/>
  <c r="A28" i="40"/>
  <c r="A29" i="40" s="1"/>
  <c r="A30" i="40" s="1"/>
  <c r="A31" i="40" s="1"/>
  <c r="A32" i="40" s="1"/>
  <c r="A34" i="40" s="1"/>
  <c r="A35" i="40" s="1"/>
  <c r="A36" i="40" s="1"/>
  <c r="A41" i="40" s="1"/>
  <c r="A42" i="40" s="1"/>
  <c r="A43" i="40" s="1"/>
  <c r="A45" i="40" s="1"/>
  <c r="A46" i="40" s="1"/>
  <c r="A47" i="40" s="1"/>
  <c r="A48" i="40" s="1"/>
  <c r="A49" i="40" s="1"/>
  <c r="A51" i="40" s="1"/>
  <c r="A52" i="40" s="1"/>
  <c r="A53" i="40" s="1"/>
  <c r="A54" i="40" s="1"/>
  <c r="A56" i="40" s="1"/>
  <c r="A58" i="40" s="1"/>
  <c r="A61" i="40" s="1"/>
  <c r="A62" i="40" s="1"/>
  <c r="A63" i="40" s="1"/>
  <c r="A64" i="40" s="1"/>
  <c r="A66" i="40" s="1"/>
  <c r="D61" i="40"/>
  <c r="E61" i="40" s="1"/>
  <c r="B21" i="42"/>
  <c r="B16" i="42"/>
  <c r="A35" i="38"/>
  <c r="A36" i="38" s="1"/>
  <c r="D56" i="38"/>
  <c r="E56" i="38" s="1"/>
  <c r="A37" i="38" l="1"/>
  <c r="A38" i="38" s="1"/>
  <c r="A43" i="38" s="1"/>
  <c r="A44" i="38" s="1"/>
  <c r="F59" i="37"/>
  <c r="E59" i="37"/>
  <c r="G58" i="37"/>
  <c r="D63" i="40" s="1"/>
  <c r="G57" i="37"/>
  <c r="D62" i="40" s="1"/>
  <c r="D64" i="40" s="1"/>
  <c r="G56" i="37"/>
  <c r="D58" i="38" s="1"/>
  <c r="A45" i="38" l="1"/>
  <c r="A46" i="38" s="1"/>
  <c r="A48" i="38" s="1"/>
  <c r="A51" i="38" s="1"/>
  <c r="A52" i="38" s="1"/>
  <c r="A53" i="38" s="1"/>
  <c r="A56" i="38" s="1"/>
  <c r="A57" i="38" s="1"/>
  <c r="A58" i="38" s="1"/>
  <c r="A59" i="38" s="1"/>
  <c r="A62" i="38" s="1"/>
  <c r="A63" i="38" s="1"/>
  <c r="A64" i="38" s="1"/>
  <c r="A66" i="38" s="1"/>
  <c r="H20" i="31" l="1"/>
  <c r="C254" i="41" l="1"/>
  <c r="B82" i="37" s="1"/>
  <c r="D254" i="41"/>
  <c r="C82" i="37" s="1"/>
  <c r="E254" i="41"/>
  <c r="D82" i="37" s="1"/>
  <c r="F254" i="41"/>
  <c r="E82" i="37" s="1"/>
  <c r="C255" i="41"/>
  <c r="B83" i="37" s="1"/>
  <c r="D255" i="41"/>
  <c r="C83" i="37" s="1"/>
  <c r="E255" i="41"/>
  <c r="D83" i="37" s="1"/>
  <c r="F255" i="41"/>
  <c r="E83" i="37" s="1"/>
  <c r="F45" i="37"/>
  <c r="F44" i="37"/>
  <c r="E45" i="37"/>
  <c r="D45" i="37"/>
  <c r="H9" i="31" l="1"/>
  <c r="G30" i="37"/>
  <c r="I11" i="37"/>
  <c r="I14" i="37"/>
  <c r="I15" i="37"/>
  <c r="I18" i="37"/>
  <c r="I20" i="37"/>
  <c r="I22" i="37"/>
  <c r="I10" i="37"/>
  <c r="H20" i="37"/>
  <c r="C10" i="37"/>
  <c r="C46" i="37" l="1"/>
  <c r="N46" i="36" l="1"/>
  <c r="R46" i="36" s="1"/>
  <c r="N47" i="36"/>
  <c r="R47" i="36" s="1"/>
  <c r="N48" i="36"/>
  <c r="R48" i="36" s="1"/>
  <c r="N49" i="36"/>
  <c r="R49" i="36" s="1"/>
  <c r="N50" i="36"/>
  <c r="R50" i="36" s="1"/>
  <c r="N36" i="36"/>
  <c r="R36" i="36" s="1"/>
  <c r="N37" i="36"/>
  <c r="R37" i="36" s="1"/>
  <c r="N38" i="36"/>
  <c r="R38" i="36" s="1"/>
  <c r="K26" i="36" l="1"/>
  <c r="K16" i="36"/>
  <c r="M31" i="2" l="1"/>
  <c r="N26" i="36"/>
  <c r="N30" i="36"/>
  <c r="N31" i="36"/>
  <c r="N39" i="36"/>
  <c r="R39" i="36" s="1"/>
  <c r="N40" i="36"/>
  <c r="R40" i="36" s="1"/>
  <c r="N41" i="36"/>
  <c r="R41" i="36" s="1"/>
  <c r="N42" i="36"/>
  <c r="R42" i="36" s="1"/>
  <c r="N43" i="36"/>
  <c r="R43" i="36" s="1"/>
  <c r="N44" i="36"/>
  <c r="R44" i="36" s="1"/>
  <c r="P30" i="36"/>
  <c r="H271" i="2"/>
  <c r="L12" i="36" l="1"/>
  <c r="L11" i="36"/>
  <c r="L18" i="36"/>
  <c r="L62" i="36" s="1"/>
  <c r="L19" i="36"/>
  <c r="L20" i="36"/>
  <c r="L21" i="36"/>
  <c r="L22" i="36"/>
  <c r="L17" i="36"/>
  <c r="L63" i="36" s="1"/>
  <c r="L61" i="36" l="1"/>
  <c r="H262" i="2"/>
  <c r="G232" i="2" l="1"/>
  <c r="N10" i="36" l="1"/>
  <c r="R10" i="36" l="1"/>
  <c r="I262" i="2"/>
  <c r="H248" i="4" s="1"/>
  <c r="G260" i="2" l="1"/>
  <c r="G249" i="2" l="1"/>
  <c r="D34" i="41" l="1"/>
  <c r="D33" i="41"/>
  <c r="D32" i="41"/>
  <c r="D31" i="41"/>
  <c r="D30" i="41"/>
  <c r="D29" i="41"/>
  <c r="D28" i="41"/>
  <c r="D27" i="41"/>
  <c r="D26" i="41"/>
  <c r="D25" i="41"/>
  <c r="D24" i="41"/>
  <c r="D23" i="41"/>
  <c r="D20" i="41"/>
  <c r="D21" i="41"/>
  <c r="D22" i="41"/>
  <c r="D18" i="41"/>
  <c r="D19" i="41"/>
  <c r="D17" i="41"/>
  <c r="D16" i="41"/>
  <c r="D15" i="41"/>
  <c r="D14" i="41"/>
  <c r="D11" i="41"/>
  <c r="D12" i="41"/>
  <c r="D13" i="41"/>
  <c r="D10" i="41"/>
  <c r="H228" i="2"/>
  <c r="G120" i="2" l="1"/>
  <c r="L19" i="2"/>
  <c r="M19" i="2"/>
  <c r="K19" i="2"/>
  <c r="L31" i="2"/>
  <c r="K31" i="2"/>
  <c r="L46" i="2"/>
  <c r="M46" i="2"/>
  <c r="K46" i="2"/>
  <c r="L50" i="2"/>
  <c r="M50" i="2"/>
  <c r="K50" i="2"/>
  <c r="L54" i="2"/>
  <c r="M54" i="2"/>
  <c r="K54" i="2"/>
  <c r="L66" i="2"/>
  <c r="L68" i="2" s="1"/>
  <c r="M66" i="2"/>
  <c r="M68" i="2" s="1"/>
  <c r="K66" i="2"/>
  <c r="K68" i="2" s="1"/>
  <c r="L78" i="2"/>
  <c r="M78" i="2"/>
  <c r="K78" i="2"/>
  <c r="L86" i="2"/>
  <c r="M86" i="2"/>
  <c r="K86" i="2"/>
  <c r="L112" i="2"/>
  <c r="M112" i="2"/>
  <c r="K112" i="2"/>
  <c r="L129" i="2"/>
  <c r="M129" i="2"/>
  <c r="K129" i="2"/>
  <c r="L153" i="2"/>
  <c r="M153" i="2"/>
  <c r="K153" i="2"/>
  <c r="L162" i="2"/>
  <c r="M162" i="2"/>
  <c r="K162" i="2"/>
  <c r="L168" i="2"/>
  <c r="M168" i="2"/>
  <c r="K168" i="2"/>
  <c r="L173" i="2"/>
  <c r="M173" i="2"/>
  <c r="K173" i="2"/>
  <c r="L190" i="2"/>
  <c r="M190" i="2"/>
  <c r="K190" i="2"/>
  <c r="L192" i="2"/>
  <c r="M192" i="2"/>
  <c r="K192" i="2"/>
  <c r="L194" i="2"/>
  <c r="M194" i="2"/>
  <c r="K194" i="2"/>
  <c r="L208" i="2"/>
  <c r="M208" i="2"/>
  <c r="K208" i="2"/>
  <c r="L215" i="2"/>
  <c r="M215" i="2"/>
  <c r="K215" i="2"/>
  <c r="L236" i="2"/>
  <c r="M236" i="2"/>
  <c r="K236" i="2"/>
  <c r="L250" i="2"/>
  <c r="M250" i="2"/>
  <c r="K250" i="2"/>
  <c r="G263" i="2"/>
  <c r="M238" i="2" l="1"/>
  <c r="M217" i="2"/>
  <c r="M242" i="2" s="1"/>
  <c r="K196" i="2"/>
  <c r="K241" i="2" s="1"/>
  <c r="L196" i="2"/>
  <c r="L241" i="2" s="1"/>
  <c r="L238" i="2"/>
  <c r="K238" i="2"/>
  <c r="L88" i="2"/>
  <c r="L217" i="2"/>
  <c r="L242" i="2" s="1"/>
  <c r="K217" i="2"/>
  <c r="K242" i="2" s="1"/>
  <c r="L56" i="2"/>
  <c r="M196" i="2"/>
  <c r="M241" i="2" s="1"/>
  <c r="M243" i="2" s="1"/>
  <c r="K88" i="2"/>
  <c r="M88" i="2"/>
  <c r="K56" i="2"/>
  <c r="M245" i="2" l="1"/>
  <c r="M252" i="2" s="1"/>
  <c r="M258" i="2" s="1"/>
  <c r="M265" i="2" s="1"/>
  <c r="M267" i="2" s="1"/>
  <c r="M269" i="2" s="1"/>
  <c r="K243" i="2"/>
  <c r="K245" i="2" s="1"/>
  <c r="K252" i="2" s="1"/>
  <c r="K258" i="2" s="1"/>
  <c r="K265" i="2" s="1"/>
  <c r="K267" i="2" s="1"/>
  <c r="K269" i="2" s="1"/>
  <c r="L90" i="2"/>
  <c r="K90" i="2"/>
  <c r="L243" i="2"/>
  <c r="L245" i="2" s="1"/>
  <c r="L252" i="2" s="1"/>
  <c r="L258" i="2" s="1"/>
  <c r="L265" i="2" s="1"/>
  <c r="L267" i="2" s="1"/>
  <c r="L269" i="2" s="1"/>
  <c r="G86" i="2"/>
  <c r="H232" i="2" l="1"/>
  <c r="I232" i="2" s="1"/>
  <c r="C44" i="37" l="1"/>
  <c r="F191" i="41" l="1"/>
  <c r="F192" i="41"/>
  <c r="F45" i="41"/>
  <c r="F46" i="41"/>
  <c r="F47" i="41"/>
  <c r="F48" i="41"/>
  <c r="F49" i="41"/>
  <c r="F50" i="41"/>
  <c r="F51" i="41"/>
  <c r="F52" i="41"/>
  <c r="F53" i="41"/>
  <c r="F54" i="41"/>
  <c r="F55" i="41"/>
  <c r="F56" i="41"/>
  <c r="F57" i="41"/>
  <c r="F58" i="41"/>
  <c r="F59" i="41"/>
  <c r="F60" i="41"/>
  <c r="F61" i="41"/>
  <c r="F62" i="41"/>
  <c r="F63" i="41"/>
  <c r="F64" i="41"/>
  <c r="F65" i="41"/>
  <c r="F66" i="41"/>
  <c r="F67" i="41"/>
  <c r="F68" i="41"/>
  <c r="F69" i="41"/>
  <c r="F70" i="41"/>
  <c r="F71" i="41"/>
  <c r="F72" i="41"/>
  <c r="F73" i="41"/>
  <c r="F74" i="41"/>
  <c r="F75" i="41"/>
  <c r="F76" i="41"/>
  <c r="F77" i="41"/>
  <c r="F78" i="41"/>
  <c r="F79" i="41"/>
  <c r="F80" i="41"/>
  <c r="F81" i="41"/>
  <c r="F82" i="41"/>
  <c r="F83" i="41"/>
  <c r="F84" i="41"/>
  <c r="F85" i="41"/>
  <c r="F86" i="41"/>
  <c r="F87" i="41"/>
  <c r="F88" i="41"/>
  <c r="F89" i="41"/>
  <c r="F90" i="41"/>
  <c r="F91" i="41"/>
  <c r="F92" i="41"/>
  <c r="F93" i="41"/>
  <c r="F94" i="41"/>
  <c r="F95" i="41"/>
  <c r="F96" i="41"/>
  <c r="F97" i="41"/>
  <c r="F98" i="41"/>
  <c r="F99" i="41"/>
  <c r="F100" i="41"/>
  <c r="F101" i="41"/>
  <c r="F102" i="41"/>
  <c r="F103" i="41"/>
  <c r="F104" i="41"/>
  <c r="F105" i="41"/>
  <c r="F106" i="41"/>
  <c r="F107" i="41"/>
  <c r="F108" i="41"/>
  <c r="F109" i="41"/>
  <c r="F110" i="41"/>
  <c r="F111" i="41"/>
  <c r="F112" i="41"/>
  <c r="F113" i="41"/>
  <c r="F114" i="41"/>
  <c r="F115" i="41"/>
  <c r="F116" i="41"/>
  <c r="F117" i="41"/>
  <c r="F118" i="41"/>
  <c r="F119" i="41"/>
  <c r="F120" i="41"/>
  <c r="F121" i="41"/>
  <c r="F122" i="41"/>
  <c r="F123" i="41"/>
  <c r="F124" i="41"/>
  <c r="F125" i="41"/>
  <c r="F126" i="41"/>
  <c r="F127" i="41"/>
  <c r="F128" i="41"/>
  <c r="F129" i="41"/>
  <c r="F130" i="41"/>
  <c r="F131" i="41"/>
  <c r="F132" i="41"/>
  <c r="F133" i="41"/>
  <c r="F134" i="41"/>
  <c r="F135" i="41"/>
  <c r="F136" i="41"/>
  <c r="F137" i="41"/>
  <c r="F138" i="41"/>
  <c r="F139" i="41"/>
  <c r="F140" i="41"/>
  <c r="F141" i="41"/>
  <c r="F142" i="41"/>
  <c r="F143" i="41"/>
  <c r="F144" i="41"/>
  <c r="F145" i="41"/>
  <c r="F146" i="41"/>
  <c r="F147" i="41"/>
  <c r="F148" i="41"/>
  <c r="F149" i="41"/>
  <c r="F150" i="41"/>
  <c r="F151" i="41"/>
  <c r="F152" i="41"/>
  <c r="F153" i="41"/>
  <c r="F154" i="41"/>
  <c r="F155" i="41"/>
  <c r="F156" i="41"/>
  <c r="F157" i="41"/>
  <c r="F158" i="41"/>
  <c r="F159" i="41"/>
  <c r="F160" i="41"/>
  <c r="F161" i="41"/>
  <c r="F162" i="41"/>
  <c r="F163" i="41"/>
  <c r="F164" i="41"/>
  <c r="F165" i="41"/>
  <c r="F166" i="41"/>
  <c r="F167" i="41"/>
  <c r="F168" i="41"/>
  <c r="F169" i="41"/>
  <c r="F170" i="41"/>
  <c r="F171" i="41"/>
  <c r="F172" i="41"/>
  <c r="F173" i="41"/>
  <c r="F174" i="41"/>
  <c r="F175" i="41"/>
  <c r="F176" i="41"/>
  <c r="F177" i="41"/>
  <c r="F178" i="41"/>
  <c r="F179" i="41"/>
  <c r="F180" i="41"/>
  <c r="F181" i="41"/>
  <c r="F182" i="41"/>
  <c r="F183" i="41"/>
  <c r="F184" i="41"/>
  <c r="F185" i="41"/>
  <c r="F186" i="41"/>
  <c r="F187" i="41"/>
  <c r="F188" i="41"/>
  <c r="F189" i="41"/>
  <c r="F190" i="41"/>
  <c r="F44" i="41"/>
  <c r="E191" i="41"/>
  <c r="E192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E103" i="41"/>
  <c r="E104" i="41"/>
  <c r="E105" i="41"/>
  <c r="E106" i="41"/>
  <c r="E107" i="41"/>
  <c r="E108" i="41"/>
  <c r="E109" i="41"/>
  <c r="E110" i="41"/>
  <c r="E111" i="41"/>
  <c r="E112" i="41"/>
  <c r="E113" i="41"/>
  <c r="E114" i="41"/>
  <c r="E115" i="41"/>
  <c r="E116" i="41"/>
  <c r="E117" i="41"/>
  <c r="E118" i="41"/>
  <c r="E119" i="41"/>
  <c r="E120" i="41"/>
  <c r="E121" i="41"/>
  <c r="E122" i="41"/>
  <c r="E123" i="41"/>
  <c r="E124" i="41"/>
  <c r="E125" i="41"/>
  <c r="E126" i="41"/>
  <c r="E127" i="41"/>
  <c r="E128" i="41"/>
  <c r="E129" i="41"/>
  <c r="E130" i="41"/>
  <c r="E131" i="41"/>
  <c r="E132" i="41"/>
  <c r="E133" i="41"/>
  <c r="E134" i="41"/>
  <c r="E135" i="41"/>
  <c r="E136" i="41"/>
  <c r="E137" i="41"/>
  <c r="E138" i="41"/>
  <c r="E139" i="41"/>
  <c r="E140" i="41"/>
  <c r="E141" i="41"/>
  <c r="E142" i="41"/>
  <c r="E143" i="41"/>
  <c r="E144" i="41"/>
  <c r="E145" i="41"/>
  <c r="E146" i="41"/>
  <c r="E147" i="41"/>
  <c r="E148" i="41"/>
  <c r="E149" i="41"/>
  <c r="E150" i="41"/>
  <c r="E151" i="41"/>
  <c r="E152" i="41"/>
  <c r="E153" i="41"/>
  <c r="E154" i="41"/>
  <c r="E155" i="41"/>
  <c r="E156" i="41"/>
  <c r="E157" i="41"/>
  <c r="E158" i="41"/>
  <c r="E159" i="41"/>
  <c r="E160" i="41"/>
  <c r="E161" i="41"/>
  <c r="E162" i="41"/>
  <c r="E163" i="41"/>
  <c r="E164" i="41"/>
  <c r="E165" i="41"/>
  <c r="E166" i="41"/>
  <c r="E167" i="41"/>
  <c r="E168" i="41"/>
  <c r="E169" i="41"/>
  <c r="E170" i="41"/>
  <c r="E171" i="41"/>
  <c r="E172" i="41"/>
  <c r="E173" i="41"/>
  <c r="E174" i="41"/>
  <c r="E175" i="41"/>
  <c r="E176" i="41"/>
  <c r="E177" i="41"/>
  <c r="E178" i="41"/>
  <c r="E179" i="41"/>
  <c r="E180" i="41"/>
  <c r="E181" i="41"/>
  <c r="E182" i="41"/>
  <c r="E183" i="41"/>
  <c r="E184" i="41"/>
  <c r="E185" i="41"/>
  <c r="E186" i="41"/>
  <c r="E187" i="41"/>
  <c r="E188" i="41"/>
  <c r="E189" i="41"/>
  <c r="E190" i="41"/>
  <c r="E44" i="41"/>
  <c r="F219" i="41" l="1"/>
  <c r="E219" i="41"/>
  <c r="G220" i="41"/>
  <c r="F220" i="41"/>
  <c r="C219" i="41"/>
  <c r="E220" i="41"/>
  <c r="G218" i="41"/>
  <c r="F218" i="41"/>
  <c r="F221" i="41" s="1"/>
  <c r="E218" i="41"/>
  <c r="E221" i="41" s="1"/>
  <c r="D219" i="41"/>
  <c r="D220" i="41"/>
  <c r="C220" i="41"/>
  <c r="G219" i="41"/>
  <c r="D218" i="41"/>
  <c r="C218" i="41"/>
  <c r="C226" i="41"/>
  <c r="F245" i="41"/>
  <c r="E73" i="37" s="1"/>
  <c r="E245" i="41"/>
  <c r="D73" i="37" s="1"/>
  <c r="D245" i="41"/>
  <c r="C73" i="37" s="1"/>
  <c r="C245" i="41"/>
  <c r="B73" i="37" s="1"/>
  <c r="D257" i="41"/>
  <c r="C85" i="37" s="1"/>
  <c r="E257" i="41"/>
  <c r="D85" i="37" s="1"/>
  <c r="F257" i="41"/>
  <c r="E85" i="37" s="1"/>
  <c r="C257" i="41"/>
  <c r="B85" i="37" s="1"/>
  <c r="C253" i="41"/>
  <c r="B81" i="37" s="1"/>
  <c r="D253" i="41"/>
  <c r="C81" i="37" s="1"/>
  <c r="E253" i="41"/>
  <c r="D81" i="37" s="1"/>
  <c r="F253" i="41"/>
  <c r="E81" i="37" s="1"/>
  <c r="E249" i="41"/>
  <c r="D77" i="37" s="1"/>
  <c r="F249" i="41"/>
  <c r="E77" i="37" s="1"/>
  <c r="D249" i="41"/>
  <c r="C77" i="37" s="1"/>
  <c r="C249" i="41"/>
  <c r="B77" i="37" s="1"/>
  <c r="C251" i="41"/>
  <c r="B79" i="37" s="1"/>
  <c r="D251" i="41"/>
  <c r="C79" i="37" s="1"/>
  <c r="E251" i="41"/>
  <c r="D79" i="37" s="1"/>
  <c r="F251" i="41"/>
  <c r="E79" i="37" s="1"/>
  <c r="C252" i="41"/>
  <c r="B80" i="37" s="1"/>
  <c r="D252" i="41"/>
  <c r="C80" i="37" s="1"/>
  <c r="E252" i="41"/>
  <c r="D80" i="37" s="1"/>
  <c r="F252" i="41"/>
  <c r="E80" i="37" s="1"/>
  <c r="E256" i="41"/>
  <c r="D84" i="37" s="1"/>
  <c r="D256" i="41"/>
  <c r="C84" i="37" s="1"/>
  <c r="C256" i="41"/>
  <c r="B84" i="37" s="1"/>
  <c r="F256" i="41"/>
  <c r="E84" i="37" s="1"/>
  <c r="C248" i="41"/>
  <c r="B76" i="37" s="1"/>
  <c r="E248" i="41"/>
  <c r="D76" i="37" s="1"/>
  <c r="F248" i="41"/>
  <c r="E76" i="37" s="1"/>
  <c r="D248" i="41"/>
  <c r="C76" i="37" s="1"/>
  <c r="D247" i="41"/>
  <c r="C75" i="37" s="1"/>
  <c r="E247" i="41"/>
  <c r="D75" i="37" s="1"/>
  <c r="F247" i="41"/>
  <c r="E75" i="37" s="1"/>
  <c r="C247" i="41"/>
  <c r="B75" i="37" s="1"/>
  <c r="D250" i="41"/>
  <c r="C78" i="37" s="1"/>
  <c r="E250" i="41"/>
  <c r="D78" i="37" s="1"/>
  <c r="F250" i="41"/>
  <c r="E78" i="37" s="1"/>
  <c r="C250" i="41"/>
  <c r="B78" i="37" s="1"/>
  <c r="C246" i="41"/>
  <c r="B74" i="37" s="1"/>
  <c r="D246" i="41"/>
  <c r="C74" i="37" s="1"/>
  <c r="E246" i="41"/>
  <c r="D74" i="37" s="1"/>
  <c r="F246" i="41"/>
  <c r="E74" i="37" s="1"/>
  <c r="C227" i="41"/>
  <c r="C228" i="41"/>
  <c r="C209" i="41"/>
  <c r="C208" i="41"/>
  <c r="C210" i="41"/>
  <c r="D234" i="41"/>
  <c r="E62" i="22" s="1"/>
  <c r="C221" i="41" l="1"/>
  <c r="D221" i="41"/>
  <c r="G221" i="41"/>
  <c r="C211" i="41"/>
  <c r="C229" i="41"/>
  <c r="D38" i="37"/>
  <c r="C45" i="37"/>
  <c r="G35" i="37"/>
  <c r="G34" i="37"/>
  <c r="C38" i="37"/>
  <c r="G37" i="37" l="1"/>
  <c r="F38" i="37"/>
  <c r="E38" i="37"/>
  <c r="G29" i="37"/>
  <c r="G36" i="37" l="1"/>
  <c r="E10" i="37" l="1"/>
  <c r="F10" i="37"/>
  <c r="C11" i="37"/>
  <c r="C55" i="37" s="1"/>
  <c r="C59" i="37" s="1"/>
  <c r="L15" i="12" l="1"/>
  <c r="G231" i="2" l="1"/>
  <c r="G173" i="2" l="1"/>
  <c r="G162" i="2"/>
  <c r="G108" i="2"/>
  <c r="G46" i="2" l="1"/>
  <c r="P32" i="36" l="1"/>
  <c r="P31" i="36"/>
  <c r="P28" i="36"/>
  <c r="P29" i="36"/>
  <c r="P27" i="36"/>
  <c r="K27" i="36" s="1"/>
  <c r="K28" i="36" l="1"/>
  <c r="K29" i="36"/>
  <c r="G54" i="2"/>
  <c r="P18" i="36" l="1"/>
  <c r="P19" i="36"/>
  <c r="P20" i="36"/>
  <c r="P21" i="36"/>
  <c r="P22" i="36"/>
  <c r="P17" i="36"/>
  <c r="K17" i="36" s="1"/>
  <c r="P12" i="36"/>
  <c r="P11" i="36"/>
  <c r="K11" i="36" s="1"/>
  <c r="O52" i="36"/>
  <c r="O28" i="36"/>
  <c r="O29" i="36"/>
  <c r="O27" i="36"/>
  <c r="O19" i="36"/>
  <c r="O20" i="36"/>
  <c r="O21" i="36"/>
  <c r="O17" i="36"/>
  <c r="O12" i="36"/>
  <c r="O11" i="36"/>
  <c r="J28" i="36"/>
  <c r="J27" i="36"/>
  <c r="J34" i="36"/>
  <c r="N34" i="36" s="1"/>
  <c r="J18" i="36"/>
  <c r="J19" i="36"/>
  <c r="J20" i="36"/>
  <c r="J21" i="36"/>
  <c r="J22" i="36"/>
  <c r="J17" i="36"/>
  <c r="J24" i="36"/>
  <c r="N24" i="36" s="1"/>
  <c r="J12" i="36"/>
  <c r="J11" i="36"/>
  <c r="J14" i="36"/>
  <c r="N14" i="36" s="1"/>
  <c r="I53" i="36"/>
  <c r="I52" i="36"/>
  <c r="I27" i="36"/>
  <c r="I45" i="36"/>
  <c r="N45" i="36" s="1"/>
  <c r="R45" i="36" s="1"/>
  <c r="I35" i="36"/>
  <c r="N35" i="36" s="1"/>
  <c r="I28" i="36"/>
  <c r="I29" i="36"/>
  <c r="I18" i="36"/>
  <c r="I19" i="36"/>
  <c r="I20" i="36"/>
  <c r="I21" i="36"/>
  <c r="I22" i="36"/>
  <c r="I17" i="36"/>
  <c r="I25" i="36"/>
  <c r="N25" i="36" s="1"/>
  <c r="I12" i="36"/>
  <c r="I11" i="36"/>
  <c r="I15" i="36"/>
  <c r="N15" i="36" s="1"/>
  <c r="H51" i="36"/>
  <c r="N51" i="36" s="1"/>
  <c r="R51" i="36" s="1"/>
  <c r="P58" i="36" l="1"/>
  <c r="K12" i="36"/>
  <c r="K22" i="36"/>
  <c r="K21" i="36"/>
  <c r="K20" i="36"/>
  <c r="K19" i="36"/>
  <c r="K18" i="36"/>
  <c r="Q52" i="36"/>
  <c r="Q56" i="36"/>
  <c r="Q55" i="36"/>
  <c r="Q53" i="36"/>
  <c r="Q54" i="36"/>
  <c r="Q28" i="36"/>
  <c r="Q29" i="36"/>
  <c r="Q27" i="36"/>
  <c r="Q22" i="36"/>
  <c r="Q18" i="36"/>
  <c r="Q19" i="36"/>
  <c r="Q20" i="36"/>
  <c r="Q21" i="36"/>
  <c r="Q17" i="36"/>
  <c r="Q12" i="36"/>
  <c r="Q11" i="36"/>
  <c r="H33" i="36"/>
  <c r="N33" i="36" s="1"/>
  <c r="H23" i="36"/>
  <c r="H13" i="36"/>
  <c r="H12" i="36" l="1"/>
  <c r="N12" i="36" s="1"/>
  <c r="H53" i="36"/>
  <c r="N53" i="36" s="1"/>
  <c r="H27" i="36"/>
  <c r="N27" i="36" s="1"/>
  <c r="K58" i="36"/>
  <c r="H28" i="36"/>
  <c r="N28" i="36" s="1"/>
  <c r="Q58" i="36"/>
  <c r="H11" i="36"/>
  <c r="N11" i="36" s="1"/>
  <c r="H54" i="36"/>
  <c r="N54" i="36" s="1"/>
  <c r="H17" i="36"/>
  <c r="N17" i="36" s="1"/>
  <c r="N13" i="36"/>
  <c r="R13" i="36" s="1"/>
  <c r="R12" i="36"/>
  <c r="H29" i="36"/>
  <c r="N29" i="36" s="1"/>
  <c r="H21" i="36"/>
  <c r="N21" i="36" s="1"/>
  <c r="H20" i="36"/>
  <c r="N20" i="36" s="1"/>
  <c r="H19" i="36"/>
  <c r="N19" i="36" s="1"/>
  <c r="H55" i="36"/>
  <c r="N55" i="36" s="1"/>
  <c r="H18" i="36"/>
  <c r="N18" i="36" s="1"/>
  <c r="H56" i="36"/>
  <c r="H22" i="36"/>
  <c r="N22" i="36" s="1"/>
  <c r="R22" i="36" s="1"/>
  <c r="H52" i="36"/>
  <c r="N52" i="36" s="1"/>
  <c r="I44" i="34"/>
  <c r="I43" i="34"/>
  <c r="I42" i="34"/>
  <c r="I41" i="34"/>
  <c r="H44" i="34"/>
  <c r="H43" i="34"/>
  <c r="H42" i="34"/>
  <c r="H41" i="34"/>
  <c r="I39" i="34"/>
  <c r="I38" i="34"/>
  <c r="I37" i="34"/>
  <c r="I36" i="34"/>
  <c r="H39" i="34"/>
  <c r="H38" i="34"/>
  <c r="H37" i="34"/>
  <c r="H36" i="34"/>
  <c r="F33" i="34"/>
  <c r="H33" i="34"/>
  <c r="H32" i="34"/>
  <c r="H31" i="34"/>
  <c r="I34" i="34"/>
  <c r="I33" i="34"/>
  <c r="I32" i="34"/>
  <c r="I31" i="34"/>
  <c r="E18" i="34"/>
  <c r="E9" i="34"/>
  <c r="I9" i="34"/>
  <c r="I8" i="34"/>
  <c r="H7" i="34"/>
  <c r="H6" i="34"/>
  <c r="H8" i="34"/>
  <c r="F31" i="34"/>
  <c r="D34" i="34"/>
  <c r="D44" i="34"/>
  <c r="N56" i="36" l="1"/>
  <c r="R56" i="36" s="1"/>
  <c r="D24" i="34"/>
  <c r="G20" i="34" l="1"/>
  <c r="F22" i="34"/>
  <c r="F21" i="34"/>
  <c r="F20" i="34"/>
  <c r="E24" i="34"/>
  <c r="I27" i="34"/>
  <c r="H27" i="34"/>
  <c r="G27" i="34"/>
  <c r="A21" i="34"/>
  <c r="A22" i="34" s="1"/>
  <c r="A23" i="34" s="1"/>
  <c r="A24" i="34" s="1"/>
  <c r="A26" i="34" s="1"/>
  <c r="A27" i="34" s="1"/>
  <c r="A28" i="34" s="1"/>
  <c r="A29" i="34" s="1"/>
  <c r="G12" i="34"/>
  <c r="I12" i="34" s="1"/>
  <c r="G13" i="34"/>
  <c r="I13" i="34" s="1"/>
  <c r="G14" i="34"/>
  <c r="I14" i="34" s="1"/>
  <c r="G15" i="34"/>
  <c r="I15" i="34" s="1"/>
  <c r="G16" i="34"/>
  <c r="I16" i="34" s="1"/>
  <c r="G11" i="34"/>
  <c r="F12" i="34"/>
  <c r="F13" i="34"/>
  <c r="H13" i="34" s="1"/>
  <c r="F14" i="34"/>
  <c r="F15" i="34"/>
  <c r="F16" i="34"/>
  <c r="F17" i="34"/>
  <c r="F6" i="34"/>
  <c r="F11" i="34"/>
  <c r="D18" i="34"/>
  <c r="G6" i="34"/>
  <c r="G7" i="34"/>
  <c r="I7" i="34" s="1"/>
  <c r="G8" i="34"/>
  <c r="F8" i="34"/>
  <c r="F7" i="34"/>
  <c r="D9" i="34"/>
  <c r="A7" i="34"/>
  <c r="A8" i="34" s="1"/>
  <c r="A9" i="34" s="1"/>
  <c r="A11" i="34" s="1"/>
  <c r="A12" i="34" s="1"/>
  <c r="A13" i="34" s="1"/>
  <c r="A14" i="34" s="1"/>
  <c r="A15" i="34" s="1"/>
  <c r="A16" i="34" s="1"/>
  <c r="A17" i="34" s="1"/>
  <c r="A18" i="34" s="1"/>
  <c r="H9" i="34" l="1"/>
  <c r="G9" i="34"/>
  <c r="I6" i="34"/>
  <c r="F9" i="34"/>
  <c r="A11" i="36" l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K17" i="28"/>
  <c r="K13" i="28"/>
  <c r="K11" i="28"/>
  <c r="H7" i="33" l="1"/>
  <c r="A10" i="28" l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G32" i="28"/>
  <c r="G208" i="2" l="1"/>
  <c r="A11" i="41" l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45" i="4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l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1" i="41" s="1"/>
  <c r="A142" i="41" s="1"/>
  <c r="A143" i="41" s="1"/>
  <c r="A144" i="41" s="1"/>
  <c r="A145" i="41" s="1"/>
  <c r="A146" i="41" s="1"/>
  <c r="A147" i="41" s="1"/>
  <c r="A148" i="41" s="1"/>
  <c r="A149" i="41" s="1"/>
  <c r="A150" i="41" s="1"/>
  <c r="A151" i="41" s="1"/>
  <c r="A152" i="41" s="1"/>
  <c r="A153" i="41" s="1"/>
  <c r="A154" i="41" s="1"/>
  <c r="A155" i="41" s="1"/>
  <c r="A156" i="41" s="1"/>
  <c r="A157" i="41" s="1"/>
  <c r="A158" i="41" s="1"/>
  <c r="A159" i="41" s="1"/>
  <c r="A160" i="41" s="1"/>
  <c r="A161" i="41" s="1"/>
  <c r="A162" i="41" s="1"/>
  <c r="A163" i="41" s="1"/>
  <c r="A164" i="41" s="1"/>
  <c r="A165" i="41" s="1"/>
  <c r="A166" i="41" s="1"/>
  <c r="A167" i="41" s="1"/>
  <c r="A168" i="41" s="1"/>
  <c r="A169" i="41" s="1"/>
  <c r="A170" i="41" s="1"/>
  <c r="A171" i="41" s="1"/>
  <c r="A172" i="41" s="1"/>
  <c r="A173" i="41" s="1"/>
  <c r="A174" i="41" s="1"/>
  <c r="A175" i="41" s="1"/>
  <c r="A176" i="41" s="1"/>
  <c r="A177" i="41" s="1"/>
  <c r="A178" i="41" s="1"/>
  <c r="A179" i="41" s="1"/>
  <c r="A180" i="41" s="1"/>
  <c r="A181" i="41" s="1"/>
  <c r="A182" i="41" s="1"/>
  <c r="A183" i="41" s="1"/>
  <c r="A184" i="41" s="1"/>
  <c r="A185" i="41" s="1"/>
  <c r="A186" i="41" s="1"/>
  <c r="A187" i="41" s="1"/>
  <c r="A188" i="41" s="1"/>
  <c r="A189" i="41" s="1"/>
  <c r="A190" i="41" s="1"/>
  <c r="A191" i="41" s="1"/>
  <c r="A192" i="41" s="1"/>
  <c r="A207" i="41" s="1"/>
  <c r="A208" i="41" s="1"/>
  <c r="A209" i="41" s="1"/>
  <c r="A210" i="41" s="1"/>
  <c r="A211" i="41" s="1"/>
  <c r="A213" i="41" s="1"/>
  <c r="A214" i="41" s="1"/>
  <c r="A227" i="41" l="1"/>
  <c r="A228" i="41" s="1"/>
  <c r="A229" i="41" s="1"/>
  <c r="A233" i="41" s="1"/>
  <c r="A234" i="41" s="1"/>
  <c r="A235" i="41" s="1"/>
  <c r="A239" i="41" s="1"/>
  <c r="A240" i="41" s="1"/>
  <c r="A241" i="41" s="1"/>
  <c r="A218" i="41"/>
  <c r="A219" i="41" s="1"/>
  <c r="A220" i="41" s="1"/>
  <c r="A221" i="41" s="1"/>
  <c r="A40" i="36"/>
  <c r="A41" i="36" s="1"/>
  <c r="A42" i="36" s="1"/>
  <c r="A43" i="36" s="1"/>
  <c r="A44" i="36" s="1"/>
  <c r="A45" i="36" s="1"/>
  <c r="A46" i="36" l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C19" i="2"/>
  <c r="AC31" i="2"/>
  <c r="AC46" i="2"/>
  <c r="AC50" i="2"/>
  <c r="AC54" i="2"/>
  <c r="AC66" i="2"/>
  <c r="AC68" i="2" s="1"/>
  <c r="AC78" i="2"/>
  <c r="AC86" i="2"/>
  <c r="AC112" i="2"/>
  <c r="AC129" i="2"/>
  <c r="AC153" i="2"/>
  <c r="AC162" i="2"/>
  <c r="AC168" i="2"/>
  <c r="AC173" i="2"/>
  <c r="AC190" i="2"/>
  <c r="AC192" i="2"/>
  <c r="AC194" i="2"/>
  <c r="AC208" i="2"/>
  <c r="AC215" i="2"/>
  <c r="AC236" i="2"/>
  <c r="AC250" i="2"/>
  <c r="A58" i="36" l="1"/>
  <c r="A61" i="36" s="1"/>
  <c r="A62" i="36" s="1"/>
  <c r="A63" i="36" s="1"/>
  <c r="AC217" i="2"/>
  <c r="AC242" i="2" s="1"/>
  <c r="AC88" i="2"/>
  <c r="AC238" i="2"/>
  <c r="AC196" i="2"/>
  <c r="AC241" i="2" s="1"/>
  <c r="AC243" i="2" s="1"/>
  <c r="AC56" i="2"/>
  <c r="AC90" i="2" s="1"/>
  <c r="AC245" i="2" l="1"/>
  <c r="AC252" i="2" s="1"/>
  <c r="AC258" i="2" s="1"/>
  <c r="AC265" i="2" s="1"/>
  <c r="AC267" i="2" s="1"/>
  <c r="AC269" i="2" s="1"/>
  <c r="D241" i="41"/>
  <c r="F60" i="22" s="1"/>
  <c r="D240" i="41" l="1"/>
  <c r="E60" i="22" s="1"/>
  <c r="D239" i="41"/>
  <c r="D233" i="41" l="1"/>
  <c r="D235" i="41"/>
  <c r="F62" i="22" s="1"/>
  <c r="H54" i="41"/>
  <c r="I54" i="41" s="1"/>
  <c r="H52" i="41"/>
  <c r="I52" i="41" s="1"/>
  <c r="H51" i="41"/>
  <c r="I51" i="41" s="1"/>
  <c r="H191" i="41"/>
  <c r="I191" i="41" s="1"/>
  <c r="H192" i="41"/>
  <c r="I192" i="41" s="1"/>
  <c r="H190" i="41" l="1"/>
  <c r="H67" i="41"/>
  <c r="C86" i="37"/>
  <c r="E86" i="37"/>
  <c r="D86" i="37"/>
  <c r="B86" i="37"/>
  <c r="K49" i="37"/>
  <c r="C32" i="40" s="1"/>
  <c r="D52" i="40" s="1"/>
  <c r="J49" i="37"/>
  <c r="C31" i="40" s="1"/>
  <c r="B34" i="42"/>
  <c r="B33" i="42"/>
  <c r="B27" i="42"/>
  <c r="B26" i="42"/>
  <c r="B9" i="42"/>
  <c r="B8" i="42"/>
  <c r="H50" i="41" l="1"/>
  <c r="I50" i="41" s="1"/>
  <c r="H66" i="41"/>
  <c r="I66" i="41" s="1"/>
  <c r="I190" i="41"/>
  <c r="H49" i="41"/>
  <c r="I49" i="41" s="1"/>
  <c r="H189" i="41"/>
  <c r="I189" i="41" s="1"/>
  <c r="H108" i="41"/>
  <c r="I108" i="41" s="1"/>
  <c r="H65" i="41"/>
  <c r="I65" i="41" s="1"/>
  <c r="H53" i="41"/>
  <c r="I53" i="41" s="1"/>
  <c r="D207" i="41" s="1"/>
  <c r="H48" i="41"/>
  <c r="I48" i="41" s="1"/>
  <c r="H182" i="41"/>
  <c r="I182" i="41" s="1"/>
  <c r="H117" i="41"/>
  <c r="I117" i="41" s="1"/>
  <c r="H107" i="41"/>
  <c r="I107" i="41" s="1"/>
  <c r="H82" i="41"/>
  <c r="I82" i="41" s="1"/>
  <c r="H64" i="41"/>
  <c r="I64" i="41" s="1"/>
  <c r="H47" i="41"/>
  <c r="I47" i="41" s="1"/>
  <c r="H188" i="41"/>
  <c r="I188" i="41" s="1"/>
  <c r="H181" i="41"/>
  <c r="I181" i="41" s="1"/>
  <c r="H116" i="41"/>
  <c r="I116" i="41" s="1"/>
  <c r="H106" i="41"/>
  <c r="I106" i="41" s="1"/>
  <c r="H81" i="41"/>
  <c r="I81" i="41" s="1"/>
  <c r="H63" i="41"/>
  <c r="I63" i="41" s="1"/>
  <c r="H46" i="41"/>
  <c r="I46" i="41" s="1"/>
  <c r="H187" i="41"/>
  <c r="I187" i="41" s="1"/>
  <c r="H180" i="41"/>
  <c r="I180" i="41" s="1"/>
  <c r="H105" i="41"/>
  <c r="I105" i="41" s="1"/>
  <c r="H80" i="41"/>
  <c r="I80" i="41" s="1"/>
  <c r="H62" i="41"/>
  <c r="I62" i="41" s="1"/>
  <c r="H45" i="41"/>
  <c r="I45" i="41" s="1"/>
  <c r="H186" i="41"/>
  <c r="I186" i="41" s="1"/>
  <c r="H179" i="41"/>
  <c r="I179" i="41" s="1"/>
  <c r="H178" i="41"/>
  <c r="I178" i="41" s="1"/>
  <c r="H131" i="41"/>
  <c r="I131" i="41" s="1"/>
  <c r="H115" i="41"/>
  <c r="I115" i="41" s="1"/>
  <c r="H104" i="41"/>
  <c r="I104" i="41" s="1"/>
  <c r="H79" i="41"/>
  <c r="I79" i="41" s="1"/>
  <c r="H61" i="41"/>
  <c r="I61" i="41" s="1"/>
  <c r="H103" i="41"/>
  <c r="I103" i="41" s="1"/>
  <c r="H185" i="41"/>
  <c r="I185" i="41" s="1"/>
  <c r="H177" i="41"/>
  <c r="I177" i="41" s="1"/>
  <c r="H176" i="41"/>
  <c r="I176" i="41" s="1"/>
  <c r="H130" i="41"/>
  <c r="I130" i="41" s="1"/>
  <c r="H120" i="41"/>
  <c r="I120" i="41" s="1"/>
  <c r="H114" i="41"/>
  <c r="I114" i="41" s="1"/>
  <c r="H102" i="41"/>
  <c r="I102" i="41" s="1"/>
  <c r="H78" i="41"/>
  <c r="I78" i="41" s="1"/>
  <c r="H60" i="41"/>
  <c r="I60" i="41" s="1"/>
  <c r="H175" i="41"/>
  <c r="I175" i="41" s="1"/>
  <c r="H101" i="41"/>
  <c r="I101" i="41" s="1"/>
  <c r="H77" i="41"/>
  <c r="I77" i="41" s="1"/>
  <c r="H59" i="41"/>
  <c r="I59" i="41" s="1"/>
  <c r="H100" i="41"/>
  <c r="I100" i="41" s="1"/>
  <c r="H99" i="41"/>
  <c r="I99" i="41" s="1"/>
  <c r="H174" i="41"/>
  <c r="I174" i="41" s="1"/>
  <c r="H98" i="41"/>
  <c r="I98" i="41" s="1"/>
  <c r="H76" i="41"/>
  <c r="I76" i="41" s="1"/>
  <c r="H184" i="41"/>
  <c r="I184" i="41" s="1"/>
  <c r="H173" i="41"/>
  <c r="I173" i="41" s="1"/>
  <c r="H97" i="41"/>
  <c r="I97" i="41" s="1"/>
  <c r="H75" i="41"/>
  <c r="I75" i="41" s="1"/>
  <c r="H58" i="41"/>
  <c r="I58" i="41" s="1"/>
  <c r="H172" i="41"/>
  <c r="I172" i="41" s="1"/>
  <c r="H96" i="41"/>
  <c r="I96" i="41" s="1"/>
  <c r="H74" i="41"/>
  <c r="I74" i="41" s="1"/>
  <c r="H57" i="41"/>
  <c r="I57" i="41" s="1"/>
  <c r="H183" i="41"/>
  <c r="I183" i="41" s="1"/>
  <c r="H171" i="41"/>
  <c r="I171" i="41" s="1"/>
  <c r="H170" i="41"/>
  <c r="I170" i="41" s="1"/>
  <c r="H129" i="41"/>
  <c r="I129" i="41" s="1"/>
  <c r="H119" i="41"/>
  <c r="I119" i="41" s="1"/>
  <c r="H113" i="41"/>
  <c r="I113" i="41" s="1"/>
  <c r="H95" i="41"/>
  <c r="I95" i="41" s="1"/>
  <c r="H73" i="41"/>
  <c r="I73" i="41" s="1"/>
  <c r="H56" i="41"/>
  <c r="I56" i="41" s="1"/>
  <c r="H169" i="41"/>
  <c r="I169" i="41" s="1"/>
  <c r="H94" i="41"/>
  <c r="I94" i="41" s="1"/>
  <c r="H168" i="41"/>
  <c r="I168" i="41" s="1"/>
  <c r="H167" i="41"/>
  <c r="I167" i="41" s="1"/>
  <c r="H128" i="41"/>
  <c r="I128" i="41" s="1"/>
  <c r="H118" i="41"/>
  <c r="I118" i="41" s="1"/>
  <c r="H112" i="41"/>
  <c r="I112" i="41" s="1"/>
  <c r="H93" i="41"/>
  <c r="I93" i="41" s="1"/>
  <c r="H72" i="41"/>
  <c r="I72" i="41" s="1"/>
  <c r="H55" i="41"/>
  <c r="I55" i="41" s="1"/>
  <c r="H166" i="41"/>
  <c r="I166" i="41" s="1"/>
  <c r="H165" i="41"/>
  <c r="I165" i="41" s="1"/>
  <c r="H127" i="41"/>
  <c r="I127" i="41" s="1"/>
  <c r="H111" i="41"/>
  <c r="I111" i="41" s="1"/>
  <c r="H92" i="41"/>
  <c r="I92" i="41" s="1"/>
  <c r="H71" i="41"/>
  <c r="I71" i="41" s="1"/>
  <c r="H164" i="41"/>
  <c r="I164" i="41" s="1"/>
  <c r="H163" i="41"/>
  <c r="I163" i="41" s="1"/>
  <c r="H126" i="41"/>
  <c r="I126" i="41" s="1"/>
  <c r="H91" i="41"/>
  <c r="I91" i="41" s="1"/>
  <c r="H70" i="41"/>
  <c r="I70" i="41" s="1"/>
  <c r="H162" i="41"/>
  <c r="I162" i="41" s="1"/>
  <c r="H161" i="41"/>
  <c r="I161" i="41" s="1"/>
  <c r="H125" i="41"/>
  <c r="I125" i="41" s="1"/>
  <c r="H110" i="41"/>
  <c r="I110" i="41" s="1"/>
  <c r="H90" i="41"/>
  <c r="I90" i="41" s="1"/>
  <c r="H69" i="41"/>
  <c r="I69" i="41" s="1"/>
  <c r="H160" i="41"/>
  <c r="I160" i="41" s="1"/>
  <c r="H159" i="41"/>
  <c r="I159" i="41" s="1"/>
  <c r="H124" i="41"/>
  <c r="I124" i="41" s="1"/>
  <c r="H109" i="41"/>
  <c r="I109" i="41" s="1"/>
  <c r="H89" i="41"/>
  <c r="I89" i="41" s="1"/>
  <c r="H68" i="41"/>
  <c r="I68" i="41" s="1"/>
  <c r="H158" i="41"/>
  <c r="I158" i="41" s="1"/>
  <c r="H157" i="41"/>
  <c r="I157" i="41" s="1"/>
  <c r="H88" i="41"/>
  <c r="I88" i="41" s="1"/>
  <c r="I67" i="41"/>
  <c r="H156" i="41"/>
  <c r="I156" i="41" s="1"/>
  <c r="H155" i="41"/>
  <c r="I155" i="41" s="1"/>
  <c r="H87" i="41"/>
  <c r="I87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86" i="41"/>
  <c r="I86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23" i="41"/>
  <c r="I123" i="41" s="1"/>
  <c r="H85" i="41"/>
  <c r="I85" i="41" s="1"/>
  <c r="H141" i="41"/>
  <c r="I141" i="41" s="1"/>
  <c r="H140" i="41"/>
  <c r="I140" i="41" s="1"/>
  <c r="H122" i="41"/>
  <c r="I122" i="41" s="1"/>
  <c r="H84" i="41"/>
  <c r="I84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C67" i="37"/>
  <c r="H83" i="41"/>
  <c r="I83" i="41" s="1"/>
  <c r="C66" i="37"/>
  <c r="H133" i="41"/>
  <c r="I133" i="41" s="1"/>
  <c r="C65" i="37"/>
  <c r="H132" i="41"/>
  <c r="I132" i="41" s="1"/>
  <c r="H121" i="41"/>
  <c r="I121" i="41" s="1"/>
  <c r="D209" i="41" l="1"/>
  <c r="D208" i="41"/>
  <c r="D210" i="41"/>
  <c r="D226" i="41"/>
  <c r="D228" i="41"/>
  <c r="E228" i="41" s="1"/>
  <c r="D227" i="41"/>
  <c r="E227" i="41" s="1"/>
  <c r="C64" i="37"/>
  <c r="C68" i="37" s="1"/>
  <c r="E226" i="41" l="1"/>
  <c r="F226" i="41" s="1"/>
  <c r="D229" i="41"/>
  <c r="E229" i="41" s="1"/>
  <c r="D211" i="41"/>
  <c r="F227" i="41" l="1"/>
  <c r="E61" i="22" s="1"/>
  <c r="F228" i="41"/>
  <c r="F61" i="22" s="1"/>
  <c r="G33" i="37"/>
  <c r="G32" i="37"/>
  <c r="F22" i="37" l="1"/>
  <c r="E22" i="37"/>
  <c r="C22" i="37"/>
  <c r="F21" i="37"/>
  <c r="D21" i="37"/>
  <c r="C21" i="37"/>
  <c r="F20" i="37"/>
  <c r="E20" i="37"/>
  <c r="C20" i="37"/>
  <c r="F19" i="37"/>
  <c r="D19" i="37"/>
  <c r="C19" i="37"/>
  <c r="F18" i="37"/>
  <c r="E18" i="37"/>
  <c r="C18" i="37"/>
  <c r="F17" i="37"/>
  <c r="D17" i="37"/>
  <c r="C17" i="37"/>
  <c r="F16" i="37"/>
  <c r="D16" i="37"/>
  <c r="C16" i="37"/>
  <c r="F15" i="37"/>
  <c r="E15" i="37"/>
  <c r="C15" i="37"/>
  <c r="F14" i="37"/>
  <c r="E14" i="37"/>
  <c r="C14" i="37"/>
  <c r="F13" i="37"/>
  <c r="D13" i="37"/>
  <c r="C13" i="37"/>
  <c r="F12" i="37"/>
  <c r="D12" i="37"/>
  <c r="C12" i="37"/>
  <c r="F11" i="37"/>
  <c r="E11" i="37"/>
  <c r="F47" i="37" l="1"/>
  <c r="F23" i="37"/>
  <c r="C47" i="37"/>
  <c r="C23" i="37"/>
  <c r="E46" i="37"/>
  <c r="F46" i="37"/>
  <c r="G31" i="37"/>
  <c r="F48" i="37"/>
  <c r="F49" i="37" l="1"/>
  <c r="G38" i="37"/>
  <c r="C49" i="37"/>
  <c r="H26" i="31" l="1"/>
  <c r="H25" i="31"/>
  <c r="H24" i="31"/>
  <c r="H23" i="31"/>
  <c r="H22" i="31"/>
  <c r="H21" i="31"/>
  <c r="G35" i="31" s="1"/>
  <c r="H19" i="31"/>
  <c r="H18" i="31"/>
  <c r="E34" i="31" s="1"/>
  <c r="H17" i="31"/>
  <c r="F34" i="31" s="1"/>
  <c r="H16" i="31"/>
  <c r="H15" i="31"/>
  <c r="H15" i="37" s="1"/>
  <c r="D62" i="38" s="1"/>
  <c r="E62" i="38" s="1"/>
  <c r="H14" i="31"/>
  <c r="H11" i="37" s="1"/>
  <c r="H46" i="37" s="1"/>
  <c r="H13" i="31"/>
  <c r="H10" i="37" s="1"/>
  <c r="H12" i="31"/>
  <c r="H11" i="31"/>
  <c r="G33" i="31" s="1"/>
  <c r="H10" i="31"/>
  <c r="E34" i="22" l="1"/>
  <c r="E74" i="22" s="1"/>
  <c r="F36" i="31"/>
  <c r="F35" i="31" s="1"/>
  <c r="E33" i="22" s="1"/>
  <c r="E35" i="31"/>
  <c r="D33" i="22" s="1"/>
  <c r="E36" i="31"/>
  <c r="H36" i="31" s="1"/>
  <c r="D34" i="22"/>
  <c r="H21" i="37"/>
  <c r="I21" i="37"/>
  <c r="H19" i="37"/>
  <c r="I19" i="37"/>
  <c r="I17" i="37"/>
  <c r="C30" i="39" s="1"/>
  <c r="D43" i="39" s="1"/>
  <c r="E43" i="39" s="1"/>
  <c r="H17" i="37"/>
  <c r="E73" i="22"/>
  <c r="I16" i="37"/>
  <c r="C29" i="39" s="1"/>
  <c r="D42" i="39" s="1"/>
  <c r="E42" i="39" s="1"/>
  <c r="H16" i="37"/>
  <c r="H22" i="37"/>
  <c r="H18" i="37"/>
  <c r="F33" i="31"/>
  <c r="I13" i="37"/>
  <c r="C31" i="38" s="1"/>
  <c r="D45" i="38" s="1"/>
  <c r="E45" i="38" s="1"/>
  <c r="H13" i="37"/>
  <c r="H12" i="37"/>
  <c r="I12" i="37"/>
  <c r="C30" i="38" s="1"/>
  <c r="H14" i="37"/>
  <c r="E33" i="31"/>
  <c r="J29" i="33"/>
  <c r="I35" i="33"/>
  <c r="S35" i="33"/>
  <c r="M29" i="33"/>
  <c r="K29" i="33"/>
  <c r="M33" i="33"/>
  <c r="O29" i="33"/>
  <c r="Q33" i="33"/>
  <c r="S29" i="33"/>
  <c r="M31" i="33"/>
  <c r="J35" i="33"/>
  <c r="L35" i="33"/>
  <c r="N35" i="33"/>
  <c r="P35" i="33"/>
  <c r="R35" i="33"/>
  <c r="T35" i="33"/>
  <c r="I29" i="33"/>
  <c r="R29" i="33"/>
  <c r="H28" i="31"/>
  <c r="D74" i="22" l="1"/>
  <c r="C34" i="22"/>
  <c r="H44" i="37"/>
  <c r="D43" i="38" s="1"/>
  <c r="E43" i="38" s="1"/>
  <c r="I48" i="37"/>
  <c r="C29" i="40" s="1"/>
  <c r="D42" i="40" s="1"/>
  <c r="E42" i="40" s="1"/>
  <c r="C28" i="39"/>
  <c r="D41" i="39" s="1"/>
  <c r="E41" i="39" s="1"/>
  <c r="I47" i="37"/>
  <c r="H48" i="37"/>
  <c r="C28" i="40" s="1"/>
  <c r="D41" i="40" s="1"/>
  <c r="E41" i="40" s="1"/>
  <c r="H23" i="37"/>
  <c r="I23" i="37"/>
  <c r="I44" i="37"/>
  <c r="K35" i="33"/>
  <c r="L31" i="33"/>
  <c r="P31" i="33"/>
  <c r="Q29" i="33"/>
  <c r="O35" i="33"/>
  <c r="T31" i="33"/>
  <c r="R30" i="33"/>
  <c r="R34" i="33"/>
  <c r="N30" i="33"/>
  <c r="N34" i="33"/>
  <c r="J30" i="33"/>
  <c r="J34" i="33"/>
  <c r="S30" i="33"/>
  <c r="S34" i="33"/>
  <c r="O30" i="33"/>
  <c r="O34" i="33"/>
  <c r="K30" i="33"/>
  <c r="K34" i="33"/>
  <c r="T33" i="33"/>
  <c r="P33" i="33"/>
  <c r="L33" i="33"/>
  <c r="O31" i="33"/>
  <c r="S33" i="33"/>
  <c r="O33" i="33"/>
  <c r="K33" i="33"/>
  <c r="L29" i="33"/>
  <c r="T30" i="33"/>
  <c r="T34" i="33"/>
  <c r="P30" i="33"/>
  <c r="P34" i="33"/>
  <c r="L30" i="33"/>
  <c r="L34" i="33"/>
  <c r="Q30" i="33"/>
  <c r="Q34" i="33"/>
  <c r="M30" i="33"/>
  <c r="M34" i="33"/>
  <c r="I30" i="33"/>
  <c r="I34" i="33"/>
  <c r="Q35" i="33"/>
  <c r="M35" i="33"/>
  <c r="R33" i="33"/>
  <c r="N33" i="33"/>
  <c r="J33" i="33"/>
  <c r="T29" i="33"/>
  <c r="N29" i="33"/>
  <c r="K31" i="33"/>
  <c r="S31" i="33"/>
  <c r="I33" i="33"/>
  <c r="J31" i="33"/>
  <c r="N31" i="33"/>
  <c r="R31" i="33"/>
  <c r="P29" i="33"/>
  <c r="I31" i="33"/>
  <c r="Q31" i="33"/>
  <c r="C74" i="22" l="1"/>
  <c r="D55" i="22"/>
  <c r="I49" i="37"/>
  <c r="H49" i="37"/>
  <c r="I24" i="28"/>
  <c r="L24" i="28" s="1"/>
  <c r="I23" i="28"/>
  <c r="L23" i="28" s="1"/>
  <c r="F55" i="22" l="1"/>
  <c r="E55" i="22"/>
  <c r="C55" i="22" s="1"/>
  <c r="D44" i="38"/>
  <c r="E44" i="38" s="1"/>
  <c r="F42" i="34"/>
  <c r="F41" i="34"/>
  <c r="R55" i="36" l="1"/>
  <c r="R54" i="36"/>
  <c r="R53" i="36"/>
  <c r="R35" i="36"/>
  <c r="R34" i="36"/>
  <c r="R30" i="36"/>
  <c r="R29" i="36"/>
  <c r="R28" i="36"/>
  <c r="R27" i="36"/>
  <c r="C20" i="39"/>
  <c r="C19" i="40" l="1"/>
  <c r="L58" i="36"/>
  <c r="C20" i="38"/>
  <c r="M58" i="36" l="1"/>
  <c r="R32" i="36"/>
  <c r="R20" i="36"/>
  <c r="R33" i="36"/>
  <c r="R21" i="36"/>
  <c r="R31" i="36"/>
  <c r="R19" i="36"/>
  <c r="R61" i="36" l="1"/>
  <c r="H223" i="2"/>
  <c r="I223" i="2" s="1"/>
  <c r="AE222" i="2"/>
  <c r="H58" i="36"/>
  <c r="F43" i="34"/>
  <c r="D52" i="34"/>
  <c r="D62" i="34" s="1"/>
  <c r="F38" i="34"/>
  <c r="A39" i="34"/>
  <c r="A41" i="34" s="1"/>
  <c r="A42" i="34" s="1"/>
  <c r="A43" i="34" s="1"/>
  <c r="A44" i="34" s="1"/>
  <c r="A46" i="34" s="1"/>
  <c r="A47" i="34" s="1"/>
  <c r="A48" i="34" s="1"/>
  <c r="A49" i="34" s="1"/>
  <c r="A50" i="34" s="1"/>
  <c r="A51" i="34" s="1"/>
  <c r="A52" i="34" s="1"/>
  <c r="A54" i="34" s="1"/>
  <c r="A56" i="34" s="1"/>
  <c r="A57" i="34" s="1"/>
  <c r="A58" i="34" s="1"/>
  <c r="A59" i="34" s="1"/>
  <c r="A60" i="34" s="1"/>
  <c r="A61" i="34" s="1"/>
  <c r="A62" i="34" s="1"/>
  <c r="E39" i="34"/>
  <c r="E51" i="34" s="1"/>
  <c r="E61" i="34" s="1"/>
  <c r="D39" i="34"/>
  <c r="D51" i="34" s="1"/>
  <c r="D61" i="34" s="1"/>
  <c r="E29" i="34"/>
  <c r="H26" i="34"/>
  <c r="G26" i="34"/>
  <c r="I26" i="34" s="1"/>
  <c r="F28" i="34"/>
  <c r="H28" i="34" s="1"/>
  <c r="G28" i="34"/>
  <c r="I28" i="34" s="1"/>
  <c r="D29" i="34"/>
  <c r="D49" i="34" s="1"/>
  <c r="H222" i="2" l="1"/>
  <c r="H224" i="2" s="1"/>
  <c r="AE224" i="2"/>
  <c r="AE238" i="2" s="1"/>
  <c r="AE245" i="2" s="1"/>
  <c r="AE252" i="2" s="1"/>
  <c r="AE258" i="2" s="1"/>
  <c r="AE265" i="2" s="1"/>
  <c r="AE267" i="2" s="1"/>
  <c r="AE269" i="2" s="1"/>
  <c r="F29" i="34"/>
  <c r="F49" i="34" s="1"/>
  <c r="F59" i="34" s="1"/>
  <c r="E44" i="34"/>
  <c r="E52" i="34" s="1"/>
  <c r="E62" i="34" s="1"/>
  <c r="H29" i="34"/>
  <c r="I29" i="34"/>
  <c r="G29" i="34"/>
  <c r="G49" i="34" s="1"/>
  <c r="G59" i="34" s="1"/>
  <c r="D59" i="34"/>
  <c r="E59" i="34"/>
  <c r="I271" i="2"/>
  <c r="H259" i="2"/>
  <c r="I259" i="2" s="1"/>
  <c r="H245" i="4" s="1"/>
  <c r="H59" i="34" l="1"/>
  <c r="H49" i="34"/>
  <c r="I49" i="34"/>
  <c r="I59" i="34"/>
  <c r="G23" i="34"/>
  <c r="I23" i="34" s="1"/>
  <c r="F23" i="34"/>
  <c r="G17" i="34"/>
  <c r="I17" i="34" s="1"/>
  <c r="H17" i="34"/>
  <c r="E46" i="34"/>
  <c r="D46" i="34"/>
  <c r="H23" i="34" l="1"/>
  <c r="F24" i="34"/>
  <c r="G21" i="34"/>
  <c r="E47" i="34"/>
  <c r="E57" i="34" s="1"/>
  <c r="D48" i="34"/>
  <c r="D58" i="34" s="1"/>
  <c r="D50" i="34"/>
  <c r="D60" i="34" s="1"/>
  <c r="D47" i="34"/>
  <c r="E48" i="34"/>
  <c r="E58" i="34" s="1"/>
  <c r="E34" i="34"/>
  <c r="E50" i="34" s="1"/>
  <c r="D56" i="34"/>
  <c r="G22" i="34"/>
  <c r="F32" i="34"/>
  <c r="H15" i="34" l="1"/>
  <c r="H20" i="34"/>
  <c r="F46" i="34"/>
  <c r="F56" i="34" s="1"/>
  <c r="H56" i="34" s="1"/>
  <c r="H34" i="34"/>
  <c r="H22" i="34"/>
  <c r="H12" i="34"/>
  <c r="I22" i="34"/>
  <c r="H16" i="34"/>
  <c r="H14" i="34"/>
  <c r="I16" i="36"/>
  <c r="N16" i="36" s="1"/>
  <c r="H11" i="34"/>
  <c r="D54" i="34"/>
  <c r="I11" i="34"/>
  <c r="H21" i="34"/>
  <c r="I23" i="36"/>
  <c r="N23" i="36" s="1"/>
  <c r="I21" i="34"/>
  <c r="H52" i="34"/>
  <c r="F44" i="34"/>
  <c r="F52" i="34" s="1"/>
  <c r="F62" i="34" s="1"/>
  <c r="H62" i="34" s="1"/>
  <c r="G39" i="34"/>
  <c r="G51" i="34" s="1"/>
  <c r="G61" i="34" s="1"/>
  <c r="I61" i="34" s="1"/>
  <c r="I51" i="34"/>
  <c r="G44" i="34"/>
  <c r="G52" i="34" s="1"/>
  <c r="G62" i="34" s="1"/>
  <c r="I62" i="34" s="1"/>
  <c r="I52" i="34"/>
  <c r="F39" i="34"/>
  <c r="F51" i="34" s="1"/>
  <c r="F61" i="34" s="1"/>
  <c r="H61" i="34" s="1"/>
  <c r="H51" i="34"/>
  <c r="E60" i="34"/>
  <c r="D57" i="34"/>
  <c r="G24" i="34"/>
  <c r="G48" i="34" s="1"/>
  <c r="G58" i="34" s="1"/>
  <c r="I58" i="34" s="1"/>
  <c r="G46" i="34"/>
  <c r="G34" i="34"/>
  <c r="G50" i="34" s="1"/>
  <c r="F34" i="34"/>
  <c r="F50" i="34" s="1"/>
  <c r="I20" i="34"/>
  <c r="G18" i="34"/>
  <c r="G47" i="34" s="1"/>
  <c r="F48" i="34"/>
  <c r="F18" i="34"/>
  <c r="F47" i="34" s="1"/>
  <c r="N58" i="36" l="1"/>
  <c r="J58" i="36"/>
  <c r="H18" i="34"/>
  <c r="R18" i="36"/>
  <c r="I18" i="34"/>
  <c r="I58" i="36"/>
  <c r="H46" i="34"/>
  <c r="I24" i="34"/>
  <c r="H24" i="34"/>
  <c r="R23" i="36"/>
  <c r="R26" i="36"/>
  <c r="R14" i="36"/>
  <c r="R16" i="36"/>
  <c r="R24" i="36"/>
  <c r="R25" i="36"/>
  <c r="R17" i="36"/>
  <c r="F54" i="34"/>
  <c r="G54" i="34"/>
  <c r="I48" i="34"/>
  <c r="F58" i="34"/>
  <c r="H58" i="34" s="1"/>
  <c r="H48" i="34"/>
  <c r="G57" i="34"/>
  <c r="I57" i="34" s="1"/>
  <c r="I47" i="34"/>
  <c r="F60" i="34"/>
  <c r="H60" i="34" s="1"/>
  <c r="H50" i="34"/>
  <c r="F57" i="34"/>
  <c r="H57" i="34" s="1"/>
  <c r="H47" i="34"/>
  <c r="G60" i="34"/>
  <c r="I60" i="34" s="1"/>
  <c r="I50" i="34"/>
  <c r="G56" i="34"/>
  <c r="I56" i="34" s="1"/>
  <c r="I46" i="34"/>
  <c r="R62" i="36" l="1"/>
  <c r="R63" i="36"/>
  <c r="R15" i="36"/>
  <c r="I54" i="34"/>
  <c r="O58" i="36"/>
  <c r="H54" i="34"/>
  <c r="E22" i="22" l="1"/>
  <c r="D22" i="22"/>
  <c r="F22" i="22"/>
  <c r="H29" i="2"/>
  <c r="H27" i="2"/>
  <c r="H25" i="2"/>
  <c r="H23" i="2"/>
  <c r="H15" i="2"/>
  <c r="P250" i="2"/>
  <c r="P236" i="2"/>
  <c r="P215" i="2"/>
  <c r="P208" i="2"/>
  <c r="P194" i="2"/>
  <c r="P192" i="2"/>
  <c r="P190" i="2"/>
  <c r="P173" i="2"/>
  <c r="P168" i="2"/>
  <c r="P162" i="2"/>
  <c r="P153" i="2"/>
  <c r="P129" i="2"/>
  <c r="P112" i="2"/>
  <c r="P86" i="2"/>
  <c r="P78" i="2"/>
  <c r="P66" i="2"/>
  <c r="P68" i="2" s="1"/>
  <c r="P54" i="2"/>
  <c r="P50" i="2"/>
  <c r="P46" i="2"/>
  <c r="P31" i="2"/>
  <c r="P19" i="2"/>
  <c r="P217" i="2" l="1"/>
  <c r="P242" i="2" s="1"/>
  <c r="P56" i="2"/>
  <c r="P88" i="2"/>
  <c r="P196" i="2"/>
  <c r="P241" i="2" s="1"/>
  <c r="P243" i="2" s="1"/>
  <c r="P238" i="2"/>
  <c r="P245" i="2" l="1"/>
  <c r="P252" i="2" s="1"/>
  <c r="P258" i="2" s="1"/>
  <c r="P265" i="2" s="1"/>
  <c r="P267" i="2" s="1"/>
  <c r="P269" i="2" s="1"/>
  <c r="P90" i="2"/>
  <c r="G78" i="2"/>
  <c r="G88" i="2" s="1"/>
  <c r="G19" i="2"/>
  <c r="G190" i="2" l="1"/>
  <c r="G168" i="2"/>
  <c r="G153" i="2"/>
  <c r="L20" i="12" l="1"/>
  <c r="L19" i="12"/>
  <c r="L18" i="12"/>
  <c r="L17" i="12"/>
  <c r="L16" i="12"/>
  <c r="L14" i="12"/>
  <c r="L13" i="12"/>
  <c r="L12" i="12"/>
  <c r="L11" i="12"/>
  <c r="L10" i="12"/>
  <c r="L9" i="12"/>
  <c r="I20" i="12" l="1"/>
  <c r="I19" i="12"/>
  <c r="I18" i="12"/>
  <c r="I17" i="12"/>
  <c r="I16" i="12"/>
  <c r="I15" i="12"/>
  <c r="I14" i="12"/>
  <c r="I13" i="12"/>
  <c r="I12" i="12"/>
  <c r="I11" i="12"/>
  <c r="I10" i="12"/>
  <c r="I9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G20" i="12"/>
  <c r="G19" i="12"/>
  <c r="G18" i="12"/>
  <c r="G17" i="12"/>
  <c r="G16" i="12"/>
  <c r="J16" i="12" s="1"/>
  <c r="G15" i="12"/>
  <c r="J15" i="12" s="1"/>
  <c r="G14" i="12"/>
  <c r="J14" i="12" s="1"/>
  <c r="G13" i="12"/>
  <c r="G12" i="12"/>
  <c r="G11" i="12"/>
  <c r="G10" i="12"/>
  <c r="G9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C20" i="12"/>
  <c r="C19" i="12"/>
  <c r="F19" i="12" s="1"/>
  <c r="C18" i="12"/>
  <c r="F18" i="12" s="1"/>
  <c r="C17" i="12"/>
  <c r="F17" i="12" s="1"/>
  <c r="C16" i="12"/>
  <c r="C15" i="12"/>
  <c r="C14" i="12"/>
  <c r="C13" i="12"/>
  <c r="C12" i="12"/>
  <c r="F12" i="12" s="1"/>
  <c r="C11" i="12"/>
  <c r="F11" i="12" s="1"/>
  <c r="C10" i="12"/>
  <c r="F10" i="12" s="1"/>
  <c r="C9" i="12"/>
  <c r="C27" i="12" l="1"/>
  <c r="C30" i="12" s="1"/>
  <c r="C28" i="12"/>
  <c r="C31" i="12" s="1"/>
  <c r="J9" i="12"/>
  <c r="J13" i="12"/>
  <c r="F13" i="12"/>
  <c r="F14" i="12"/>
  <c r="J10" i="12"/>
  <c r="J18" i="12"/>
  <c r="J17" i="12"/>
  <c r="F15" i="12"/>
  <c r="J11" i="12"/>
  <c r="J19" i="12"/>
  <c r="F16" i="12"/>
  <c r="J12" i="12"/>
  <c r="J20" i="12"/>
  <c r="F20" i="12"/>
  <c r="C34" i="12"/>
  <c r="D34" i="12"/>
  <c r="E34" i="12"/>
  <c r="H34" i="12"/>
  <c r="G34" i="12"/>
  <c r="F9" i="12"/>
  <c r="D28" i="12"/>
  <c r="D31" i="12" s="1"/>
  <c r="D27" i="12"/>
  <c r="D30" i="12" s="1"/>
  <c r="E27" i="12"/>
  <c r="E30" i="12" s="1"/>
  <c r="E28" i="12"/>
  <c r="E31" i="12" s="1"/>
  <c r="G28" i="12"/>
  <c r="G31" i="12" s="1"/>
  <c r="G27" i="12"/>
  <c r="G30" i="12" s="1"/>
  <c r="H27" i="12"/>
  <c r="H30" i="12" s="1"/>
  <c r="H28" i="12"/>
  <c r="H31" i="12" s="1"/>
  <c r="I28" i="12"/>
  <c r="I31" i="12" s="1"/>
  <c r="I30" i="12"/>
  <c r="H35" i="31"/>
  <c r="H34" i="31"/>
  <c r="H33" i="31"/>
  <c r="J32" i="28"/>
  <c r="K16" i="28"/>
  <c r="K15" i="28"/>
  <c r="K14" i="28"/>
  <c r="F33" i="22"/>
  <c r="F73" i="22" s="1"/>
  <c r="F32" i="22"/>
  <c r="F71" i="22" s="1"/>
  <c r="E32" i="22"/>
  <c r="E71" i="22" s="1"/>
  <c r="D32" i="22"/>
  <c r="D71" i="22" s="1"/>
  <c r="F31" i="22"/>
  <c r="E31" i="22"/>
  <c r="D31" i="22"/>
  <c r="D72" i="22" l="1"/>
  <c r="D70" i="22"/>
  <c r="D69" i="22"/>
  <c r="D68" i="22"/>
  <c r="J27" i="12"/>
  <c r="J34" i="12"/>
  <c r="F34" i="12"/>
  <c r="J28" i="12"/>
  <c r="J31" i="12" s="1"/>
  <c r="H32" i="12"/>
  <c r="F40" i="12"/>
  <c r="F41" i="12" s="1"/>
  <c r="F28" i="12"/>
  <c r="F31" i="12" s="1"/>
  <c r="F27" i="12"/>
  <c r="F30" i="12" s="1"/>
  <c r="E32" i="12"/>
  <c r="G32" i="12"/>
  <c r="G35" i="12" s="1"/>
  <c r="D32" i="12"/>
  <c r="C32" i="12"/>
  <c r="C35" i="12" s="1"/>
  <c r="C33" i="22"/>
  <c r="C73" i="22"/>
  <c r="D54" i="22" s="1"/>
  <c r="C32" i="22"/>
  <c r="C38" i="12" l="1"/>
  <c r="E35" i="12"/>
  <c r="C46" i="40" s="1"/>
  <c r="H35" i="12"/>
  <c r="D35" i="12"/>
  <c r="D38" i="12" s="1"/>
  <c r="F32" i="12"/>
  <c r="F54" i="22"/>
  <c r="E54" i="22"/>
  <c r="M13" i="5" l="1"/>
  <c r="O50" i="6" s="1"/>
  <c r="F35" i="12"/>
  <c r="F46" i="22"/>
  <c r="J35" i="12"/>
  <c r="H37" i="12"/>
  <c r="E46" i="22" s="1"/>
  <c r="E37" i="12"/>
  <c r="F48" i="22" s="1"/>
  <c r="F42" i="12"/>
  <c r="F43" i="12" s="1"/>
  <c r="E7" i="5" s="1"/>
  <c r="G37" i="12"/>
  <c r="C37" i="12"/>
  <c r="D48" i="22" s="1"/>
  <c r="D37" i="12"/>
  <c r="E48" i="22" s="1"/>
  <c r="C54" i="22"/>
  <c r="O13" i="5" l="1"/>
  <c r="F7" i="5"/>
  <c r="O7" i="5" s="1"/>
  <c r="D46" i="22"/>
  <c r="J37" i="12"/>
  <c r="F37" i="12"/>
  <c r="G129" i="2" l="1"/>
  <c r="G112" i="2" l="1"/>
  <c r="G196" i="2" s="1"/>
  <c r="G241" i="2" s="1"/>
  <c r="G192" i="2"/>
  <c r="P16" i="6" l="1"/>
  <c r="N61" i="6"/>
  <c r="N60" i="6"/>
  <c r="N56" i="6"/>
  <c r="N55" i="6"/>
  <c r="N54" i="6"/>
  <c r="N50" i="6"/>
  <c r="N40" i="6"/>
  <c r="N38" i="6"/>
  <c r="N31" i="6"/>
  <c r="N30" i="6"/>
  <c r="N23" i="6"/>
  <c r="N20" i="6"/>
  <c r="N19" i="6"/>
  <c r="N15" i="6"/>
  <c r="N16" i="6" s="1"/>
  <c r="N11" i="6"/>
  <c r="N8" i="6"/>
  <c r="N7" i="6"/>
  <c r="L12" i="5" l="1"/>
  <c r="O12" i="5" s="1"/>
  <c r="L10" i="5"/>
  <c r="N49" i="6" l="1"/>
  <c r="N48" i="6"/>
  <c r="N39" i="6"/>
  <c r="N47" i="6"/>
  <c r="N41" i="6"/>
  <c r="N12" i="6"/>
  <c r="N21" i="6"/>
  <c r="N62" i="6"/>
  <c r="N9" i="6"/>
  <c r="N24" i="6"/>
  <c r="N57" i="6"/>
  <c r="AD194" i="2"/>
  <c r="AB194" i="2"/>
  <c r="AA194" i="2"/>
  <c r="Z194" i="2"/>
  <c r="Y194" i="2"/>
  <c r="W194" i="2"/>
  <c r="X194" i="2"/>
  <c r="V194" i="2"/>
  <c r="U194" i="2"/>
  <c r="T194" i="2"/>
  <c r="S194" i="2"/>
  <c r="R194" i="2"/>
  <c r="Q194" i="2"/>
  <c r="G194" i="2"/>
  <c r="AD192" i="2"/>
  <c r="AB192" i="2"/>
  <c r="AA192" i="2"/>
  <c r="Z192" i="2"/>
  <c r="Y192" i="2"/>
  <c r="W192" i="2"/>
  <c r="X192" i="2"/>
  <c r="V192" i="2"/>
  <c r="U192" i="2"/>
  <c r="T192" i="2"/>
  <c r="S192" i="2"/>
  <c r="R192" i="2"/>
  <c r="Q192" i="2"/>
  <c r="H159" i="2"/>
  <c r="I159" i="2" s="1"/>
  <c r="H155" i="4" s="1"/>
  <c r="H127" i="2"/>
  <c r="I127" i="2" s="1"/>
  <c r="H123" i="4" s="1"/>
  <c r="H126" i="2"/>
  <c r="I126" i="2" s="1"/>
  <c r="H122" i="4" s="1"/>
  <c r="H125" i="2"/>
  <c r="I125" i="2" s="1"/>
  <c r="H121" i="4" s="1"/>
  <c r="H124" i="2"/>
  <c r="I124" i="2" s="1"/>
  <c r="H120" i="4" s="1"/>
  <c r="H123" i="2"/>
  <c r="I123" i="2" s="1"/>
  <c r="H119" i="4" s="1"/>
  <c r="H122" i="2"/>
  <c r="I122" i="2" s="1"/>
  <c r="H118" i="4" s="1"/>
  <c r="H121" i="2"/>
  <c r="I121" i="2" s="1"/>
  <c r="H117" i="4" s="1"/>
  <c r="H36" i="2"/>
  <c r="I36" i="2" s="1"/>
  <c r="H33" i="4" s="1"/>
  <c r="I29" i="2"/>
  <c r="H26" i="4" s="1"/>
  <c r="H28" i="2"/>
  <c r="I28" i="2" s="1"/>
  <c r="H25" i="4" s="1"/>
  <c r="I27" i="2"/>
  <c r="H24" i="4" s="1"/>
  <c r="H26" i="2"/>
  <c r="I26" i="2" s="1"/>
  <c r="H23" i="4" s="1"/>
  <c r="I25" i="2"/>
  <c r="H22" i="4" s="1"/>
  <c r="H24" i="2"/>
  <c r="I24" i="2" s="1"/>
  <c r="H21" i="4" s="1"/>
  <c r="I23" i="2"/>
  <c r="H20" i="4" s="1"/>
  <c r="H22" i="2"/>
  <c r="I22" i="2" s="1"/>
  <c r="H19" i="4" s="1"/>
  <c r="H30" i="2"/>
  <c r="I30" i="2" s="1"/>
  <c r="AD31" i="2"/>
  <c r="AB31" i="2"/>
  <c r="AA31" i="2"/>
  <c r="Z31" i="2"/>
  <c r="Y31" i="2"/>
  <c r="W31" i="2"/>
  <c r="X31" i="2"/>
  <c r="V31" i="2"/>
  <c r="U31" i="2"/>
  <c r="T31" i="2"/>
  <c r="S31" i="2"/>
  <c r="R31" i="2"/>
  <c r="Q31" i="2"/>
  <c r="G31" i="2"/>
  <c r="H16" i="2"/>
  <c r="I16" i="2" s="1"/>
  <c r="H13" i="4" s="1"/>
  <c r="I15" i="2"/>
  <c r="H12" i="4" s="1"/>
  <c r="R13" i="4" l="1"/>
  <c r="S13" i="4"/>
  <c r="R19" i="4"/>
  <c r="S19" i="4"/>
  <c r="J33" i="4"/>
  <c r="S33" i="4"/>
  <c r="R33" i="4"/>
  <c r="R155" i="4"/>
  <c r="S155" i="4"/>
  <c r="S20" i="4"/>
  <c r="R20" i="4"/>
  <c r="R24" i="4"/>
  <c r="S24" i="4"/>
  <c r="R117" i="4"/>
  <c r="S117" i="4"/>
  <c r="R21" i="4"/>
  <c r="S21" i="4"/>
  <c r="R118" i="4"/>
  <c r="S118" i="4"/>
  <c r="R22" i="4"/>
  <c r="S22" i="4"/>
  <c r="R119" i="4"/>
  <c r="S119" i="4"/>
  <c r="R23" i="4"/>
  <c r="S23" i="4"/>
  <c r="R120" i="4"/>
  <c r="S120" i="4"/>
  <c r="R25" i="4"/>
  <c r="S25" i="4"/>
  <c r="R122" i="4"/>
  <c r="S122" i="4"/>
  <c r="R121" i="4"/>
  <c r="S121" i="4"/>
  <c r="R12" i="4"/>
  <c r="S12" i="4"/>
  <c r="R26" i="4"/>
  <c r="S26" i="4"/>
  <c r="R123" i="4"/>
  <c r="S123" i="4"/>
  <c r="Q13" i="4"/>
  <c r="Q20" i="4"/>
  <c r="Q22" i="4"/>
  <c r="Q24" i="4"/>
  <c r="Q26" i="4"/>
  <c r="Q12" i="4"/>
  <c r="Q19" i="4"/>
  <c r="Q21" i="4"/>
  <c r="Q23" i="4"/>
  <c r="Q25" i="4"/>
  <c r="Q33" i="4"/>
  <c r="Q155" i="4"/>
  <c r="Q120" i="4"/>
  <c r="Q117" i="4"/>
  <c r="Q119" i="4"/>
  <c r="Q121" i="4"/>
  <c r="Q123" i="4"/>
  <c r="Q118" i="4"/>
  <c r="Q122" i="4"/>
  <c r="P118" i="4"/>
  <c r="P120" i="4"/>
  <c r="J155" i="4"/>
  <c r="L155" i="4"/>
  <c r="N155" i="4"/>
  <c r="P155" i="4"/>
  <c r="I155" i="4"/>
  <c r="K155" i="4"/>
  <c r="M155" i="4"/>
  <c r="O155" i="4"/>
  <c r="I118" i="4"/>
  <c r="K118" i="4"/>
  <c r="M118" i="4"/>
  <c r="O118" i="4"/>
  <c r="J119" i="4"/>
  <c r="L119" i="4"/>
  <c r="N119" i="4"/>
  <c r="P119" i="4"/>
  <c r="I120" i="4"/>
  <c r="K120" i="4"/>
  <c r="M120" i="4"/>
  <c r="O120" i="4"/>
  <c r="J121" i="4"/>
  <c r="L121" i="4"/>
  <c r="N121" i="4"/>
  <c r="P121" i="4"/>
  <c r="J118" i="4"/>
  <c r="L118" i="4"/>
  <c r="N118" i="4"/>
  <c r="I119" i="4"/>
  <c r="K119" i="4"/>
  <c r="M119" i="4"/>
  <c r="O119" i="4"/>
  <c r="J120" i="4"/>
  <c r="L120" i="4"/>
  <c r="N120" i="4"/>
  <c r="I121" i="4"/>
  <c r="K121" i="4"/>
  <c r="M121" i="4"/>
  <c r="O121" i="4"/>
  <c r="P33" i="4"/>
  <c r="O33" i="4"/>
  <c r="K33" i="4"/>
  <c r="M33" i="4"/>
  <c r="I33" i="4"/>
  <c r="L33" i="4"/>
  <c r="N33" i="4"/>
  <c r="P19" i="4"/>
  <c r="N19" i="4"/>
  <c r="L19" i="4"/>
  <c r="J19" i="4"/>
  <c r="O19" i="4"/>
  <c r="M19" i="4"/>
  <c r="K19" i="4"/>
  <c r="I19" i="4"/>
  <c r="P21" i="4"/>
  <c r="N21" i="4"/>
  <c r="L21" i="4"/>
  <c r="J21" i="4"/>
  <c r="O21" i="4"/>
  <c r="M21" i="4"/>
  <c r="K21" i="4"/>
  <c r="I21" i="4"/>
  <c r="P23" i="4"/>
  <c r="N23" i="4"/>
  <c r="L23" i="4"/>
  <c r="J23" i="4"/>
  <c r="O23" i="4"/>
  <c r="M23" i="4"/>
  <c r="K23" i="4"/>
  <c r="I23" i="4"/>
  <c r="P25" i="4"/>
  <c r="N25" i="4"/>
  <c r="L25" i="4"/>
  <c r="J25" i="4"/>
  <c r="O25" i="4"/>
  <c r="M25" i="4"/>
  <c r="K25" i="4"/>
  <c r="I25" i="4"/>
  <c r="O20" i="4"/>
  <c r="M20" i="4"/>
  <c r="K20" i="4"/>
  <c r="I20" i="4"/>
  <c r="P20" i="4"/>
  <c r="N20" i="4"/>
  <c r="L20" i="4"/>
  <c r="J20" i="4"/>
  <c r="O22" i="4"/>
  <c r="M22" i="4"/>
  <c r="K22" i="4"/>
  <c r="I22" i="4"/>
  <c r="P22" i="4"/>
  <c r="N22" i="4"/>
  <c r="L22" i="4"/>
  <c r="J22" i="4"/>
  <c r="O24" i="4"/>
  <c r="M24" i="4"/>
  <c r="K24" i="4"/>
  <c r="I24" i="4"/>
  <c r="P24" i="4"/>
  <c r="N24" i="4"/>
  <c r="L24" i="4"/>
  <c r="J24" i="4"/>
  <c r="O26" i="4"/>
  <c r="M26" i="4"/>
  <c r="K26" i="4"/>
  <c r="I26" i="4"/>
  <c r="P26" i="4"/>
  <c r="N26" i="4"/>
  <c r="L26" i="4"/>
  <c r="J26" i="4"/>
  <c r="K12" i="4"/>
  <c r="O12" i="4"/>
  <c r="I12" i="4"/>
  <c r="M12" i="4"/>
  <c r="J12" i="4"/>
  <c r="L12" i="4"/>
  <c r="N12" i="4"/>
  <c r="P12" i="4"/>
  <c r="I13" i="4"/>
  <c r="K13" i="4"/>
  <c r="M13" i="4"/>
  <c r="O13" i="4"/>
  <c r="J13" i="4"/>
  <c r="L13" i="4"/>
  <c r="N13" i="4"/>
  <c r="P13" i="4"/>
  <c r="T155" i="4" l="1"/>
  <c r="T118" i="4"/>
  <c r="T120" i="4"/>
  <c r="T119" i="4"/>
  <c r="T121" i="4"/>
  <c r="T19" i="4"/>
  <c r="T33" i="4"/>
  <c r="T23" i="4"/>
  <c r="T25" i="4"/>
  <c r="T21" i="4"/>
  <c r="T26" i="4"/>
  <c r="T24" i="4"/>
  <c r="T20" i="4"/>
  <c r="T22" i="4"/>
  <c r="T13" i="4"/>
  <c r="T12" i="4"/>
  <c r="H6" i="33" l="1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9" i="33" s="1"/>
  <c r="A30" i="33" s="1"/>
  <c r="A31" i="33" s="1"/>
  <c r="A33" i="33" s="1"/>
  <c r="A34" i="33" s="1"/>
  <c r="A35" i="33" s="1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A11" i="31"/>
  <c r="A12" i="31" s="1"/>
  <c r="A13" i="31" s="1"/>
  <c r="A14" i="31" s="1"/>
  <c r="A15" i="31" s="1"/>
  <c r="A16" i="31" s="1"/>
  <c r="A17" i="31" s="1"/>
  <c r="A18" i="31" s="1"/>
  <c r="A19" i="31" s="1"/>
  <c r="K10" i="28"/>
  <c r="K18" i="28"/>
  <c r="K20" i="28"/>
  <c r="K21" i="28"/>
  <c r="K22" i="28"/>
  <c r="K25" i="28"/>
  <c r="K26" i="28"/>
  <c r="K27" i="28"/>
  <c r="I27" i="28" s="1"/>
  <c r="L27" i="28" s="1"/>
  <c r="K28" i="28"/>
  <c r="K29" i="28"/>
  <c r="K30" i="28"/>
  <c r="A47" i="22"/>
  <c r="A48" i="22" s="1"/>
  <c r="A49" i="22" s="1"/>
  <c r="A50" i="22" s="1"/>
  <c r="A51" i="22" s="1"/>
  <c r="A52" i="22" s="1"/>
  <c r="A53" i="22" s="1"/>
  <c r="A54" i="22" s="1"/>
  <c r="A55" i="22" l="1"/>
  <c r="A56" i="22" s="1"/>
  <c r="A60" i="22" s="1"/>
  <c r="A61" i="22" s="1"/>
  <c r="A62" i="22" s="1"/>
  <c r="A63" i="22" s="1"/>
  <c r="A64" i="22" s="1"/>
  <c r="I26" i="28"/>
  <c r="L26" i="28" s="1"/>
  <c r="H21" i="28"/>
  <c r="L21" i="28" s="1"/>
  <c r="A20" i="31"/>
  <c r="A21" i="31" s="1"/>
  <c r="A22" i="31" s="1"/>
  <c r="A23" i="31" s="1"/>
  <c r="A24" i="31" s="1"/>
  <c r="A25" i="31" s="1"/>
  <c r="A26" i="31" s="1"/>
  <c r="A28" i="31" s="1"/>
  <c r="A33" i="31" s="1"/>
  <c r="A34" i="31" s="1"/>
  <c r="A35" i="31" s="1"/>
  <c r="A36" i="31" s="1"/>
  <c r="H22" i="28"/>
  <c r="L22" i="28" s="1"/>
  <c r="I30" i="28"/>
  <c r="H20" i="28"/>
  <c r="I29" i="28"/>
  <c r="H18" i="28"/>
  <c r="L18" i="28" s="1"/>
  <c r="H15" i="28"/>
  <c r="H14" i="28"/>
  <c r="L14" i="28" s="1"/>
  <c r="H13" i="28"/>
  <c r="L13" i="28" s="1"/>
  <c r="H16" i="28"/>
  <c r="L16" i="28" s="1"/>
  <c r="H17" i="28"/>
  <c r="I25" i="28"/>
  <c r="I28" i="28"/>
  <c r="L28" i="28" s="1"/>
  <c r="H11" i="28"/>
  <c r="L11" i="28" s="1"/>
  <c r="H10" i="28"/>
  <c r="L10" i="28" s="1"/>
  <c r="E19" i="37"/>
  <c r="A65" i="22" l="1"/>
  <c r="A66" i="22" s="1"/>
  <c r="A68" i="22" s="1"/>
  <c r="A69" i="22" s="1"/>
  <c r="A70" i="22" s="1"/>
  <c r="A71" i="22" s="1"/>
  <c r="A72" i="22" s="1"/>
  <c r="A73" i="22" s="1"/>
  <c r="A74" i="22" s="1"/>
  <c r="L30" i="28"/>
  <c r="L29" i="28"/>
  <c r="I32" i="28"/>
  <c r="L25" i="28"/>
  <c r="H19" i="28"/>
  <c r="L19" i="28" s="1"/>
  <c r="L20" i="28"/>
  <c r="H12" i="28"/>
  <c r="L12" i="28" s="1"/>
  <c r="L15" i="28"/>
  <c r="L17" i="28"/>
  <c r="H9" i="28"/>
  <c r="D10" i="37"/>
  <c r="G38" i="28"/>
  <c r="D14" i="37"/>
  <c r="G19" i="37"/>
  <c r="D11" i="37"/>
  <c r="D55" i="37" s="1"/>
  <c r="E12" i="37"/>
  <c r="E17" i="37"/>
  <c r="G17" i="37" s="1"/>
  <c r="D20" i="37"/>
  <c r="D18" i="37"/>
  <c r="D47" i="37" s="1"/>
  <c r="D22" i="37"/>
  <c r="E16" i="37"/>
  <c r="E21" i="37"/>
  <c r="G21" i="37" s="1"/>
  <c r="E13" i="37"/>
  <c r="D59" i="37" l="1"/>
  <c r="G55" i="37"/>
  <c r="D48" i="37"/>
  <c r="E47" i="37"/>
  <c r="G47" i="37" s="1"/>
  <c r="G10" i="37"/>
  <c r="E23" i="37"/>
  <c r="E48" i="37"/>
  <c r="G11" i="37"/>
  <c r="L32" i="28"/>
  <c r="D15" i="37"/>
  <c r="D23" i="37" s="1"/>
  <c r="G39" i="28"/>
  <c r="D37" i="22" s="1"/>
  <c r="H39" i="28"/>
  <c r="E37" i="22" s="1"/>
  <c r="H38" i="28"/>
  <c r="H37" i="28"/>
  <c r="I39" i="28"/>
  <c r="I38" i="28"/>
  <c r="I37" i="28"/>
  <c r="G16" i="37"/>
  <c r="G13" i="37"/>
  <c r="G12" i="37"/>
  <c r="K32" i="28"/>
  <c r="D57" i="38" l="1"/>
  <c r="G59" i="37"/>
  <c r="G45" i="37"/>
  <c r="C33" i="38" s="1"/>
  <c r="D52" i="38" s="1"/>
  <c r="D46" i="37"/>
  <c r="G20" i="37"/>
  <c r="F37" i="22"/>
  <c r="C37" i="22" s="1"/>
  <c r="G15" i="37"/>
  <c r="D63" i="38" s="1"/>
  <c r="D64" i="38" s="1"/>
  <c r="E49" i="37"/>
  <c r="H32" i="28"/>
  <c r="D49" i="37" l="1"/>
  <c r="G46" i="37"/>
  <c r="G44" i="37"/>
  <c r="C32" i="38" s="1"/>
  <c r="D51" i="38" s="1"/>
  <c r="D53" i="38" s="1"/>
  <c r="J39" i="28"/>
  <c r="G14" i="37"/>
  <c r="D36" i="22" l="1"/>
  <c r="D35" i="22"/>
  <c r="G18" i="37"/>
  <c r="C31" i="39" s="1"/>
  <c r="D46" i="39" s="1"/>
  <c r="D48" i="39" s="1"/>
  <c r="G22" i="37"/>
  <c r="G49" i="37" l="1"/>
  <c r="C30" i="40"/>
  <c r="D56" i="40" s="1"/>
  <c r="D58" i="40" s="1"/>
  <c r="G23" i="37"/>
  <c r="H59" i="37" s="1"/>
  <c r="F36" i="22"/>
  <c r="F35" i="22"/>
  <c r="E36" i="22"/>
  <c r="E35" i="22"/>
  <c r="J37" i="28"/>
  <c r="J38" i="28"/>
  <c r="H264" i="2"/>
  <c r="H263" i="2"/>
  <c r="H260" i="2"/>
  <c r="H249" i="2"/>
  <c r="H248" i="2"/>
  <c r="H235" i="2"/>
  <c r="H234" i="2"/>
  <c r="H233" i="2"/>
  <c r="H231" i="2"/>
  <c r="H230" i="2"/>
  <c r="H229" i="2"/>
  <c r="H227" i="2"/>
  <c r="H214" i="2"/>
  <c r="H213" i="2"/>
  <c r="H212" i="2"/>
  <c r="H211" i="2"/>
  <c r="H207" i="2"/>
  <c r="H206" i="2"/>
  <c r="H205" i="2"/>
  <c r="H204" i="2"/>
  <c r="I204" i="2" s="1"/>
  <c r="H203" i="2"/>
  <c r="H202" i="2"/>
  <c r="H201" i="2"/>
  <c r="H189" i="2"/>
  <c r="H187" i="2"/>
  <c r="H186" i="2"/>
  <c r="H185" i="2"/>
  <c r="H184" i="2"/>
  <c r="H183" i="2"/>
  <c r="H182" i="2"/>
  <c r="H181" i="2"/>
  <c r="H180" i="2"/>
  <c r="H179" i="2"/>
  <c r="H178" i="2"/>
  <c r="H177" i="2"/>
  <c r="H172" i="2"/>
  <c r="H171" i="2"/>
  <c r="H167" i="2"/>
  <c r="H166" i="2"/>
  <c r="H165" i="2"/>
  <c r="H161" i="2"/>
  <c r="I161" i="2" s="1"/>
  <c r="H160" i="2"/>
  <c r="H158" i="2"/>
  <c r="H157" i="2"/>
  <c r="H156" i="2"/>
  <c r="H152" i="2"/>
  <c r="H151" i="2"/>
  <c r="H150" i="2"/>
  <c r="H149" i="2"/>
  <c r="H148" i="2"/>
  <c r="H147" i="2"/>
  <c r="H146" i="2"/>
  <c r="H145" i="2"/>
  <c r="H144" i="2"/>
  <c r="H142" i="2"/>
  <c r="H141" i="2"/>
  <c r="H140" i="2"/>
  <c r="H139" i="2"/>
  <c r="H138" i="2"/>
  <c r="H137" i="2"/>
  <c r="H136" i="2"/>
  <c r="H135" i="2"/>
  <c r="H134" i="2"/>
  <c r="H133" i="2"/>
  <c r="H111" i="2"/>
  <c r="H110" i="2"/>
  <c r="H109" i="2"/>
  <c r="I109" i="2" s="1"/>
  <c r="H108" i="2"/>
  <c r="H106" i="2"/>
  <c r="H105" i="2"/>
  <c r="H104" i="2"/>
  <c r="H102" i="2"/>
  <c r="H101" i="2"/>
  <c r="H100" i="2"/>
  <c r="H99" i="2"/>
  <c r="H98" i="2"/>
  <c r="H97" i="2"/>
  <c r="H85" i="2"/>
  <c r="H84" i="2"/>
  <c r="H83" i="2"/>
  <c r="H82" i="2"/>
  <c r="H80" i="2"/>
  <c r="H77" i="2"/>
  <c r="H76" i="2"/>
  <c r="H75" i="2"/>
  <c r="H74" i="2"/>
  <c r="H73" i="2"/>
  <c r="H65" i="2"/>
  <c r="H63" i="2"/>
  <c r="H62" i="2"/>
  <c r="H61" i="2"/>
  <c r="H53" i="2"/>
  <c r="H49" i="2"/>
  <c r="H45" i="2"/>
  <c r="H44" i="2"/>
  <c r="H43" i="2"/>
  <c r="H42" i="2"/>
  <c r="H41" i="2"/>
  <c r="H40" i="2"/>
  <c r="H39" i="2"/>
  <c r="H38" i="2"/>
  <c r="H37" i="2"/>
  <c r="H35" i="2"/>
  <c r="H34" i="2"/>
  <c r="H31" i="2"/>
  <c r="H18" i="2"/>
  <c r="H17" i="2"/>
  <c r="H14" i="2"/>
  <c r="H13" i="2"/>
  <c r="C36" i="22" l="1"/>
  <c r="D56" i="22" s="1"/>
  <c r="F72" i="22"/>
  <c r="F70" i="22"/>
  <c r="F69" i="22"/>
  <c r="E69" i="22"/>
  <c r="E72" i="22"/>
  <c r="E70" i="22"/>
  <c r="F68" i="22"/>
  <c r="E68" i="22"/>
  <c r="C31" i="22"/>
  <c r="C22" i="22"/>
  <c r="C35" i="22"/>
  <c r="D47" i="22" s="1"/>
  <c r="C69" i="22" l="1"/>
  <c r="F56" i="22"/>
  <c r="E56" i="22"/>
  <c r="F47" i="22"/>
  <c r="E47" i="22"/>
  <c r="C72" i="22"/>
  <c r="E53" i="22" s="1"/>
  <c r="C68" i="22"/>
  <c r="C71" i="22"/>
  <c r="C70" i="22"/>
  <c r="E51" i="22" s="1"/>
  <c r="F7" i="6"/>
  <c r="G7" i="6"/>
  <c r="H7" i="6"/>
  <c r="I7" i="6"/>
  <c r="J7" i="6"/>
  <c r="K7" i="6"/>
  <c r="L7" i="6"/>
  <c r="M7" i="6"/>
  <c r="F8" i="6"/>
  <c r="G8" i="6"/>
  <c r="H8" i="6"/>
  <c r="I8" i="6"/>
  <c r="J8" i="6"/>
  <c r="K8" i="6"/>
  <c r="L8" i="6"/>
  <c r="M8" i="6"/>
  <c r="E9" i="6"/>
  <c r="F11" i="6"/>
  <c r="G11" i="6"/>
  <c r="H11" i="6"/>
  <c r="I11" i="6"/>
  <c r="J11" i="6"/>
  <c r="K11" i="6"/>
  <c r="L11" i="6"/>
  <c r="M11" i="6"/>
  <c r="E12" i="6"/>
  <c r="F15" i="6"/>
  <c r="F16" i="6" s="1"/>
  <c r="G15" i="6"/>
  <c r="G16" i="6" s="1"/>
  <c r="H15" i="6"/>
  <c r="H16" i="6" s="1"/>
  <c r="I15" i="6"/>
  <c r="I16" i="6" s="1"/>
  <c r="J15" i="6"/>
  <c r="J16" i="6" s="1"/>
  <c r="K15" i="6"/>
  <c r="K16" i="6" s="1"/>
  <c r="L15" i="6"/>
  <c r="L16" i="6" s="1"/>
  <c r="M15" i="6"/>
  <c r="M16" i="6" s="1"/>
  <c r="E16" i="6"/>
  <c r="F19" i="6"/>
  <c r="G19" i="6"/>
  <c r="H19" i="6"/>
  <c r="I19" i="6"/>
  <c r="J19" i="6"/>
  <c r="K19" i="6"/>
  <c r="L19" i="6"/>
  <c r="M19" i="6"/>
  <c r="F20" i="6"/>
  <c r="G20" i="6"/>
  <c r="H20" i="6"/>
  <c r="I20" i="6"/>
  <c r="J20" i="6"/>
  <c r="K20" i="6"/>
  <c r="L20" i="6"/>
  <c r="M20" i="6"/>
  <c r="E21" i="6"/>
  <c r="F23" i="6"/>
  <c r="G23" i="6"/>
  <c r="H23" i="6"/>
  <c r="I23" i="6"/>
  <c r="J23" i="6"/>
  <c r="K23" i="6"/>
  <c r="L23" i="6"/>
  <c r="M23" i="6"/>
  <c r="E24" i="6"/>
  <c r="F30" i="6"/>
  <c r="G30" i="6"/>
  <c r="H30" i="6"/>
  <c r="I30" i="6"/>
  <c r="J30" i="6"/>
  <c r="K30" i="6"/>
  <c r="L30" i="6"/>
  <c r="M30" i="6"/>
  <c r="F31" i="6"/>
  <c r="G31" i="6"/>
  <c r="H31" i="6"/>
  <c r="I31" i="6"/>
  <c r="J31" i="6"/>
  <c r="K31" i="6"/>
  <c r="L31" i="6"/>
  <c r="M31" i="6"/>
  <c r="E35" i="6"/>
  <c r="F38" i="6"/>
  <c r="G38" i="6"/>
  <c r="H38" i="6"/>
  <c r="I38" i="6"/>
  <c r="J38" i="6"/>
  <c r="K38" i="6"/>
  <c r="L38" i="6"/>
  <c r="M38" i="6"/>
  <c r="F39" i="6"/>
  <c r="G39" i="6"/>
  <c r="H39" i="6"/>
  <c r="J39" i="6"/>
  <c r="K39" i="6"/>
  <c r="F40" i="6"/>
  <c r="G40" i="6"/>
  <c r="H40" i="6"/>
  <c r="I40" i="6"/>
  <c r="J40" i="6"/>
  <c r="K40" i="6"/>
  <c r="L40" i="6"/>
  <c r="M40" i="6"/>
  <c r="F41" i="6"/>
  <c r="G41" i="6"/>
  <c r="H41" i="6"/>
  <c r="J41" i="6"/>
  <c r="K41" i="6"/>
  <c r="L41" i="6"/>
  <c r="E43" i="6"/>
  <c r="F47" i="6"/>
  <c r="G47" i="6"/>
  <c r="H47" i="6"/>
  <c r="J47" i="6"/>
  <c r="K47" i="6"/>
  <c r="L47" i="6"/>
  <c r="F48" i="6"/>
  <c r="G48" i="6"/>
  <c r="H48" i="6"/>
  <c r="I48" i="6"/>
  <c r="J48" i="6"/>
  <c r="K48" i="6"/>
  <c r="L48" i="6"/>
  <c r="M48" i="6"/>
  <c r="F49" i="6"/>
  <c r="G49" i="6"/>
  <c r="H49" i="6"/>
  <c r="I49" i="6"/>
  <c r="J49" i="6"/>
  <c r="K49" i="6"/>
  <c r="L49" i="6"/>
  <c r="M49" i="6"/>
  <c r="F50" i="6"/>
  <c r="G50" i="6"/>
  <c r="H50" i="6"/>
  <c r="I50" i="6"/>
  <c r="J50" i="6"/>
  <c r="K50" i="6"/>
  <c r="L50" i="6"/>
  <c r="M50" i="6"/>
  <c r="E51" i="6"/>
  <c r="F54" i="6"/>
  <c r="G54" i="6"/>
  <c r="H54" i="6"/>
  <c r="I54" i="6"/>
  <c r="J54" i="6"/>
  <c r="K54" i="6"/>
  <c r="L54" i="6"/>
  <c r="M54" i="6"/>
  <c r="F55" i="6"/>
  <c r="G55" i="6"/>
  <c r="H55" i="6"/>
  <c r="I55" i="6"/>
  <c r="J55" i="6"/>
  <c r="K55" i="6"/>
  <c r="L55" i="6"/>
  <c r="M55" i="6"/>
  <c r="F56" i="6"/>
  <c r="G56" i="6"/>
  <c r="H56" i="6"/>
  <c r="I56" i="6"/>
  <c r="J56" i="6"/>
  <c r="K56" i="6"/>
  <c r="L56" i="6"/>
  <c r="M56" i="6"/>
  <c r="E57" i="6"/>
  <c r="F60" i="6"/>
  <c r="G60" i="6"/>
  <c r="H60" i="6"/>
  <c r="I60" i="6"/>
  <c r="J60" i="6"/>
  <c r="K60" i="6"/>
  <c r="L60" i="6"/>
  <c r="M60" i="6"/>
  <c r="F61" i="6"/>
  <c r="G61" i="6"/>
  <c r="H61" i="6"/>
  <c r="I61" i="6"/>
  <c r="J61" i="6"/>
  <c r="K61" i="6"/>
  <c r="L61" i="6"/>
  <c r="M61" i="6"/>
  <c r="E62" i="6"/>
  <c r="E72" i="6"/>
  <c r="E76" i="6"/>
  <c r="E79" i="6" s="1"/>
  <c r="E83" i="6" s="1"/>
  <c r="A7" i="5"/>
  <c r="A8" i="5" s="1"/>
  <c r="A9" i="5" s="1"/>
  <c r="A10" i="5" s="1"/>
  <c r="A11" i="5" s="1"/>
  <c r="A12" i="5" s="1"/>
  <c r="A13" i="5" s="1"/>
  <c r="A14" i="5" s="1"/>
  <c r="A15" i="5" s="1"/>
  <c r="J10" i="5"/>
  <c r="K10" i="5"/>
  <c r="T184" i="4"/>
  <c r="A124" i="2"/>
  <c r="A125" i="2" s="1"/>
  <c r="A126" i="2" s="1"/>
  <c r="A127" i="2" s="1"/>
  <c r="A128" i="2" s="1"/>
  <c r="A129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6" i="2" s="1"/>
  <c r="A157" i="2" s="1"/>
  <c r="A158" i="2" s="1"/>
  <c r="A159" i="2" s="1"/>
  <c r="A160" i="2" s="1"/>
  <c r="A161" i="2" s="1"/>
  <c r="A162" i="2" s="1"/>
  <c r="A165" i="2" s="1"/>
  <c r="A166" i="2" s="1"/>
  <c r="A167" i="2" s="1"/>
  <c r="A168" i="2" s="1"/>
  <c r="A171" i="2" s="1"/>
  <c r="A172" i="2" s="1"/>
  <c r="A173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9" i="2" s="1"/>
  <c r="A190" i="2" s="1"/>
  <c r="A192" i="2" s="1"/>
  <c r="A194" i="2" s="1"/>
  <c r="A196" i="2" s="1"/>
  <c r="A201" i="2" s="1"/>
  <c r="A202" i="2" s="1"/>
  <c r="A203" i="2" s="1"/>
  <c r="A204" i="2" s="1"/>
  <c r="A205" i="2" s="1"/>
  <c r="A206" i="2" s="1"/>
  <c r="A207" i="2" s="1"/>
  <c r="A208" i="2" s="1"/>
  <c r="A211" i="2" s="1"/>
  <c r="A212" i="2" s="1"/>
  <c r="A213" i="2" s="1"/>
  <c r="A214" i="2" s="1"/>
  <c r="A215" i="2" s="1"/>
  <c r="A217" i="2" s="1"/>
  <c r="A222" i="2" s="1"/>
  <c r="A223" i="2" s="1"/>
  <c r="A224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I13" i="2"/>
  <c r="H10" i="4" s="1"/>
  <c r="I14" i="2"/>
  <c r="H11" i="4" s="1"/>
  <c r="I17" i="2"/>
  <c r="H14" i="4" s="1"/>
  <c r="I18" i="2"/>
  <c r="H15" i="4" s="1"/>
  <c r="Q19" i="2"/>
  <c r="R19" i="2"/>
  <c r="S19" i="2"/>
  <c r="T19" i="2"/>
  <c r="U19" i="2"/>
  <c r="V19" i="2"/>
  <c r="X19" i="2"/>
  <c r="W19" i="2"/>
  <c r="Y19" i="2"/>
  <c r="Z19" i="2"/>
  <c r="AA19" i="2"/>
  <c r="AB19" i="2"/>
  <c r="AD19" i="2"/>
  <c r="I31" i="2"/>
  <c r="I34" i="2"/>
  <c r="I37" i="2"/>
  <c r="H34" i="4" s="1"/>
  <c r="I38" i="2"/>
  <c r="H35" i="4" s="1"/>
  <c r="I39" i="2"/>
  <c r="H36" i="4" s="1"/>
  <c r="I40" i="2"/>
  <c r="H37" i="4" s="1"/>
  <c r="I41" i="2"/>
  <c r="H38" i="4" s="1"/>
  <c r="I42" i="2"/>
  <c r="H39" i="4" s="1"/>
  <c r="I43" i="2"/>
  <c r="I44" i="2"/>
  <c r="I45" i="2"/>
  <c r="H46" i="2"/>
  <c r="Q46" i="2"/>
  <c r="R46" i="2"/>
  <c r="S46" i="2"/>
  <c r="T46" i="2"/>
  <c r="U46" i="2"/>
  <c r="V46" i="2"/>
  <c r="X46" i="2"/>
  <c r="W46" i="2"/>
  <c r="Y46" i="2"/>
  <c r="Z46" i="2"/>
  <c r="AA46" i="2"/>
  <c r="AB46" i="2"/>
  <c r="AD46" i="2"/>
  <c r="I49" i="2"/>
  <c r="H46" i="4" s="1"/>
  <c r="G50" i="2"/>
  <c r="G56" i="2" s="1"/>
  <c r="Q50" i="2"/>
  <c r="R50" i="2"/>
  <c r="S50" i="2"/>
  <c r="T50" i="2"/>
  <c r="U50" i="2"/>
  <c r="V50" i="2"/>
  <c r="X50" i="2"/>
  <c r="W50" i="2"/>
  <c r="Y50" i="2"/>
  <c r="Z50" i="2"/>
  <c r="AA50" i="2"/>
  <c r="AB50" i="2"/>
  <c r="AD50" i="2"/>
  <c r="I53" i="2"/>
  <c r="Q54" i="2"/>
  <c r="R54" i="2"/>
  <c r="S54" i="2"/>
  <c r="T54" i="2"/>
  <c r="U54" i="2"/>
  <c r="V54" i="2"/>
  <c r="X54" i="2"/>
  <c r="W54" i="2"/>
  <c r="Y54" i="2"/>
  <c r="Z54" i="2"/>
  <c r="AA54" i="2"/>
  <c r="AB54" i="2"/>
  <c r="AD54" i="2"/>
  <c r="I61" i="2"/>
  <c r="H57" i="4" s="1"/>
  <c r="I62" i="2"/>
  <c r="H58" i="4" s="1"/>
  <c r="I63" i="2"/>
  <c r="H59" i="4" s="1"/>
  <c r="H64" i="2"/>
  <c r="I65" i="2"/>
  <c r="H61" i="4" s="1"/>
  <c r="Q66" i="2"/>
  <c r="Q68" i="2" s="1"/>
  <c r="R66" i="2"/>
  <c r="R68" i="2" s="1"/>
  <c r="S66" i="2"/>
  <c r="S68" i="2" s="1"/>
  <c r="T66" i="2"/>
  <c r="T68" i="2" s="1"/>
  <c r="U66" i="2"/>
  <c r="U68" i="2" s="1"/>
  <c r="V66" i="2"/>
  <c r="V68" i="2" s="1"/>
  <c r="X66" i="2"/>
  <c r="X68" i="2" s="1"/>
  <c r="W66" i="2"/>
  <c r="W68" i="2" s="1"/>
  <c r="Y66" i="2"/>
  <c r="Y68" i="2" s="1"/>
  <c r="Z66" i="2"/>
  <c r="Z68" i="2" s="1"/>
  <c r="AA66" i="2"/>
  <c r="AA68" i="2" s="1"/>
  <c r="AB66" i="2"/>
  <c r="AB68" i="2" s="1"/>
  <c r="AD66" i="2"/>
  <c r="AD68" i="2" s="1"/>
  <c r="I74" i="2"/>
  <c r="H70" i="4" s="1"/>
  <c r="I75" i="2"/>
  <c r="H71" i="4" s="1"/>
  <c r="I76" i="2"/>
  <c r="H72" i="4" s="1"/>
  <c r="Q78" i="2"/>
  <c r="R78" i="2"/>
  <c r="S78" i="2"/>
  <c r="T78" i="2"/>
  <c r="U78" i="2"/>
  <c r="V78" i="2"/>
  <c r="X78" i="2"/>
  <c r="W78" i="2"/>
  <c r="Y78" i="2"/>
  <c r="Z78" i="2"/>
  <c r="AA78" i="2"/>
  <c r="AB78" i="2"/>
  <c r="AD78" i="2"/>
  <c r="I80" i="2"/>
  <c r="H76" i="4" s="1"/>
  <c r="I82" i="2"/>
  <c r="H78" i="4" s="1"/>
  <c r="I83" i="2"/>
  <c r="H79" i="4" s="1"/>
  <c r="I84" i="2"/>
  <c r="H80" i="4" s="1"/>
  <c r="I85" i="2"/>
  <c r="H81" i="4" s="1"/>
  <c r="H86" i="2"/>
  <c r="Q86" i="2"/>
  <c r="R86" i="2"/>
  <c r="S86" i="2"/>
  <c r="T86" i="2"/>
  <c r="U86" i="2"/>
  <c r="V86" i="2"/>
  <c r="X86" i="2"/>
  <c r="W86" i="2"/>
  <c r="Y86" i="2"/>
  <c r="Z86" i="2"/>
  <c r="AA86" i="2"/>
  <c r="AB86" i="2"/>
  <c r="AD86" i="2"/>
  <c r="I97" i="2"/>
  <c r="I98" i="2"/>
  <c r="H94" i="4" s="1"/>
  <c r="I99" i="2"/>
  <c r="H95" i="4" s="1"/>
  <c r="I100" i="2"/>
  <c r="H96" i="4" s="1"/>
  <c r="I101" i="2"/>
  <c r="H97" i="4" s="1"/>
  <c r="I102" i="2"/>
  <c r="H98" i="4" s="1"/>
  <c r="I104" i="2"/>
  <c r="I105" i="2"/>
  <c r="H101" i="4" s="1"/>
  <c r="I106" i="2"/>
  <c r="H102" i="4" s="1"/>
  <c r="I110" i="2"/>
  <c r="H106" i="4" s="1"/>
  <c r="I111" i="2"/>
  <c r="H107" i="4" s="1"/>
  <c r="Q112" i="2"/>
  <c r="R112" i="2"/>
  <c r="S112" i="2"/>
  <c r="T112" i="2"/>
  <c r="U112" i="2"/>
  <c r="V112" i="2"/>
  <c r="X112" i="2"/>
  <c r="W112" i="2"/>
  <c r="Y112" i="2"/>
  <c r="Z112" i="2"/>
  <c r="AA112" i="2"/>
  <c r="AB112" i="2"/>
  <c r="AD112" i="2"/>
  <c r="Q129" i="2"/>
  <c r="S129" i="2"/>
  <c r="T129" i="2"/>
  <c r="U129" i="2"/>
  <c r="V129" i="2"/>
  <c r="X129" i="2"/>
  <c r="W129" i="2"/>
  <c r="Y129" i="2"/>
  <c r="Z129" i="2"/>
  <c r="AA129" i="2"/>
  <c r="AB129" i="2"/>
  <c r="AD129" i="2"/>
  <c r="I133" i="2"/>
  <c r="H129" i="4" s="1"/>
  <c r="I134" i="2"/>
  <c r="H130" i="4" s="1"/>
  <c r="I135" i="2"/>
  <c r="H131" i="4" s="1"/>
  <c r="I136" i="2"/>
  <c r="H132" i="4" s="1"/>
  <c r="I137" i="2"/>
  <c r="H133" i="4" s="1"/>
  <c r="I138" i="2"/>
  <c r="H134" i="4" s="1"/>
  <c r="I139" i="2"/>
  <c r="H135" i="4" s="1"/>
  <c r="I140" i="2"/>
  <c r="H136" i="4" s="1"/>
  <c r="I141" i="2"/>
  <c r="H137" i="4" s="1"/>
  <c r="I142" i="2"/>
  <c r="H138" i="4" s="1"/>
  <c r="I144" i="2"/>
  <c r="H140" i="4" s="1"/>
  <c r="I145" i="2"/>
  <c r="H141" i="4" s="1"/>
  <c r="I146" i="2"/>
  <c r="H142" i="4" s="1"/>
  <c r="I147" i="2"/>
  <c r="H143" i="4" s="1"/>
  <c r="I148" i="2"/>
  <c r="H144" i="4" s="1"/>
  <c r="I149" i="2"/>
  <c r="H145" i="4" s="1"/>
  <c r="I150" i="2"/>
  <c r="H146" i="4" s="1"/>
  <c r="I151" i="2"/>
  <c r="H147" i="4" s="1"/>
  <c r="I152" i="2"/>
  <c r="H148" i="4" s="1"/>
  <c r="Q153" i="2"/>
  <c r="R153" i="2"/>
  <c r="S153" i="2"/>
  <c r="T153" i="2"/>
  <c r="U153" i="2"/>
  <c r="V153" i="2"/>
  <c r="X153" i="2"/>
  <c r="W153" i="2"/>
  <c r="Y153" i="2"/>
  <c r="Z153" i="2"/>
  <c r="AA153" i="2"/>
  <c r="AB153" i="2"/>
  <c r="AD153" i="2"/>
  <c r="I156" i="2"/>
  <c r="H152" i="4" s="1"/>
  <c r="I157" i="2"/>
  <c r="I158" i="2"/>
  <c r="I160" i="2"/>
  <c r="Q162" i="2"/>
  <c r="R162" i="2"/>
  <c r="S162" i="2"/>
  <c r="T162" i="2"/>
  <c r="U162" i="2"/>
  <c r="V162" i="2"/>
  <c r="X162" i="2"/>
  <c r="W162" i="2"/>
  <c r="Y162" i="2"/>
  <c r="Z162" i="2"/>
  <c r="AA162" i="2"/>
  <c r="AB162" i="2"/>
  <c r="AD162" i="2"/>
  <c r="I165" i="2"/>
  <c r="H161" i="4" s="1"/>
  <c r="I166" i="2"/>
  <c r="H162" i="4" s="1"/>
  <c r="I167" i="2"/>
  <c r="H163" i="4" s="1"/>
  <c r="Q168" i="2"/>
  <c r="R168" i="2"/>
  <c r="S168" i="2"/>
  <c r="T168" i="2"/>
  <c r="U168" i="2"/>
  <c r="V168" i="2"/>
  <c r="X168" i="2"/>
  <c r="W168" i="2"/>
  <c r="Y168" i="2"/>
  <c r="Z168" i="2"/>
  <c r="AA168" i="2"/>
  <c r="AB168" i="2"/>
  <c r="AD168" i="2"/>
  <c r="I171" i="2"/>
  <c r="H167" i="4" s="1"/>
  <c r="I172" i="2"/>
  <c r="H168" i="4" s="1"/>
  <c r="Q173" i="2"/>
  <c r="R173" i="2"/>
  <c r="S173" i="2"/>
  <c r="T173" i="2"/>
  <c r="U173" i="2"/>
  <c r="V173" i="2"/>
  <c r="X173" i="2"/>
  <c r="W173" i="2"/>
  <c r="Y173" i="2"/>
  <c r="Z173" i="2"/>
  <c r="AA173" i="2"/>
  <c r="AB173" i="2"/>
  <c r="AD173" i="2"/>
  <c r="I177" i="2"/>
  <c r="H173" i="4" s="1"/>
  <c r="I178" i="2"/>
  <c r="H174" i="4" s="1"/>
  <c r="I179" i="2"/>
  <c r="H175" i="4" s="1"/>
  <c r="I180" i="2"/>
  <c r="H176" i="4" s="1"/>
  <c r="I181" i="2"/>
  <c r="H177" i="4" s="1"/>
  <c r="I182" i="2"/>
  <c r="H178" i="4" s="1"/>
  <c r="I183" i="2"/>
  <c r="H179" i="4" s="1"/>
  <c r="I184" i="2"/>
  <c r="H180" i="4" s="1"/>
  <c r="I185" i="2"/>
  <c r="H181" i="4" s="1"/>
  <c r="I186" i="2"/>
  <c r="H182" i="4" s="1"/>
  <c r="I187" i="2"/>
  <c r="H183" i="4" s="1"/>
  <c r="I189" i="2"/>
  <c r="H185" i="4" s="1"/>
  <c r="Q190" i="2"/>
  <c r="R190" i="2"/>
  <c r="S190" i="2"/>
  <c r="T190" i="2"/>
  <c r="U190" i="2"/>
  <c r="V190" i="2"/>
  <c r="X190" i="2"/>
  <c r="W190" i="2"/>
  <c r="Y190" i="2"/>
  <c r="Z190" i="2"/>
  <c r="AA190" i="2"/>
  <c r="AB190" i="2"/>
  <c r="AD190" i="2"/>
  <c r="I201" i="2"/>
  <c r="H192" i="4" s="1"/>
  <c r="I202" i="2"/>
  <c r="H193" i="4" s="1"/>
  <c r="I203" i="2"/>
  <c r="H194" i="4" s="1"/>
  <c r="H195" i="4"/>
  <c r="I205" i="2"/>
  <c r="H196" i="4" s="1"/>
  <c r="I206" i="2"/>
  <c r="H197" i="4" s="1"/>
  <c r="I207" i="2"/>
  <c r="H198" i="4" s="1"/>
  <c r="Q208" i="2"/>
  <c r="R208" i="2"/>
  <c r="S208" i="2"/>
  <c r="U208" i="2"/>
  <c r="V208" i="2"/>
  <c r="X208" i="2"/>
  <c r="W208" i="2"/>
  <c r="Y208" i="2"/>
  <c r="Z208" i="2"/>
  <c r="AA208" i="2"/>
  <c r="AB208" i="2"/>
  <c r="AD208" i="2"/>
  <c r="I212" i="2"/>
  <c r="H203" i="4" s="1"/>
  <c r="I213" i="2"/>
  <c r="H204" i="4" s="1"/>
  <c r="I214" i="2"/>
  <c r="H205" i="4" s="1"/>
  <c r="G215" i="2"/>
  <c r="Q215" i="2"/>
  <c r="R215" i="2"/>
  <c r="S215" i="2"/>
  <c r="T215" i="2"/>
  <c r="U215" i="2"/>
  <c r="V215" i="2"/>
  <c r="X215" i="2"/>
  <c r="W215" i="2"/>
  <c r="Y215" i="2"/>
  <c r="Z215" i="2"/>
  <c r="AA215" i="2"/>
  <c r="AB215" i="2"/>
  <c r="AD215" i="2"/>
  <c r="I222" i="2"/>
  <c r="I224" i="2" s="1"/>
  <c r="Q236" i="2"/>
  <c r="R236" i="2"/>
  <c r="S236" i="2"/>
  <c r="T236" i="2"/>
  <c r="U236" i="2"/>
  <c r="V236" i="2"/>
  <c r="X236" i="2"/>
  <c r="W236" i="2"/>
  <c r="Y236" i="2"/>
  <c r="Z236" i="2"/>
  <c r="AA236" i="2"/>
  <c r="AB236" i="2"/>
  <c r="AD236" i="2"/>
  <c r="I248" i="2"/>
  <c r="H236" i="4" s="1"/>
  <c r="G250" i="2"/>
  <c r="Q250" i="2"/>
  <c r="R250" i="2"/>
  <c r="S250" i="2"/>
  <c r="T250" i="2"/>
  <c r="U250" i="2"/>
  <c r="V250" i="2"/>
  <c r="X250" i="2"/>
  <c r="W250" i="2"/>
  <c r="Y250" i="2"/>
  <c r="Z250" i="2"/>
  <c r="AA250" i="2"/>
  <c r="AB250" i="2"/>
  <c r="AD250" i="2"/>
  <c r="I260" i="2"/>
  <c r="H246" i="4" s="1"/>
  <c r="I264" i="2"/>
  <c r="H250" i="4" s="1"/>
  <c r="A238" i="2" l="1"/>
  <c r="A241" i="2" s="1"/>
  <c r="A242" i="2" s="1"/>
  <c r="A243" i="2" s="1"/>
  <c r="A245" i="2" s="1"/>
  <c r="A248" i="2" s="1"/>
  <c r="A249" i="2" s="1"/>
  <c r="A250" i="2" s="1"/>
  <c r="A252" i="2" s="1"/>
  <c r="A258" i="2" s="1"/>
  <c r="A259" i="2" s="1"/>
  <c r="A260" i="2" s="1"/>
  <c r="A261" i="2" s="1"/>
  <c r="A262" i="2" s="1"/>
  <c r="A263" i="2" s="1"/>
  <c r="A264" i="2" s="1"/>
  <c r="A265" i="2" s="1"/>
  <c r="A267" i="2" s="1"/>
  <c r="A269" i="2" s="1"/>
  <c r="A271" i="2" s="1"/>
  <c r="A273" i="2" s="1"/>
  <c r="F51" i="22"/>
  <c r="E50" i="22"/>
  <c r="D50" i="22"/>
  <c r="E52" i="22"/>
  <c r="D52" i="22"/>
  <c r="E49" i="22"/>
  <c r="D49" i="22"/>
  <c r="L39" i="6"/>
  <c r="O10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R98" i="4"/>
  <c r="S98" i="4"/>
  <c r="R11" i="4"/>
  <c r="S11" i="4"/>
  <c r="R70" i="4"/>
  <c r="S70" i="4"/>
  <c r="R146" i="4"/>
  <c r="S146" i="4"/>
  <c r="R97" i="4"/>
  <c r="S97" i="4"/>
  <c r="R39" i="4"/>
  <c r="S39" i="4"/>
  <c r="S10" i="4"/>
  <c r="R10" i="4"/>
  <c r="R194" i="4"/>
  <c r="S194" i="4"/>
  <c r="S161" i="4"/>
  <c r="R161" i="4"/>
  <c r="R145" i="4"/>
  <c r="S145" i="4"/>
  <c r="R96" i="4"/>
  <c r="S96" i="4"/>
  <c r="S57" i="4"/>
  <c r="R57" i="4"/>
  <c r="R38" i="4"/>
  <c r="S38" i="4"/>
  <c r="R144" i="4"/>
  <c r="S144" i="4"/>
  <c r="R107" i="4"/>
  <c r="S107" i="4"/>
  <c r="R95" i="4"/>
  <c r="S95" i="4"/>
  <c r="S37" i="4"/>
  <c r="R37" i="4"/>
  <c r="R167" i="4"/>
  <c r="S167" i="4"/>
  <c r="R143" i="4"/>
  <c r="S143" i="4"/>
  <c r="R134" i="4"/>
  <c r="S134" i="4"/>
  <c r="R106" i="4"/>
  <c r="S106" i="4"/>
  <c r="R94" i="4"/>
  <c r="S94" i="4"/>
  <c r="R36" i="4"/>
  <c r="S36" i="4"/>
  <c r="R142" i="4"/>
  <c r="S142" i="4"/>
  <c r="R133" i="4"/>
  <c r="S133" i="4"/>
  <c r="R102" i="4"/>
  <c r="S102" i="4"/>
  <c r="R35" i="4"/>
  <c r="S35" i="4"/>
  <c r="S101" i="4"/>
  <c r="R101" i="4"/>
  <c r="R79" i="4"/>
  <c r="S79" i="4"/>
  <c r="R34" i="4"/>
  <c r="S34" i="4"/>
  <c r="R15" i="4"/>
  <c r="S15" i="4"/>
  <c r="R163" i="4"/>
  <c r="S163" i="4"/>
  <c r="R132" i="4"/>
  <c r="S132" i="4"/>
  <c r="R193" i="4"/>
  <c r="S193" i="4"/>
  <c r="R168" i="4"/>
  <c r="S168" i="4"/>
  <c r="R162" i="4"/>
  <c r="S162" i="4"/>
  <c r="R78" i="4"/>
  <c r="S78" i="4"/>
  <c r="R14" i="4"/>
  <c r="S14" i="4"/>
  <c r="C56" i="22"/>
  <c r="V88" i="2"/>
  <c r="F53" i="22"/>
  <c r="F52" i="22"/>
  <c r="D53" i="22"/>
  <c r="F50" i="22"/>
  <c r="D51" i="22"/>
  <c r="F49" i="22"/>
  <c r="Q95" i="4"/>
  <c r="Q79" i="4"/>
  <c r="Q70" i="4"/>
  <c r="Q39" i="4"/>
  <c r="Q21" i="5"/>
  <c r="Q37" i="4"/>
  <c r="Q20" i="5"/>
  <c r="Q35" i="4"/>
  <c r="Q15" i="4"/>
  <c r="Q11" i="4"/>
  <c r="Q144" i="4"/>
  <c r="Q133" i="4"/>
  <c r="Q106" i="4"/>
  <c r="Q96" i="4"/>
  <c r="Q78" i="4"/>
  <c r="Q57" i="4"/>
  <c r="Q38" i="4"/>
  <c r="Q36" i="4"/>
  <c r="Q34" i="4"/>
  <c r="Q14" i="4"/>
  <c r="Q10" i="4"/>
  <c r="Q194" i="4"/>
  <c r="Q193" i="4"/>
  <c r="Q168" i="4"/>
  <c r="Q167" i="4"/>
  <c r="Q163" i="4"/>
  <c r="Q162" i="4"/>
  <c r="Q161" i="4"/>
  <c r="Q146" i="4"/>
  <c r="Q145" i="4"/>
  <c r="Q143" i="4"/>
  <c r="Q142" i="4"/>
  <c r="Q134" i="4"/>
  <c r="Q132" i="4"/>
  <c r="Q107" i="4"/>
  <c r="Q102" i="4"/>
  <c r="Q101" i="4"/>
  <c r="Q98" i="4"/>
  <c r="Q97" i="4"/>
  <c r="Q94" i="4"/>
  <c r="J193" i="4"/>
  <c r="J167" i="4"/>
  <c r="J161" i="4"/>
  <c r="L146" i="4"/>
  <c r="P144" i="4"/>
  <c r="P142" i="4"/>
  <c r="P133" i="4"/>
  <c r="I106" i="4"/>
  <c r="I101" i="4"/>
  <c r="L98" i="4"/>
  <c r="L96" i="4"/>
  <c r="I94" i="4"/>
  <c r="I57" i="4"/>
  <c r="I38" i="4"/>
  <c r="I14" i="4"/>
  <c r="I10" i="4"/>
  <c r="J194" i="4"/>
  <c r="P162" i="4"/>
  <c r="L145" i="4"/>
  <c r="P143" i="4"/>
  <c r="P134" i="4"/>
  <c r="P132" i="4"/>
  <c r="I107" i="4"/>
  <c r="I102" i="4"/>
  <c r="L97" i="4"/>
  <c r="L95" i="4"/>
  <c r="J79" i="4"/>
  <c r="I70" i="4"/>
  <c r="P39" i="4"/>
  <c r="N39" i="4"/>
  <c r="L39" i="4"/>
  <c r="J39" i="4"/>
  <c r="O39" i="4"/>
  <c r="M39" i="4"/>
  <c r="K39" i="4"/>
  <c r="I39" i="4"/>
  <c r="I37" i="4"/>
  <c r="I15" i="4"/>
  <c r="I11" i="4"/>
  <c r="E78" i="6"/>
  <c r="E81" i="6" s="1"/>
  <c r="M47" i="6"/>
  <c r="I47" i="6"/>
  <c r="M41" i="6"/>
  <c r="I41" i="6"/>
  <c r="M39" i="6"/>
  <c r="I39" i="6"/>
  <c r="Q196" i="2"/>
  <c r="H100" i="4"/>
  <c r="K100" i="4" s="1"/>
  <c r="H93" i="4"/>
  <c r="H156" i="4"/>
  <c r="M156" i="4" s="1"/>
  <c r="H153" i="4"/>
  <c r="H157" i="4"/>
  <c r="K157" i="4" s="1"/>
  <c r="H154" i="4"/>
  <c r="K154" i="4" s="1"/>
  <c r="X196" i="2"/>
  <c r="X241" i="2" s="1"/>
  <c r="AD56" i="2"/>
  <c r="Y56" i="2"/>
  <c r="U56" i="2"/>
  <c r="AA196" i="2"/>
  <c r="AA241" i="2" s="1"/>
  <c r="S196" i="2"/>
  <c r="S241" i="2" s="1"/>
  <c r="H42" i="4"/>
  <c r="H40" i="4"/>
  <c r="M40" i="4" s="1"/>
  <c r="O34" i="4"/>
  <c r="M34" i="4"/>
  <c r="K34" i="4"/>
  <c r="I34" i="4"/>
  <c r="P34" i="4"/>
  <c r="N34" i="4"/>
  <c r="L34" i="4"/>
  <c r="J34" i="4"/>
  <c r="H31" i="4"/>
  <c r="P31" i="4" s="1"/>
  <c r="H41" i="4"/>
  <c r="AA217" i="2"/>
  <c r="AA242" i="2" s="1"/>
  <c r="AB196" i="2"/>
  <c r="AB241" i="2" s="1"/>
  <c r="Z196" i="2"/>
  <c r="Z241" i="2" s="1"/>
  <c r="AD88" i="2"/>
  <c r="U88" i="2"/>
  <c r="I81" i="2"/>
  <c r="H77" i="4" s="1"/>
  <c r="AB238" i="2"/>
  <c r="AA238" i="2"/>
  <c r="Y238" i="2"/>
  <c r="X238" i="2"/>
  <c r="U238" i="2"/>
  <c r="Q238" i="2"/>
  <c r="T238" i="2"/>
  <c r="Y88" i="2"/>
  <c r="S238" i="2"/>
  <c r="AD196" i="2"/>
  <c r="AD241" i="2" s="1"/>
  <c r="Y196" i="2"/>
  <c r="Y241" i="2" s="1"/>
  <c r="U196" i="2"/>
  <c r="U241" i="2" s="1"/>
  <c r="I108" i="2"/>
  <c r="H104" i="4" s="1"/>
  <c r="AA56" i="2"/>
  <c r="X56" i="2"/>
  <c r="S56" i="2"/>
  <c r="Q56" i="2"/>
  <c r="I35" i="2"/>
  <c r="H32" i="4" s="1"/>
  <c r="AB217" i="2"/>
  <c r="AB242" i="2" s="1"/>
  <c r="Z217" i="2"/>
  <c r="Z242" i="2" s="1"/>
  <c r="W217" i="2"/>
  <c r="W242" i="2" s="1"/>
  <c r="V217" i="2"/>
  <c r="V242" i="2" s="1"/>
  <c r="T217" i="2"/>
  <c r="T242" i="2" s="1"/>
  <c r="R217" i="2"/>
  <c r="R242" i="2" s="1"/>
  <c r="S217" i="2"/>
  <c r="S242" i="2" s="1"/>
  <c r="P122" i="4"/>
  <c r="P117" i="4"/>
  <c r="H118" i="2"/>
  <c r="I118" i="2" s="1"/>
  <c r="H114" i="4" s="1"/>
  <c r="H116" i="2"/>
  <c r="AB56" i="2"/>
  <c r="Z56" i="2"/>
  <c r="W56" i="2"/>
  <c r="V56" i="2"/>
  <c r="T56" i="2"/>
  <c r="R56" i="2"/>
  <c r="H128" i="2"/>
  <c r="I128" i="2" s="1"/>
  <c r="H120" i="2"/>
  <c r="H117" i="2"/>
  <c r="I117" i="2" s="1"/>
  <c r="H113" i="4" s="1"/>
  <c r="H27" i="4"/>
  <c r="I54" i="2"/>
  <c r="H50" i="4"/>
  <c r="I50" i="2"/>
  <c r="I36" i="4"/>
  <c r="I35" i="4"/>
  <c r="P193" i="4"/>
  <c r="P70" i="4"/>
  <c r="P10" i="4"/>
  <c r="P194" i="4"/>
  <c r="L193" i="4"/>
  <c r="P167" i="4"/>
  <c r="P106" i="4"/>
  <c r="L106" i="4"/>
  <c r="P97" i="4"/>
  <c r="L70" i="4"/>
  <c r="L10" i="4"/>
  <c r="L194" i="4"/>
  <c r="N37" i="4"/>
  <c r="P107" i="4"/>
  <c r="P38" i="4"/>
  <c r="P37" i="4"/>
  <c r="L37" i="4"/>
  <c r="N10" i="4"/>
  <c r="J10" i="4"/>
  <c r="Q28" i="5"/>
  <c r="F9" i="6"/>
  <c r="P9" i="6"/>
  <c r="L9" i="6"/>
  <c r="J9" i="6"/>
  <c r="H9" i="6"/>
  <c r="M9" i="6"/>
  <c r="K9" i="6"/>
  <c r="I9" i="6"/>
  <c r="G9" i="6"/>
  <c r="M21" i="6"/>
  <c r="M12" i="6"/>
  <c r="G62" i="6"/>
  <c r="P24" i="6"/>
  <c r="L24" i="6"/>
  <c r="J24" i="6"/>
  <c r="H24" i="6"/>
  <c r="F24" i="6"/>
  <c r="L57" i="6"/>
  <c r="J57" i="6"/>
  <c r="H57" i="6"/>
  <c r="F57" i="6"/>
  <c r="M57" i="6"/>
  <c r="P21" i="6"/>
  <c r="L21" i="6"/>
  <c r="J21" i="6"/>
  <c r="H21" i="6"/>
  <c r="F21" i="6"/>
  <c r="I21" i="6"/>
  <c r="I12" i="6"/>
  <c r="P12" i="6"/>
  <c r="L12" i="6"/>
  <c r="J12" i="6"/>
  <c r="H12" i="6"/>
  <c r="F12" i="6"/>
  <c r="I24" i="6"/>
  <c r="M62" i="6"/>
  <c r="K62" i="6"/>
  <c r="I62" i="6"/>
  <c r="I57" i="6"/>
  <c r="G24" i="6"/>
  <c r="K21" i="6"/>
  <c r="G21" i="6"/>
  <c r="K12" i="6"/>
  <c r="G12" i="6"/>
  <c r="K57" i="6"/>
  <c r="G57" i="6"/>
  <c r="P62" i="6"/>
  <c r="L62" i="6"/>
  <c r="J62" i="6"/>
  <c r="H62" i="6"/>
  <c r="F62" i="6"/>
  <c r="M24" i="6"/>
  <c r="K24" i="6"/>
  <c r="P161" i="4"/>
  <c r="N106" i="4"/>
  <c r="J106" i="4"/>
  <c r="P94" i="4"/>
  <c r="P11" i="4"/>
  <c r="P145" i="4"/>
  <c r="L107" i="4"/>
  <c r="P95" i="4"/>
  <c r="L94" i="4"/>
  <c r="P79" i="4"/>
  <c r="L38" i="4"/>
  <c r="O37" i="4"/>
  <c r="M37" i="4"/>
  <c r="J37" i="4"/>
  <c r="P36" i="4"/>
  <c r="P35" i="4"/>
  <c r="L11" i="4"/>
  <c r="J168" i="4"/>
  <c r="P168" i="4"/>
  <c r="H169" i="4"/>
  <c r="I162" i="4"/>
  <c r="L162" i="4"/>
  <c r="I163" i="4"/>
  <c r="P163" i="4"/>
  <c r="N107" i="4"/>
  <c r="J107" i="4"/>
  <c r="O106" i="4"/>
  <c r="M106" i="4"/>
  <c r="K106" i="4"/>
  <c r="P102" i="4"/>
  <c r="P98" i="4"/>
  <c r="P96" i="4"/>
  <c r="L79" i="4"/>
  <c r="P57" i="4"/>
  <c r="L35" i="4"/>
  <c r="P15" i="4"/>
  <c r="N11" i="4"/>
  <c r="J11" i="4"/>
  <c r="H149" i="4"/>
  <c r="N194" i="4"/>
  <c r="N193" i="4"/>
  <c r="L168" i="4"/>
  <c r="L167" i="4"/>
  <c r="L163" i="4"/>
  <c r="N162" i="4"/>
  <c r="J162" i="4"/>
  <c r="I133" i="4"/>
  <c r="L133" i="4"/>
  <c r="I134" i="4"/>
  <c r="L134" i="4"/>
  <c r="I132" i="4"/>
  <c r="L132" i="4"/>
  <c r="O107" i="4"/>
  <c r="M107" i="4"/>
  <c r="K107" i="4"/>
  <c r="P101" i="4"/>
  <c r="N94" i="4"/>
  <c r="J94" i="4"/>
  <c r="N70" i="4"/>
  <c r="J70" i="4"/>
  <c r="L15" i="4"/>
  <c r="O14" i="4"/>
  <c r="O11" i="4"/>
  <c r="M11" i="4"/>
  <c r="K11" i="4"/>
  <c r="O10" i="4"/>
  <c r="M10" i="4"/>
  <c r="K10" i="4"/>
  <c r="N168" i="4"/>
  <c r="N167" i="4"/>
  <c r="H164" i="4"/>
  <c r="N163" i="4"/>
  <c r="J163" i="4"/>
  <c r="L161" i="4"/>
  <c r="P146" i="4"/>
  <c r="I143" i="4"/>
  <c r="L143" i="4"/>
  <c r="I144" i="4"/>
  <c r="L144" i="4"/>
  <c r="I142" i="4"/>
  <c r="L142" i="4"/>
  <c r="L102" i="4"/>
  <c r="L101" i="4"/>
  <c r="N79" i="4"/>
  <c r="L57" i="4"/>
  <c r="H47" i="4"/>
  <c r="N38" i="4"/>
  <c r="J38" i="4"/>
  <c r="J36" i="4"/>
  <c r="J35" i="4"/>
  <c r="N15" i="4"/>
  <c r="J15" i="4"/>
  <c r="L14" i="4"/>
  <c r="H186" i="4"/>
  <c r="O163" i="4"/>
  <c r="M163" i="4"/>
  <c r="K163" i="4"/>
  <c r="O162" i="4"/>
  <c r="M162" i="4"/>
  <c r="K162" i="4"/>
  <c r="N161" i="4"/>
  <c r="I161" i="4"/>
  <c r="K161" i="4"/>
  <c r="M161" i="4"/>
  <c r="O161" i="4"/>
  <c r="I146" i="4"/>
  <c r="J146" i="4"/>
  <c r="N146" i="4"/>
  <c r="I145" i="4"/>
  <c r="J145" i="4"/>
  <c r="N145" i="4"/>
  <c r="K37" i="4"/>
  <c r="O35" i="4"/>
  <c r="K35" i="4"/>
  <c r="H16" i="4"/>
  <c r="O15" i="4"/>
  <c r="M15" i="4"/>
  <c r="K15" i="4"/>
  <c r="P14" i="4"/>
  <c r="N14" i="4"/>
  <c r="J14" i="4"/>
  <c r="N144" i="4"/>
  <c r="J144" i="4"/>
  <c r="N143" i="4"/>
  <c r="J143" i="4"/>
  <c r="N142" i="4"/>
  <c r="J142" i="4"/>
  <c r="N134" i="4"/>
  <c r="J134" i="4"/>
  <c r="N133" i="4"/>
  <c r="J133" i="4"/>
  <c r="N132" i="4"/>
  <c r="J132" i="4"/>
  <c r="N102" i="4"/>
  <c r="J102" i="4"/>
  <c r="N101" i="4"/>
  <c r="J101" i="4"/>
  <c r="N57" i="4"/>
  <c r="J57" i="4"/>
  <c r="H199" i="4"/>
  <c r="I194" i="4"/>
  <c r="K194" i="4"/>
  <c r="M194" i="4"/>
  <c r="O194" i="4"/>
  <c r="I193" i="4"/>
  <c r="K193" i="4"/>
  <c r="M193" i="4"/>
  <c r="O193" i="4"/>
  <c r="I168" i="4"/>
  <c r="K168" i="4"/>
  <c r="M168" i="4"/>
  <c r="O168" i="4"/>
  <c r="I167" i="4"/>
  <c r="K167" i="4"/>
  <c r="M167" i="4"/>
  <c r="O167" i="4"/>
  <c r="O146" i="4"/>
  <c r="M146" i="4"/>
  <c r="K146" i="4"/>
  <c r="O145" i="4"/>
  <c r="M145" i="4"/>
  <c r="K145" i="4"/>
  <c r="O144" i="4"/>
  <c r="M144" i="4"/>
  <c r="K144" i="4"/>
  <c r="O143" i="4"/>
  <c r="M143" i="4"/>
  <c r="K143" i="4"/>
  <c r="O142" i="4"/>
  <c r="M142" i="4"/>
  <c r="K142" i="4"/>
  <c r="O134" i="4"/>
  <c r="M134" i="4"/>
  <c r="K134" i="4"/>
  <c r="O133" i="4"/>
  <c r="M133" i="4"/>
  <c r="K133" i="4"/>
  <c r="O132" i="4"/>
  <c r="M132" i="4"/>
  <c r="K132" i="4"/>
  <c r="I98" i="4"/>
  <c r="K98" i="4"/>
  <c r="M98" i="4"/>
  <c r="O98" i="4"/>
  <c r="I97" i="4"/>
  <c r="K97" i="4"/>
  <c r="M97" i="4"/>
  <c r="O97" i="4"/>
  <c r="I96" i="4"/>
  <c r="K96" i="4"/>
  <c r="M96" i="4"/>
  <c r="O96" i="4"/>
  <c r="I95" i="4"/>
  <c r="K95" i="4"/>
  <c r="M95" i="4"/>
  <c r="O95" i="4"/>
  <c r="O102" i="4"/>
  <c r="M102" i="4"/>
  <c r="K102" i="4"/>
  <c r="O101" i="4"/>
  <c r="M101" i="4"/>
  <c r="K101" i="4"/>
  <c r="N98" i="4"/>
  <c r="J98" i="4"/>
  <c r="N97" i="4"/>
  <c r="J97" i="4"/>
  <c r="N96" i="4"/>
  <c r="J96" i="4"/>
  <c r="N95" i="4"/>
  <c r="J95" i="4"/>
  <c r="O94" i="4"/>
  <c r="M94" i="4"/>
  <c r="K94" i="4"/>
  <c r="I79" i="4"/>
  <c r="K79" i="4"/>
  <c r="M79" i="4"/>
  <c r="O79" i="4"/>
  <c r="O70" i="4"/>
  <c r="M70" i="4"/>
  <c r="K70" i="4"/>
  <c r="O57" i="4"/>
  <c r="M57" i="4"/>
  <c r="K57" i="4"/>
  <c r="O38" i="4"/>
  <c r="M38" i="4"/>
  <c r="K38" i="4"/>
  <c r="M36" i="4"/>
  <c r="M14" i="4"/>
  <c r="K14" i="4"/>
  <c r="X217" i="2"/>
  <c r="X242" i="2" s="1"/>
  <c r="Q217" i="2"/>
  <c r="Q242" i="2" s="1"/>
  <c r="Z238" i="2"/>
  <c r="W238" i="2"/>
  <c r="V238" i="2"/>
  <c r="R238" i="2"/>
  <c r="I77" i="2"/>
  <c r="H73" i="4" s="1"/>
  <c r="I73" i="2"/>
  <c r="H69" i="4" s="1"/>
  <c r="I249" i="2"/>
  <c r="I211" i="2"/>
  <c r="H202" i="4" s="1"/>
  <c r="H215" i="2"/>
  <c r="AD217" i="2"/>
  <c r="AD242" i="2" s="1"/>
  <c r="Y217" i="2"/>
  <c r="Y242" i="2" s="1"/>
  <c r="U217" i="2"/>
  <c r="U242" i="2" s="1"/>
  <c r="G217" i="2"/>
  <c r="G242" i="2" s="1"/>
  <c r="W196" i="2"/>
  <c r="W241" i="2" s="1"/>
  <c r="V196" i="2"/>
  <c r="V241" i="2" s="1"/>
  <c r="T196" i="2"/>
  <c r="T241" i="2" s="1"/>
  <c r="H173" i="2"/>
  <c r="H162" i="2"/>
  <c r="AB88" i="2"/>
  <c r="Z88" i="2"/>
  <c r="W88" i="2"/>
  <c r="T88" i="2"/>
  <c r="R88" i="2"/>
  <c r="AA88" i="2"/>
  <c r="X88" i="2"/>
  <c r="S88" i="2"/>
  <c r="Q88" i="2"/>
  <c r="H78" i="2"/>
  <c r="H88" i="2" s="1"/>
  <c r="I263" i="2"/>
  <c r="H249" i="4" s="1"/>
  <c r="R129" i="2"/>
  <c r="R196" i="2" s="1"/>
  <c r="R241" i="2" s="1"/>
  <c r="R243" i="2" s="1"/>
  <c r="H54" i="2"/>
  <c r="I173" i="2"/>
  <c r="I162" i="2"/>
  <c r="G66" i="2"/>
  <c r="G68" i="2" s="1"/>
  <c r="G90" i="2" s="1"/>
  <c r="H250" i="2"/>
  <c r="H236" i="2"/>
  <c r="I208" i="2"/>
  <c r="I190" i="2"/>
  <c r="I168" i="2"/>
  <c r="I153" i="2"/>
  <c r="H208" i="2"/>
  <c r="H217" i="2" s="1"/>
  <c r="H242" i="2" s="1"/>
  <c r="H190" i="2"/>
  <c r="H168" i="2"/>
  <c r="H153" i="2"/>
  <c r="H112" i="2"/>
  <c r="I64" i="2"/>
  <c r="H66" i="2"/>
  <c r="H68" i="2" s="1"/>
  <c r="I19" i="2"/>
  <c r="H50" i="2"/>
  <c r="H19" i="2"/>
  <c r="X243" i="2" l="1"/>
  <c r="Z243" i="2"/>
  <c r="AA243" i="2"/>
  <c r="K40" i="4"/>
  <c r="N154" i="4"/>
  <c r="V243" i="2"/>
  <c r="V245" i="2" s="1"/>
  <c r="V252" i="2" s="1"/>
  <c r="V258" i="2" s="1"/>
  <c r="V265" i="2" s="1"/>
  <c r="V267" i="2" s="1"/>
  <c r="V269" i="2" s="1"/>
  <c r="V90" i="2"/>
  <c r="H212" i="4"/>
  <c r="M27" i="4"/>
  <c r="M28" i="4" s="1"/>
  <c r="R27" i="4"/>
  <c r="R28" i="4" s="1"/>
  <c r="S27" i="4"/>
  <c r="S28" i="4" s="1"/>
  <c r="J40" i="4"/>
  <c r="R40" i="4"/>
  <c r="S40" i="4"/>
  <c r="L154" i="4"/>
  <c r="R154" i="4"/>
  <c r="S154" i="4"/>
  <c r="R32" i="4"/>
  <c r="S32" i="4"/>
  <c r="R113" i="4"/>
  <c r="S113" i="4"/>
  <c r="R42" i="4"/>
  <c r="S42" i="4"/>
  <c r="L157" i="4"/>
  <c r="S157" i="4"/>
  <c r="R157" i="4"/>
  <c r="S104" i="4"/>
  <c r="R104" i="4"/>
  <c r="I153" i="4"/>
  <c r="S153" i="4"/>
  <c r="R153" i="4"/>
  <c r="R16" i="4"/>
  <c r="R114" i="4"/>
  <c r="S114" i="4"/>
  <c r="L156" i="4"/>
  <c r="R156" i="4"/>
  <c r="S156" i="4"/>
  <c r="S16" i="4"/>
  <c r="S93" i="4"/>
  <c r="R93" i="4"/>
  <c r="M100" i="4"/>
  <c r="S100" i="4"/>
  <c r="R100" i="4"/>
  <c r="R169" i="4"/>
  <c r="S69" i="4"/>
  <c r="R69" i="4"/>
  <c r="R41" i="4"/>
  <c r="S41" i="4"/>
  <c r="M21" i="5"/>
  <c r="M20" i="5"/>
  <c r="R164" i="4"/>
  <c r="J31" i="4"/>
  <c r="S31" i="4"/>
  <c r="R31" i="4"/>
  <c r="H56" i="2"/>
  <c r="H90" i="2" s="1"/>
  <c r="M157" i="4"/>
  <c r="O40" i="4"/>
  <c r="O157" i="4"/>
  <c r="I157" i="4"/>
  <c r="N40" i="4"/>
  <c r="P93" i="4"/>
  <c r="N157" i="4"/>
  <c r="J157" i="4"/>
  <c r="Y90" i="2"/>
  <c r="N27" i="4"/>
  <c r="N28" i="4" s="1"/>
  <c r="O100" i="4"/>
  <c r="J100" i="4"/>
  <c r="L100" i="4"/>
  <c r="N100" i="4"/>
  <c r="O27" i="4"/>
  <c r="O28" i="4" s="1"/>
  <c r="AD90" i="2"/>
  <c r="I46" i="2"/>
  <c r="I56" i="2" s="1"/>
  <c r="G243" i="2"/>
  <c r="O156" i="4"/>
  <c r="N31" i="4"/>
  <c r="M31" i="4"/>
  <c r="J156" i="4"/>
  <c r="K156" i="4"/>
  <c r="H43" i="4"/>
  <c r="Q19" i="5" s="1"/>
  <c r="I156" i="4"/>
  <c r="N156" i="4"/>
  <c r="Q169" i="4"/>
  <c r="N20" i="5"/>
  <c r="S164" i="4"/>
  <c r="Q22" i="5"/>
  <c r="Q69" i="4"/>
  <c r="L40" i="4"/>
  <c r="Q27" i="4"/>
  <c r="Q28" i="4" s="1"/>
  <c r="Q23" i="5"/>
  <c r="Q32" i="4"/>
  <c r="O31" i="4"/>
  <c r="Q31" i="4"/>
  <c r="Q42" i="4"/>
  <c r="Q157" i="4"/>
  <c r="P100" i="4"/>
  <c r="Q100" i="4"/>
  <c r="N21" i="5"/>
  <c r="Q41" i="4"/>
  <c r="P40" i="4"/>
  <c r="Q40" i="4"/>
  <c r="Q93" i="4"/>
  <c r="L21" i="5"/>
  <c r="L20" i="5"/>
  <c r="Q156" i="4"/>
  <c r="Q154" i="4"/>
  <c r="Q153" i="4"/>
  <c r="Q114" i="4"/>
  <c r="Q113" i="4"/>
  <c r="Q104" i="4"/>
  <c r="E20" i="5"/>
  <c r="G29" i="6" s="1"/>
  <c r="E21" i="5"/>
  <c r="J136" i="4" s="1"/>
  <c r="J20" i="5"/>
  <c r="L29" i="6" s="1"/>
  <c r="J21" i="5"/>
  <c r="G20" i="5"/>
  <c r="G21" i="5"/>
  <c r="L136" i="4" s="1"/>
  <c r="F20" i="5"/>
  <c r="F21" i="5"/>
  <c r="K136" i="4" s="1"/>
  <c r="H20" i="5"/>
  <c r="J29" i="6" s="1"/>
  <c r="H21" i="5"/>
  <c r="M136" i="4" s="1"/>
  <c r="K20" i="5"/>
  <c r="P131" i="4" s="1"/>
  <c r="K21" i="5"/>
  <c r="I20" i="5"/>
  <c r="K29" i="6" s="1"/>
  <c r="I21" i="5"/>
  <c r="D21" i="5"/>
  <c r="D20" i="5"/>
  <c r="O164" i="4"/>
  <c r="K164" i="4"/>
  <c r="I16" i="4"/>
  <c r="J169" i="4"/>
  <c r="T39" i="4"/>
  <c r="H206" i="4"/>
  <c r="L27" i="4"/>
  <c r="L28" i="4" s="1"/>
  <c r="I114" i="4"/>
  <c r="I41" i="4"/>
  <c r="I42" i="4"/>
  <c r="P154" i="4"/>
  <c r="J153" i="4"/>
  <c r="I93" i="4"/>
  <c r="H51" i="4"/>
  <c r="I113" i="4"/>
  <c r="I104" i="4"/>
  <c r="H82" i="4"/>
  <c r="I31" i="4"/>
  <c r="I40" i="4"/>
  <c r="P157" i="4"/>
  <c r="P156" i="4"/>
  <c r="I100" i="4"/>
  <c r="Q16" i="4"/>
  <c r="Q164" i="4"/>
  <c r="U90" i="2"/>
  <c r="I86" i="2"/>
  <c r="Q90" i="2"/>
  <c r="X90" i="2"/>
  <c r="U243" i="2"/>
  <c r="U245" i="2" s="1"/>
  <c r="U252" i="2" s="1"/>
  <c r="U258" i="2" s="1"/>
  <c r="U265" i="2" s="1"/>
  <c r="U267" i="2" s="1"/>
  <c r="U269" i="2" s="1"/>
  <c r="AD243" i="2"/>
  <c r="Q243" i="2"/>
  <c r="K41" i="4"/>
  <c r="M153" i="4"/>
  <c r="O154" i="4"/>
  <c r="J41" i="4"/>
  <c r="K42" i="4"/>
  <c r="L93" i="4"/>
  <c r="O93" i="4"/>
  <c r="H158" i="4"/>
  <c r="M93" i="4"/>
  <c r="P153" i="4"/>
  <c r="Q29" i="5"/>
  <c r="M104" i="4"/>
  <c r="X245" i="2"/>
  <c r="X252" i="2" s="1"/>
  <c r="X258" i="2" s="1"/>
  <c r="X265" i="2" s="1"/>
  <c r="X267" i="2" s="1"/>
  <c r="X269" i="2" s="1"/>
  <c r="O41" i="4"/>
  <c r="O153" i="4"/>
  <c r="K153" i="4"/>
  <c r="M154" i="4"/>
  <c r="I154" i="4"/>
  <c r="O42" i="4"/>
  <c r="J93" i="4"/>
  <c r="N93" i="4"/>
  <c r="J42" i="4"/>
  <c r="K93" i="4"/>
  <c r="N153" i="4"/>
  <c r="L42" i="4"/>
  <c r="L153" i="4"/>
  <c r="J154" i="4"/>
  <c r="N104" i="4"/>
  <c r="L41" i="4"/>
  <c r="P123" i="4"/>
  <c r="H124" i="4"/>
  <c r="I116" i="2"/>
  <c r="H112" i="4" s="1"/>
  <c r="H192" i="2"/>
  <c r="AB243" i="2"/>
  <c r="AB245" i="2" s="1"/>
  <c r="AB252" i="2" s="1"/>
  <c r="AB258" i="2" s="1"/>
  <c r="AB265" i="2" s="1"/>
  <c r="AB267" i="2" s="1"/>
  <c r="AB269" i="2" s="1"/>
  <c r="I120" i="2"/>
  <c r="H194" i="2"/>
  <c r="S243" i="2"/>
  <c r="S245" i="2" s="1"/>
  <c r="S252" i="2" s="1"/>
  <c r="S258" i="2" s="1"/>
  <c r="S265" i="2" s="1"/>
  <c r="S267" i="2" s="1"/>
  <c r="S269" i="2" s="1"/>
  <c r="M164" i="4"/>
  <c r="M41" i="4"/>
  <c r="P41" i="4"/>
  <c r="M42" i="4"/>
  <c r="N41" i="4"/>
  <c r="N42" i="4"/>
  <c r="P42" i="4"/>
  <c r="T90" i="2"/>
  <c r="W90" i="2"/>
  <c r="AB90" i="2"/>
  <c r="O32" i="4"/>
  <c r="M32" i="4"/>
  <c r="K32" i="4"/>
  <c r="I32" i="4"/>
  <c r="P32" i="4"/>
  <c r="N32" i="4"/>
  <c r="L32" i="4"/>
  <c r="J32" i="4"/>
  <c r="T34" i="4"/>
  <c r="I27" i="4"/>
  <c r="I28" i="4" s="1"/>
  <c r="H28" i="4"/>
  <c r="R245" i="2"/>
  <c r="R252" i="2" s="1"/>
  <c r="R258" i="2" s="1"/>
  <c r="S90" i="2"/>
  <c r="AA90" i="2"/>
  <c r="H238" i="2"/>
  <c r="T243" i="2"/>
  <c r="T245" i="2" s="1"/>
  <c r="T252" i="2" s="1"/>
  <c r="T258" i="2" s="1"/>
  <c r="T265" i="2" s="1"/>
  <c r="T267" i="2" s="1"/>
  <c r="T269" i="2" s="1"/>
  <c r="W243" i="2"/>
  <c r="W245" i="2" s="1"/>
  <c r="W252" i="2" s="1"/>
  <c r="W258" i="2" s="1"/>
  <c r="W265" i="2" s="1"/>
  <c r="W267" i="2" s="1"/>
  <c r="W269" i="2" s="1"/>
  <c r="Y243" i="2"/>
  <c r="Y245" i="2" s="1"/>
  <c r="Y252" i="2" s="1"/>
  <c r="Y258" i="2" s="1"/>
  <c r="Y265" i="2" s="1"/>
  <c r="Y267" i="2" s="1"/>
  <c r="Y269" i="2" s="1"/>
  <c r="K27" i="4"/>
  <c r="K28" i="4" s="1"/>
  <c r="K36" i="4"/>
  <c r="O36" i="4"/>
  <c r="J27" i="4"/>
  <c r="J28" i="4" s="1"/>
  <c r="P27" i="4"/>
  <c r="P28" i="4" s="1"/>
  <c r="N36" i="4"/>
  <c r="P169" i="4"/>
  <c r="K104" i="4"/>
  <c r="O104" i="4"/>
  <c r="J104" i="4"/>
  <c r="L104" i="4"/>
  <c r="P104" i="4"/>
  <c r="R90" i="2"/>
  <c r="Z90" i="2"/>
  <c r="Z245" i="2"/>
  <c r="Z252" i="2" s="1"/>
  <c r="I215" i="2"/>
  <c r="I217" i="2" s="1"/>
  <c r="I242" i="2" s="1"/>
  <c r="M35" i="4"/>
  <c r="N35" i="4"/>
  <c r="L36" i="4"/>
  <c r="C53" i="22"/>
  <c r="P164" i="4"/>
  <c r="I78" i="2"/>
  <c r="I66" i="2"/>
  <c r="I68" i="2" s="1"/>
  <c r="H60" i="4"/>
  <c r="I112" i="2"/>
  <c r="H105" i="4"/>
  <c r="I250" i="2"/>
  <c r="H74" i="4"/>
  <c r="K117" i="4"/>
  <c r="O117" i="4"/>
  <c r="K122" i="4"/>
  <c r="O122" i="4"/>
  <c r="K123" i="4"/>
  <c r="O123" i="4"/>
  <c r="J117" i="4"/>
  <c r="J122" i="4"/>
  <c r="J123" i="4"/>
  <c r="I117" i="4"/>
  <c r="I122" i="4"/>
  <c r="L123" i="4"/>
  <c r="M113" i="4"/>
  <c r="J69" i="4"/>
  <c r="N113" i="4"/>
  <c r="M114" i="4"/>
  <c r="L113" i="4"/>
  <c r="N114" i="4"/>
  <c r="P113" i="4"/>
  <c r="L114" i="4"/>
  <c r="P114" i="4"/>
  <c r="M117" i="4"/>
  <c r="M122" i="4"/>
  <c r="M123" i="4"/>
  <c r="N117" i="4"/>
  <c r="N122" i="4"/>
  <c r="N123" i="4"/>
  <c r="L117" i="4"/>
  <c r="L122" i="4"/>
  <c r="I123" i="4"/>
  <c r="K113" i="4"/>
  <c r="O113" i="4"/>
  <c r="J113" i="4"/>
  <c r="K114" i="4"/>
  <c r="O114" i="4"/>
  <c r="J114" i="4"/>
  <c r="T37" i="4"/>
  <c r="K16" i="4"/>
  <c r="L164" i="4"/>
  <c r="I69" i="4"/>
  <c r="O16" i="4"/>
  <c r="J16" i="4"/>
  <c r="P16" i="4"/>
  <c r="L16" i="4"/>
  <c r="N164" i="4"/>
  <c r="J164" i="4"/>
  <c r="T106" i="4"/>
  <c r="M16" i="4"/>
  <c r="N16" i="4"/>
  <c r="T94" i="4"/>
  <c r="T162" i="4"/>
  <c r="T10" i="4"/>
  <c r="T11" i="4"/>
  <c r="T107" i="4"/>
  <c r="L169" i="4"/>
  <c r="S169" i="4"/>
  <c r="M169" i="4"/>
  <c r="T70" i="4"/>
  <c r="T57" i="4"/>
  <c r="T101" i="4"/>
  <c r="T102" i="4"/>
  <c r="T14" i="4"/>
  <c r="T15" i="4"/>
  <c r="T38" i="4"/>
  <c r="T163" i="4"/>
  <c r="T96" i="4"/>
  <c r="T98" i="4"/>
  <c r="O169" i="4"/>
  <c r="K169" i="4"/>
  <c r="T168" i="4"/>
  <c r="T194" i="4"/>
  <c r="T145" i="4"/>
  <c r="I164" i="4"/>
  <c r="T161" i="4"/>
  <c r="T142" i="4"/>
  <c r="T144" i="4"/>
  <c r="T143" i="4"/>
  <c r="T132" i="4"/>
  <c r="T79" i="4"/>
  <c r="T95" i="4"/>
  <c r="T97" i="4"/>
  <c r="T167" i="4"/>
  <c r="T193" i="4"/>
  <c r="T146" i="4"/>
  <c r="T133" i="4"/>
  <c r="N169" i="4"/>
  <c r="I169" i="4"/>
  <c r="H129" i="2"/>
  <c r="AD238" i="2"/>
  <c r="Z258" i="2" l="1"/>
  <c r="Z265" i="2" s="1"/>
  <c r="Z267" i="2" s="1"/>
  <c r="Z269" i="2" s="1"/>
  <c r="F22" i="5"/>
  <c r="K147" i="4" s="1"/>
  <c r="O20" i="5"/>
  <c r="O21" i="5"/>
  <c r="F29" i="6"/>
  <c r="I136" i="4"/>
  <c r="M22" i="5"/>
  <c r="R135" i="4" s="1"/>
  <c r="G29" i="5"/>
  <c r="I46" i="6" s="1"/>
  <c r="I51" i="6" s="1"/>
  <c r="R43" i="4"/>
  <c r="M19" i="5" s="1"/>
  <c r="O34" i="6" s="1"/>
  <c r="L124" i="4"/>
  <c r="R124" i="4"/>
  <c r="S124" i="4"/>
  <c r="R105" i="4"/>
  <c r="R108" i="4" s="1"/>
  <c r="S105" i="4"/>
  <c r="S108" i="4" s="1"/>
  <c r="O29" i="6"/>
  <c r="R131" i="4"/>
  <c r="R76" i="4"/>
  <c r="R136" i="4"/>
  <c r="O33" i="6"/>
  <c r="M29" i="5"/>
  <c r="M23" i="5"/>
  <c r="R141" i="4" s="1"/>
  <c r="K112" i="4"/>
  <c r="S112" i="4"/>
  <c r="R112" i="4"/>
  <c r="S131" i="4"/>
  <c r="P29" i="6"/>
  <c r="S136" i="4"/>
  <c r="P33" i="6"/>
  <c r="S76" i="4"/>
  <c r="I192" i="2"/>
  <c r="K23" i="5"/>
  <c r="P141" i="4" s="1"/>
  <c r="Q245" i="2"/>
  <c r="Q252" i="2" s="1"/>
  <c r="Q258" i="2" s="1"/>
  <c r="L29" i="5"/>
  <c r="N46" i="6" s="1"/>
  <c r="H196" i="2"/>
  <c r="H241" i="2" s="1"/>
  <c r="H243" i="2" s="1"/>
  <c r="I22" i="5"/>
  <c r="K32" i="6" s="1"/>
  <c r="P112" i="4"/>
  <c r="L112" i="4"/>
  <c r="J112" i="4"/>
  <c r="AA245" i="2"/>
  <c r="AA252" i="2" s="1"/>
  <c r="AA258" i="2" s="1"/>
  <c r="AA265" i="2" s="1"/>
  <c r="AA267" i="2" s="1"/>
  <c r="AA269" i="2" s="1"/>
  <c r="R265" i="2"/>
  <c r="R267" i="2" s="1"/>
  <c r="R269" i="2" s="1"/>
  <c r="N112" i="4"/>
  <c r="O112" i="4"/>
  <c r="F29" i="5"/>
  <c r="H46" i="6" s="1"/>
  <c r="H51" i="6" s="1"/>
  <c r="AD245" i="2"/>
  <c r="AD252" i="2" s="1"/>
  <c r="AD258" i="2" s="1"/>
  <c r="AD265" i="2" s="1"/>
  <c r="AD267" i="2" s="1"/>
  <c r="AD269" i="2" s="1"/>
  <c r="M112" i="4"/>
  <c r="E23" i="5"/>
  <c r="J141" i="4" s="1"/>
  <c r="D23" i="5"/>
  <c r="H22" i="5"/>
  <c r="M147" i="4" s="1"/>
  <c r="I29" i="5"/>
  <c r="K46" i="6" s="1"/>
  <c r="K51" i="6" s="1"/>
  <c r="J22" i="5"/>
  <c r="L32" i="6" s="1"/>
  <c r="E22" i="5"/>
  <c r="J147" i="4" s="1"/>
  <c r="I88" i="2"/>
  <c r="I90" i="2" s="1"/>
  <c r="D29" i="5"/>
  <c r="N23" i="5"/>
  <c r="S141" i="4" s="1"/>
  <c r="G22" i="5"/>
  <c r="I32" i="6" s="1"/>
  <c r="L23" i="5"/>
  <c r="Q141" i="4" s="1"/>
  <c r="N29" i="5"/>
  <c r="L22" i="5"/>
  <c r="Q147" i="4" s="1"/>
  <c r="N22" i="5"/>
  <c r="Q76" i="4"/>
  <c r="N29" i="6"/>
  <c r="Q131" i="4"/>
  <c r="N33" i="6"/>
  <c r="Q136" i="4"/>
  <c r="Q124" i="4"/>
  <c r="Q112" i="4"/>
  <c r="Q105" i="4"/>
  <c r="Q108" i="4" s="1"/>
  <c r="P76" i="4"/>
  <c r="M29" i="6"/>
  <c r="K131" i="4"/>
  <c r="H29" i="6"/>
  <c r="L131" i="4"/>
  <c r="I29" i="6"/>
  <c r="G23" i="5"/>
  <c r="L141" i="4" s="1"/>
  <c r="F23" i="5"/>
  <c r="K141" i="4" s="1"/>
  <c r="I23" i="5"/>
  <c r="N141" i="4" s="1"/>
  <c r="H23" i="5"/>
  <c r="M141" i="4" s="1"/>
  <c r="J23" i="5"/>
  <c r="O141" i="4" s="1"/>
  <c r="G33" i="6"/>
  <c r="J33" i="6"/>
  <c r="I33" i="6"/>
  <c r="H33" i="6"/>
  <c r="K22" i="5"/>
  <c r="M32" i="6" s="1"/>
  <c r="D22" i="5"/>
  <c r="N76" i="4"/>
  <c r="N131" i="4"/>
  <c r="M131" i="4"/>
  <c r="M76" i="4"/>
  <c r="O131" i="4"/>
  <c r="O76" i="4"/>
  <c r="J76" i="4"/>
  <c r="J131" i="4"/>
  <c r="I131" i="4"/>
  <c r="I76" i="4"/>
  <c r="H208" i="4"/>
  <c r="T100" i="4"/>
  <c r="T157" i="4"/>
  <c r="T40" i="4"/>
  <c r="J43" i="4"/>
  <c r="E19" i="5" s="1"/>
  <c r="G28" i="6" s="1"/>
  <c r="E29" i="5"/>
  <c r="G46" i="6" s="1"/>
  <c r="G51" i="6" s="1"/>
  <c r="K29" i="5"/>
  <c r="M46" i="6" s="1"/>
  <c r="M51" i="6" s="1"/>
  <c r="T156" i="4"/>
  <c r="H84" i="4"/>
  <c r="I43" i="4"/>
  <c r="D19" i="5" s="1"/>
  <c r="H238" i="4"/>
  <c r="H108" i="4"/>
  <c r="I112" i="4"/>
  <c r="Q43" i="4"/>
  <c r="L19" i="5" s="1"/>
  <c r="N28" i="6" s="1"/>
  <c r="T153" i="4"/>
  <c r="T154" i="4"/>
  <c r="J29" i="5"/>
  <c r="L46" i="6" s="1"/>
  <c r="L51" i="6" s="1"/>
  <c r="I129" i="2"/>
  <c r="I196" i="2" s="1"/>
  <c r="I241" i="2" s="1"/>
  <c r="I243" i="2" s="1"/>
  <c r="T93" i="4"/>
  <c r="H29" i="5"/>
  <c r="J46" i="6" s="1"/>
  <c r="J51" i="6" s="1"/>
  <c r="H116" i="4"/>
  <c r="I194" i="2"/>
  <c r="P124" i="4"/>
  <c r="T42" i="4"/>
  <c r="T41" i="4"/>
  <c r="H53" i="4"/>
  <c r="M43" i="4"/>
  <c r="S43" i="4"/>
  <c r="I124" i="4"/>
  <c r="T32" i="4"/>
  <c r="N43" i="4"/>
  <c r="T104" i="4"/>
  <c r="P43" i="4"/>
  <c r="K19" i="5" s="1"/>
  <c r="M28" i="6" s="1"/>
  <c r="O43" i="4"/>
  <c r="T36" i="4"/>
  <c r="T27" i="4"/>
  <c r="T28" i="4" s="1"/>
  <c r="N124" i="4"/>
  <c r="M124" i="4"/>
  <c r="J124" i="4"/>
  <c r="K124" i="4"/>
  <c r="O124" i="4"/>
  <c r="T35" i="4"/>
  <c r="T117" i="4"/>
  <c r="T113" i="4"/>
  <c r="T122" i="4"/>
  <c r="T114" i="4"/>
  <c r="I105" i="4"/>
  <c r="P105" i="4"/>
  <c r="P108" i="4" s="1"/>
  <c r="J105" i="4"/>
  <c r="J108" i="4" s="1"/>
  <c r="O105" i="4"/>
  <c r="O108" i="4" s="1"/>
  <c r="K105" i="4"/>
  <c r="K108" i="4" s="1"/>
  <c r="L105" i="4"/>
  <c r="L108" i="4" s="1"/>
  <c r="N105" i="4"/>
  <c r="N108" i="4" s="1"/>
  <c r="M105" i="4"/>
  <c r="M108" i="4" s="1"/>
  <c r="H62" i="4"/>
  <c r="H64" i="4"/>
  <c r="T164" i="4"/>
  <c r="T16" i="4"/>
  <c r="T169" i="4"/>
  <c r="K135" i="4" l="1"/>
  <c r="H32" i="6"/>
  <c r="O22" i="5"/>
  <c r="O32" i="6"/>
  <c r="O29" i="5"/>
  <c r="O23" i="5"/>
  <c r="R195" i="4"/>
  <c r="F46" i="6"/>
  <c r="F51" i="6" s="1"/>
  <c r="F28" i="6"/>
  <c r="I141" i="4"/>
  <c r="T141" i="4" s="1"/>
  <c r="R147" i="4"/>
  <c r="O28" i="6"/>
  <c r="R130" i="4"/>
  <c r="R71" i="4"/>
  <c r="R138" i="4"/>
  <c r="R137" i="4"/>
  <c r="O42" i="6"/>
  <c r="R148" i="4"/>
  <c r="R152" i="4"/>
  <c r="R158" i="4" s="1"/>
  <c r="O46" i="6"/>
  <c r="O51" i="6" s="1"/>
  <c r="S116" i="4"/>
  <c r="S125" i="4" s="1"/>
  <c r="R116" i="4"/>
  <c r="R125" i="4" s="1"/>
  <c r="S152" i="4"/>
  <c r="S158" i="4" s="1"/>
  <c r="P46" i="6"/>
  <c r="S147" i="4"/>
  <c r="P32" i="6"/>
  <c r="S135" i="4"/>
  <c r="H258" i="2"/>
  <c r="H265" i="2" s="1"/>
  <c r="H267" i="2" s="1"/>
  <c r="H269" i="2" s="1"/>
  <c r="Q25" i="5"/>
  <c r="Q15" i="5"/>
  <c r="N147" i="4"/>
  <c r="N135" i="4"/>
  <c r="H245" i="2"/>
  <c r="H252" i="2" s="1"/>
  <c r="Q265" i="2"/>
  <c r="Q267" i="2" s="1"/>
  <c r="Q269" i="2" s="1"/>
  <c r="J32" i="6"/>
  <c r="M135" i="4"/>
  <c r="O147" i="4"/>
  <c r="L147" i="4"/>
  <c r="O135" i="4"/>
  <c r="G32" i="6"/>
  <c r="J135" i="4"/>
  <c r="N32" i="6"/>
  <c r="L135" i="4"/>
  <c r="Q135" i="4"/>
  <c r="Q116" i="4"/>
  <c r="Q125" i="4" s="1"/>
  <c r="I147" i="4"/>
  <c r="F32" i="6"/>
  <c r="Q195" i="4"/>
  <c r="N42" i="6"/>
  <c r="N34" i="6"/>
  <c r="I130" i="4"/>
  <c r="I195" i="4"/>
  <c r="P130" i="4"/>
  <c r="P195" i="4"/>
  <c r="J130" i="4"/>
  <c r="J195" i="4"/>
  <c r="P135" i="4"/>
  <c r="P147" i="4"/>
  <c r="F33" i="6"/>
  <c r="I135" i="4"/>
  <c r="T131" i="4"/>
  <c r="Q138" i="4"/>
  <c r="Q148" i="4"/>
  <c r="Q130" i="4"/>
  <c r="Q137" i="4"/>
  <c r="Q152" i="4"/>
  <c r="Q158" i="4" s="1"/>
  <c r="Q71" i="4"/>
  <c r="H230" i="4"/>
  <c r="P71" i="4"/>
  <c r="F42" i="6"/>
  <c r="I71" i="4"/>
  <c r="G34" i="6"/>
  <c r="J71" i="4"/>
  <c r="G42" i="6"/>
  <c r="N51" i="6"/>
  <c r="T112" i="4"/>
  <c r="F34" i="6"/>
  <c r="H125" i="4"/>
  <c r="H189" i="4" s="1"/>
  <c r="I19" i="5"/>
  <c r="K28" i="6" s="1"/>
  <c r="I116" i="4"/>
  <c r="I125" i="4" s="1"/>
  <c r="M116" i="4"/>
  <c r="M125" i="4" s="1"/>
  <c r="L116" i="4"/>
  <c r="L125" i="4" s="1"/>
  <c r="P116" i="4"/>
  <c r="P125" i="4" s="1"/>
  <c r="K116" i="4"/>
  <c r="K125" i="4" s="1"/>
  <c r="O116" i="4"/>
  <c r="O125" i="4" s="1"/>
  <c r="J116" i="4"/>
  <c r="J125" i="4" s="1"/>
  <c r="N116" i="4"/>
  <c r="N125" i="4" s="1"/>
  <c r="J19" i="5"/>
  <c r="L28" i="6" s="1"/>
  <c r="H19" i="5"/>
  <c r="J28" i="6" s="1"/>
  <c r="L33" i="6"/>
  <c r="Q24" i="5"/>
  <c r="H86" i="4"/>
  <c r="N19" i="5"/>
  <c r="P42" i="6" s="1"/>
  <c r="K33" i="6"/>
  <c r="T124" i="4"/>
  <c r="T105" i="4"/>
  <c r="I108" i="4"/>
  <c r="T108" i="4" s="1"/>
  <c r="M42" i="6"/>
  <c r="M34" i="6"/>
  <c r="H259" i="4" l="1"/>
  <c r="E17" i="1"/>
  <c r="M28" i="5"/>
  <c r="O37" i="6" s="1"/>
  <c r="O43" i="6" s="1"/>
  <c r="P28" i="6"/>
  <c r="P34" i="6"/>
  <c r="S148" i="4"/>
  <c r="S195" i="4"/>
  <c r="S130" i="4"/>
  <c r="S138" i="4"/>
  <c r="S137" i="4"/>
  <c r="S71" i="4"/>
  <c r="H188" i="4"/>
  <c r="P51" i="6"/>
  <c r="T147" i="4"/>
  <c r="N130" i="4"/>
  <c r="N195" i="4"/>
  <c r="M130" i="4"/>
  <c r="M195" i="4"/>
  <c r="O130" i="4"/>
  <c r="O195" i="4"/>
  <c r="T135" i="4"/>
  <c r="L28" i="5"/>
  <c r="N37" i="6" s="1"/>
  <c r="J34" i="6"/>
  <c r="M71" i="4"/>
  <c r="L42" i="6"/>
  <c r="O71" i="4"/>
  <c r="K34" i="6"/>
  <c r="N71" i="4"/>
  <c r="K42" i="6"/>
  <c r="M33" i="6"/>
  <c r="L34" i="6"/>
  <c r="T116" i="4"/>
  <c r="T125" i="4"/>
  <c r="J42" i="6"/>
  <c r="I235" i="2"/>
  <c r="H223" i="4" s="1"/>
  <c r="I234" i="2"/>
  <c r="H222" i="4" s="1"/>
  <c r="I233" i="2"/>
  <c r="H221" i="4" s="1"/>
  <c r="H220" i="4"/>
  <c r="I231" i="2"/>
  <c r="H219" i="4" s="1"/>
  <c r="I230" i="2"/>
  <c r="H218" i="4" s="1"/>
  <c r="I229" i="2"/>
  <c r="H217" i="4" s="1"/>
  <c r="O27" i="6" l="1"/>
  <c r="O35" i="6" s="1"/>
  <c r="R140" i="4"/>
  <c r="R129" i="4"/>
  <c r="R217" i="4"/>
  <c r="S217" i="4"/>
  <c r="R219" i="4"/>
  <c r="S219" i="4"/>
  <c r="R218" i="4"/>
  <c r="S218" i="4"/>
  <c r="S220" i="4"/>
  <c r="R220" i="4"/>
  <c r="Q217" i="4"/>
  <c r="Q219" i="4"/>
  <c r="Q218" i="4"/>
  <c r="Q220" i="4"/>
  <c r="N27" i="6"/>
  <c r="Q129" i="4"/>
  <c r="Q140" i="4"/>
  <c r="Q16" i="5"/>
  <c r="Q17" i="5"/>
  <c r="Q18" i="5"/>
  <c r="H229" i="4"/>
  <c r="H231" i="4" s="1"/>
  <c r="J218" i="4"/>
  <c r="N218" i="4"/>
  <c r="P218" i="4"/>
  <c r="L218" i="4"/>
  <c r="K218" i="4"/>
  <c r="O218" i="4"/>
  <c r="I218" i="4"/>
  <c r="M218" i="4"/>
  <c r="J220" i="4"/>
  <c r="L220" i="4"/>
  <c r="P220" i="4"/>
  <c r="N220" i="4"/>
  <c r="I220" i="4"/>
  <c r="M220" i="4"/>
  <c r="K220" i="4"/>
  <c r="O220" i="4"/>
  <c r="J217" i="4"/>
  <c r="P217" i="4"/>
  <c r="I217" i="4"/>
  <c r="M217" i="4"/>
  <c r="L217" i="4"/>
  <c r="N217" i="4"/>
  <c r="K217" i="4"/>
  <c r="O217" i="4"/>
  <c r="J219" i="4"/>
  <c r="L219" i="4"/>
  <c r="N219" i="4"/>
  <c r="I219" i="4"/>
  <c r="M219" i="4"/>
  <c r="P219" i="4"/>
  <c r="K219" i="4"/>
  <c r="O219" i="4"/>
  <c r="G236" i="2"/>
  <c r="G238" i="2" s="1"/>
  <c r="I227" i="2"/>
  <c r="H215" i="4" s="1"/>
  <c r="I228" i="2"/>
  <c r="R149" i="4" l="1"/>
  <c r="R189" i="4" s="1"/>
  <c r="M16" i="5" s="1"/>
  <c r="G245" i="2"/>
  <c r="G252" i="2" s="1"/>
  <c r="G258" i="2" s="1"/>
  <c r="R215" i="4"/>
  <c r="S215" i="4"/>
  <c r="Q215" i="4"/>
  <c r="Q149" i="4"/>
  <c r="T218" i="4"/>
  <c r="T220" i="4"/>
  <c r="T219" i="4"/>
  <c r="T217" i="4"/>
  <c r="H216" i="4"/>
  <c r="I215" i="4"/>
  <c r="P215" i="4"/>
  <c r="N215" i="4"/>
  <c r="M215" i="4"/>
  <c r="L215" i="4"/>
  <c r="J215" i="4"/>
  <c r="O215" i="4"/>
  <c r="K215" i="4"/>
  <c r="I236" i="2"/>
  <c r="I238" i="2" s="1"/>
  <c r="G265" i="2" l="1"/>
  <c r="G267" i="2" s="1"/>
  <c r="G269" i="2" s="1"/>
  <c r="R216" i="4"/>
  <c r="S216" i="4"/>
  <c r="O75" i="6"/>
  <c r="O74" i="6"/>
  <c r="R182" i="4"/>
  <c r="R173" i="4"/>
  <c r="R178" i="4"/>
  <c r="R50" i="4"/>
  <c r="R51" i="4" s="1"/>
  <c r="O71" i="6"/>
  <c r="R183" i="4"/>
  <c r="R176" i="4"/>
  <c r="R46" i="4"/>
  <c r="R47" i="4" s="1"/>
  <c r="O65" i="6"/>
  <c r="R174" i="4"/>
  <c r="R185" i="4"/>
  <c r="O66" i="6"/>
  <c r="R72" i="4"/>
  <c r="O68" i="6"/>
  <c r="R73" i="4"/>
  <c r="R192" i="4"/>
  <c r="R175" i="4"/>
  <c r="R196" i="4"/>
  <c r="R181" i="4"/>
  <c r="Q189" i="4"/>
  <c r="L16" i="5" s="1"/>
  <c r="N66" i="6" s="1"/>
  <c r="I258" i="2"/>
  <c r="H244" i="4" s="1"/>
  <c r="H251" i="4" s="1"/>
  <c r="I245" i="2"/>
  <c r="I252" i="2" s="1"/>
  <c r="Q216" i="4"/>
  <c r="H224" i="4"/>
  <c r="H226" i="4" s="1"/>
  <c r="T215" i="4"/>
  <c r="O76" i="6" l="1"/>
  <c r="R53" i="4"/>
  <c r="R74" i="4"/>
  <c r="Q185" i="4"/>
  <c r="Q50" i="4"/>
  <c r="Q182" i="4"/>
  <c r="N74" i="6"/>
  <c r="Q73" i="4"/>
  <c r="Q181" i="4"/>
  <c r="N68" i="6"/>
  <c r="N71" i="6"/>
  <c r="Q183" i="4"/>
  <c r="Q175" i="4"/>
  <c r="Q196" i="4"/>
  <c r="Q174" i="4"/>
  <c r="Q192" i="4"/>
  <c r="Q173" i="4"/>
  <c r="Q72" i="4"/>
  <c r="N75" i="6"/>
  <c r="Q178" i="4"/>
  <c r="N65" i="6"/>
  <c r="Q46" i="4"/>
  <c r="Q176" i="4"/>
  <c r="I265" i="2"/>
  <c r="I267" i="2" s="1"/>
  <c r="H253" i="4"/>
  <c r="H255" i="4"/>
  <c r="R255" i="4" s="1"/>
  <c r="Q27" i="5"/>
  <c r="Q26" i="5"/>
  <c r="I269" i="2" l="1"/>
  <c r="I273" i="2" s="1"/>
  <c r="M15" i="5"/>
  <c r="M24" i="5"/>
  <c r="M25" i="5"/>
  <c r="Q255" i="4"/>
  <c r="M255" i="4"/>
  <c r="K255" i="4"/>
  <c r="L255" i="4"/>
  <c r="N255" i="4"/>
  <c r="P255" i="4"/>
  <c r="I255" i="4"/>
  <c r="S255" i="4"/>
  <c r="T255" i="4"/>
  <c r="O255" i="4"/>
  <c r="J255" i="4"/>
  <c r="E24" i="1"/>
  <c r="R80" i="4" l="1"/>
  <c r="R246" i="4"/>
  <c r="O70" i="6"/>
  <c r="R236" i="4"/>
  <c r="R248" i="4"/>
  <c r="O67" i="6"/>
  <c r="O79" i="6" s="1"/>
  <c r="O83" i="6" s="1"/>
  <c r="O84" i="6" s="1"/>
  <c r="M27" i="5" s="1"/>
  <c r="O69" i="6" s="1"/>
  <c r="O72" i="6" s="1"/>
  <c r="O78" i="6" s="1"/>
  <c r="O81" i="6" s="1"/>
  <c r="O82" i="6" s="1"/>
  <c r="M26" i="5" s="1"/>
  <c r="R221" i="4"/>
  <c r="R250" i="4"/>
  <c r="R245" i="4"/>
  <c r="R197" i="4"/>
  <c r="R177" i="4"/>
  <c r="R198" i="4"/>
  <c r="R77" i="4"/>
  <c r="R180" i="4"/>
  <c r="R237" i="4"/>
  <c r="R249" i="4"/>
  <c r="R58" i="4"/>
  <c r="R203" i="4"/>
  <c r="R222" i="4"/>
  <c r="R204" i="4"/>
  <c r="R223" i="4"/>
  <c r="R59" i="4"/>
  <c r="R205" i="4"/>
  <c r="K152" i="4"/>
  <c r="K158" i="4" s="1"/>
  <c r="J152" i="4"/>
  <c r="J158" i="4" s="1"/>
  <c r="L152" i="4"/>
  <c r="L158" i="4" s="1"/>
  <c r="N152" i="4"/>
  <c r="N158" i="4" s="1"/>
  <c r="I152" i="4"/>
  <c r="P152" i="4"/>
  <c r="P158" i="4" s="1"/>
  <c r="M152" i="4"/>
  <c r="M158" i="4" s="1"/>
  <c r="O152" i="4"/>
  <c r="O158" i="4" s="1"/>
  <c r="R199" i="4" l="1"/>
  <c r="R224" i="4"/>
  <c r="O24" i="1" s="1"/>
  <c r="R202" i="4"/>
  <c r="R206" i="4" s="1"/>
  <c r="M17" i="5" s="1"/>
  <c r="R61" i="4" s="1"/>
  <c r="R179" i="4"/>
  <c r="R186" i="4" s="1"/>
  <c r="R188" i="4" s="1"/>
  <c r="R81" i="4"/>
  <c r="R82" i="4" s="1"/>
  <c r="R84" i="4" s="1"/>
  <c r="R238" i="4"/>
  <c r="T152" i="4"/>
  <c r="I158" i="4"/>
  <c r="T158" i="4" s="1"/>
  <c r="R208" i="4" l="1"/>
  <c r="M18" i="5" s="1"/>
  <c r="R60" i="4" s="1"/>
  <c r="O10" i="1"/>
  <c r="R229" i="4"/>
  <c r="E10" i="1"/>
  <c r="R62" i="4" l="1"/>
  <c r="R64" i="4"/>
  <c r="R86" i="4" s="1"/>
  <c r="R230" i="4"/>
  <c r="R231" i="4" s="1"/>
  <c r="O12" i="1"/>
  <c r="E11" i="1"/>
  <c r="R259" i="4" l="1"/>
  <c r="O17" i="1"/>
  <c r="O29" i="1" s="1"/>
  <c r="K31" i="4"/>
  <c r="K76" i="4"/>
  <c r="L31" i="4"/>
  <c r="L43" i="4" s="1"/>
  <c r="L76" i="4"/>
  <c r="P136" i="4"/>
  <c r="O136" i="4"/>
  <c r="N136" i="4"/>
  <c r="E12" i="1"/>
  <c r="G19" i="5" l="1"/>
  <c r="T31" i="4"/>
  <c r="T136" i="4"/>
  <c r="T76" i="4"/>
  <c r="I137" i="4"/>
  <c r="I138" i="4"/>
  <c r="I148" i="4"/>
  <c r="N148" i="4"/>
  <c r="N137" i="4"/>
  <c r="N138" i="4"/>
  <c r="J148" i="4"/>
  <c r="J137" i="4"/>
  <c r="J138" i="4"/>
  <c r="O137" i="4"/>
  <c r="O138" i="4"/>
  <c r="O148" i="4"/>
  <c r="M137" i="4"/>
  <c r="M138" i="4"/>
  <c r="M148" i="4"/>
  <c r="P148" i="4"/>
  <c r="P137" i="4"/>
  <c r="P138" i="4"/>
  <c r="K43" i="4"/>
  <c r="E13" i="1"/>
  <c r="E22" i="1" s="1"/>
  <c r="L195" i="4" l="1"/>
  <c r="I28" i="6"/>
  <c r="L71" i="4"/>
  <c r="L130" i="4"/>
  <c r="L138" i="4"/>
  <c r="L148" i="4"/>
  <c r="I28" i="5"/>
  <c r="K37" i="6" s="1"/>
  <c r="L137" i="4"/>
  <c r="I34" i="6"/>
  <c r="I42" i="6"/>
  <c r="K28" i="5"/>
  <c r="M37" i="6" s="1"/>
  <c r="E28" i="5"/>
  <c r="G37" i="6" s="1"/>
  <c r="J28" i="5"/>
  <c r="L37" i="6" s="1"/>
  <c r="F19" i="5"/>
  <c r="O19" i="5" s="1"/>
  <c r="N28" i="5"/>
  <c r="P37" i="6" s="1"/>
  <c r="P43" i="6" s="1"/>
  <c r="H28" i="5"/>
  <c r="J37" i="6" s="1"/>
  <c r="D28" i="5"/>
  <c r="T43" i="4"/>
  <c r="F37" i="6" l="1"/>
  <c r="S140" i="4"/>
  <c r="P27" i="6"/>
  <c r="P35" i="6" s="1"/>
  <c r="S129" i="4"/>
  <c r="K195" i="4"/>
  <c r="H28" i="6"/>
  <c r="K71" i="4"/>
  <c r="T71" i="4" s="1"/>
  <c r="K130" i="4"/>
  <c r="T130" i="4" s="1"/>
  <c r="N43" i="6"/>
  <c r="N35" i="6"/>
  <c r="G28" i="5"/>
  <c r="M69" i="4"/>
  <c r="O69" i="4"/>
  <c r="N69" i="4"/>
  <c r="L69" i="4"/>
  <c r="J43" i="6"/>
  <c r="J27" i="6"/>
  <c r="J35" i="6" s="1"/>
  <c r="F27" i="6"/>
  <c r="H34" i="6"/>
  <c r="H42" i="6"/>
  <c r="K27" i="6"/>
  <c r="K35" i="6" s="1"/>
  <c r="K43" i="6"/>
  <c r="L43" i="6"/>
  <c r="L27" i="6"/>
  <c r="L35" i="6" s="1"/>
  <c r="G27" i="6"/>
  <c r="G35" i="6" s="1"/>
  <c r="G43" i="6"/>
  <c r="M27" i="6"/>
  <c r="M35" i="6" s="1"/>
  <c r="M43" i="6"/>
  <c r="P129" i="4"/>
  <c r="P140" i="4"/>
  <c r="I129" i="4"/>
  <c r="I140" i="4"/>
  <c r="M129" i="4"/>
  <c r="M140" i="4"/>
  <c r="O140" i="4"/>
  <c r="O129" i="4"/>
  <c r="N129" i="4"/>
  <c r="N140" i="4"/>
  <c r="J129" i="4"/>
  <c r="J140" i="4"/>
  <c r="K137" i="4"/>
  <c r="K138" i="4"/>
  <c r="T138" i="4" s="1"/>
  <c r="K148" i="4"/>
  <c r="T148" i="4" s="1"/>
  <c r="S149" i="4" l="1"/>
  <c r="L140" i="4"/>
  <c r="I37" i="6"/>
  <c r="I43" i="6" s="1"/>
  <c r="F43" i="6"/>
  <c r="F35" i="6"/>
  <c r="P69" i="4"/>
  <c r="I27" i="6"/>
  <c r="I35" i="6" s="1"/>
  <c r="L129" i="4"/>
  <c r="T137" i="4"/>
  <c r="F28" i="5"/>
  <c r="O28" i="5" s="1"/>
  <c r="K69" i="4"/>
  <c r="P149" i="4"/>
  <c r="P189" i="4" s="1"/>
  <c r="O149" i="4"/>
  <c r="J149" i="4"/>
  <c r="N149" i="4"/>
  <c r="M149" i="4"/>
  <c r="I149" i="4"/>
  <c r="H37" i="6" l="1"/>
  <c r="L149" i="4"/>
  <c r="L189" i="4" s="1"/>
  <c r="K16" i="5"/>
  <c r="T69" i="4"/>
  <c r="M189" i="4"/>
  <c r="O189" i="4"/>
  <c r="I189" i="4"/>
  <c r="N189" i="4"/>
  <c r="S189" i="4"/>
  <c r="J189" i="4"/>
  <c r="H27" i="6"/>
  <c r="K140" i="4"/>
  <c r="T140" i="4" s="1"/>
  <c r="K129" i="4"/>
  <c r="T129" i="4" s="1"/>
  <c r="H43" i="6" l="1"/>
  <c r="H35" i="6"/>
  <c r="P185" i="4"/>
  <c r="P196" i="4"/>
  <c r="P192" i="4"/>
  <c r="P73" i="4"/>
  <c r="P183" i="4"/>
  <c r="Q74" i="4"/>
  <c r="P72" i="4"/>
  <c r="Q51" i="4"/>
  <c r="M74" i="6"/>
  <c r="M75" i="6"/>
  <c r="P50" i="4"/>
  <c r="P51" i="4" s="1"/>
  <c r="E16" i="5"/>
  <c r="G16" i="5"/>
  <c r="N16" i="5"/>
  <c r="I16" i="5"/>
  <c r="J16" i="5"/>
  <c r="H16" i="5"/>
  <c r="Q47" i="4"/>
  <c r="P46" i="4"/>
  <c r="P47" i="4" s="1"/>
  <c r="D16" i="5"/>
  <c r="P176" i="4"/>
  <c r="P182" i="4"/>
  <c r="M65" i="6"/>
  <c r="M66" i="6"/>
  <c r="M71" i="6"/>
  <c r="M68" i="6"/>
  <c r="P175" i="4"/>
  <c r="P178" i="4"/>
  <c r="P181" i="4"/>
  <c r="P174" i="4"/>
  <c r="P173" i="4"/>
  <c r="K149" i="4"/>
  <c r="P74" i="6" l="1"/>
  <c r="P75" i="6"/>
  <c r="P65" i="6"/>
  <c r="P66" i="6"/>
  <c r="P71" i="6"/>
  <c r="P68" i="6"/>
  <c r="S192" i="4"/>
  <c r="S196" i="4"/>
  <c r="S173" i="4"/>
  <c r="S174" i="4"/>
  <c r="S178" i="4"/>
  <c r="S182" i="4"/>
  <c r="S181" i="4"/>
  <c r="S175" i="4"/>
  <c r="S183" i="4"/>
  <c r="S176" i="4"/>
  <c r="S185" i="4"/>
  <c r="S72" i="4"/>
  <c r="S73" i="4"/>
  <c r="S46" i="4"/>
  <c r="S47" i="4" s="1"/>
  <c r="S50" i="4"/>
  <c r="S51" i="4" s="1"/>
  <c r="J66" i="6"/>
  <c r="K65" i="6"/>
  <c r="I196" i="4"/>
  <c r="O196" i="4"/>
  <c r="J196" i="4"/>
  <c r="G68" i="6"/>
  <c r="J174" i="4"/>
  <c r="L66" i="6"/>
  <c r="I65" i="6"/>
  <c r="J181" i="4"/>
  <c r="O173" i="4"/>
  <c r="O174" i="4"/>
  <c r="J176" i="4"/>
  <c r="I173" i="4"/>
  <c r="L71" i="6"/>
  <c r="I71" i="6"/>
  <c r="I66" i="6"/>
  <c r="I68" i="6"/>
  <c r="N50" i="4"/>
  <c r="N51" i="4" s="1"/>
  <c r="K66" i="6"/>
  <c r="K68" i="6"/>
  <c r="J68" i="6"/>
  <c r="J65" i="6"/>
  <c r="K71" i="6"/>
  <c r="J71" i="6"/>
  <c r="I178" i="4"/>
  <c r="L68" i="6"/>
  <c r="L65" i="6"/>
  <c r="F68" i="6"/>
  <c r="G65" i="6"/>
  <c r="G71" i="6"/>
  <c r="F71" i="6"/>
  <c r="I182" i="4"/>
  <c r="I175" i="4"/>
  <c r="F65" i="6"/>
  <c r="N76" i="6"/>
  <c r="G66" i="6"/>
  <c r="F66" i="6"/>
  <c r="J182" i="4"/>
  <c r="J178" i="4"/>
  <c r="J175" i="4"/>
  <c r="J173" i="4"/>
  <c r="O178" i="4"/>
  <c r="I181" i="4"/>
  <c r="I176" i="4"/>
  <c r="I174" i="4"/>
  <c r="O182" i="4"/>
  <c r="O175" i="4"/>
  <c r="M192" i="4"/>
  <c r="M196" i="4"/>
  <c r="N192" i="4"/>
  <c r="N196" i="4"/>
  <c r="L192" i="4"/>
  <c r="L196" i="4"/>
  <c r="I185" i="4"/>
  <c r="I192" i="4"/>
  <c r="O185" i="4"/>
  <c r="O192" i="4"/>
  <c r="J185" i="4"/>
  <c r="J192" i="4"/>
  <c r="M183" i="4"/>
  <c r="M185" i="4"/>
  <c r="N183" i="4"/>
  <c r="N185" i="4"/>
  <c r="L183" i="4"/>
  <c r="L185" i="4"/>
  <c r="O181" i="4"/>
  <c r="O183" i="4"/>
  <c r="J73" i="4"/>
  <c r="J183" i="4"/>
  <c r="P74" i="4"/>
  <c r="I73" i="4"/>
  <c r="I183" i="4"/>
  <c r="M181" i="4"/>
  <c r="M182" i="4"/>
  <c r="N181" i="4"/>
  <c r="N182" i="4"/>
  <c r="L181" i="4"/>
  <c r="L182" i="4"/>
  <c r="M176" i="4"/>
  <c r="M178" i="4"/>
  <c r="N176" i="4"/>
  <c r="N178" i="4"/>
  <c r="L176" i="4"/>
  <c r="L178" i="4"/>
  <c r="O73" i="4"/>
  <c r="O176" i="4"/>
  <c r="M174" i="4"/>
  <c r="M175" i="4"/>
  <c r="N174" i="4"/>
  <c r="N175" i="4"/>
  <c r="L174" i="4"/>
  <c r="L175" i="4"/>
  <c r="M73" i="4"/>
  <c r="M173" i="4"/>
  <c r="N73" i="4"/>
  <c r="N173" i="4"/>
  <c r="L73" i="4"/>
  <c r="L173" i="4"/>
  <c r="G75" i="6"/>
  <c r="J74" i="6"/>
  <c r="I74" i="6"/>
  <c r="K75" i="6"/>
  <c r="M50" i="4"/>
  <c r="M51" i="4" s="1"/>
  <c r="O50" i="4"/>
  <c r="O51" i="4" s="1"/>
  <c r="O72" i="4"/>
  <c r="J46" i="4"/>
  <c r="J47" i="4" s="1"/>
  <c r="J72" i="4"/>
  <c r="F74" i="6"/>
  <c r="I72" i="4"/>
  <c r="M46" i="4"/>
  <c r="M47" i="4" s="1"/>
  <c r="M72" i="4"/>
  <c r="N46" i="4"/>
  <c r="N47" i="4" s="1"/>
  <c r="N72" i="4"/>
  <c r="L46" i="4"/>
  <c r="L47" i="4" s="1"/>
  <c r="L72" i="4"/>
  <c r="P53" i="4"/>
  <c r="K24" i="5" s="1"/>
  <c r="J75" i="6"/>
  <c r="K74" i="6"/>
  <c r="K76" i="6" s="1"/>
  <c r="I75" i="6"/>
  <c r="L50" i="4"/>
  <c r="L51" i="4" s="1"/>
  <c r="L74" i="6"/>
  <c r="L75" i="6"/>
  <c r="G74" i="6"/>
  <c r="Q53" i="4"/>
  <c r="O46" i="4"/>
  <c r="O47" i="4" s="1"/>
  <c r="J50" i="4"/>
  <c r="J51" i="4" s="1"/>
  <c r="M76" i="6"/>
  <c r="I46" i="4"/>
  <c r="I47" i="4" s="1"/>
  <c r="I50" i="4"/>
  <c r="F75" i="6"/>
  <c r="K189" i="4"/>
  <c r="T149" i="4"/>
  <c r="T189" i="4" s="1"/>
  <c r="M78" i="4"/>
  <c r="P78" i="4"/>
  <c r="N78" i="4"/>
  <c r="I76" i="6" l="1"/>
  <c r="N53" i="4"/>
  <c r="I24" i="5" s="1"/>
  <c r="N58" i="4" s="1"/>
  <c r="J74" i="4"/>
  <c r="P76" i="6"/>
  <c r="O53" i="4"/>
  <c r="J24" i="5" s="1"/>
  <c r="O58" i="4" s="1"/>
  <c r="G76" i="6"/>
  <c r="I74" i="4"/>
  <c r="O74" i="4"/>
  <c r="L74" i="4"/>
  <c r="N74" i="4"/>
  <c r="M74" i="4"/>
  <c r="S53" i="4"/>
  <c r="S74" i="4"/>
  <c r="J76" i="6"/>
  <c r="M53" i="4"/>
  <c r="H15" i="5" s="1"/>
  <c r="M223" i="4" s="1"/>
  <c r="F76" i="6"/>
  <c r="K15" i="5"/>
  <c r="P223" i="4" s="1"/>
  <c r="L53" i="4"/>
  <c r="G15" i="5" s="1"/>
  <c r="L223" i="4" s="1"/>
  <c r="K25" i="5"/>
  <c r="J53" i="4"/>
  <c r="E24" i="5" s="1"/>
  <c r="J58" i="4" s="1"/>
  <c r="L76" i="6"/>
  <c r="L15" i="5"/>
  <c r="L24" i="5"/>
  <c r="L25" i="5"/>
  <c r="F16" i="5"/>
  <c r="O16" i="5" s="1"/>
  <c r="I51" i="4"/>
  <c r="I53" i="4" s="1"/>
  <c r="K78" i="4"/>
  <c r="L78" i="4"/>
  <c r="I78" i="4"/>
  <c r="O78" i="4"/>
  <c r="J78" i="4"/>
  <c r="P58" i="4"/>
  <c r="I15" i="5" l="1"/>
  <c r="N223" i="4" s="1"/>
  <c r="N70" i="6"/>
  <c r="Q248" i="4"/>
  <c r="M70" i="6"/>
  <c r="P248" i="4"/>
  <c r="P180" i="4"/>
  <c r="P246" i="4"/>
  <c r="N67" i="6"/>
  <c r="N79" i="6" s="1"/>
  <c r="N83" i="6" s="1"/>
  <c r="N84" i="6" s="1"/>
  <c r="Q246" i="4"/>
  <c r="H66" i="6"/>
  <c r="I25" i="5"/>
  <c r="N248" i="4" s="1"/>
  <c r="J15" i="5"/>
  <c r="O223" i="4" s="1"/>
  <c r="J25" i="5"/>
  <c r="H71" i="6"/>
  <c r="H68" i="6"/>
  <c r="P205" i="4"/>
  <c r="H65" i="6"/>
  <c r="K176" i="4"/>
  <c r="T176" i="4" s="1"/>
  <c r="H25" i="5"/>
  <c r="P222" i="4"/>
  <c r="Q250" i="4"/>
  <c r="Q245" i="4"/>
  <c r="Q236" i="4"/>
  <c r="Q249" i="4"/>
  <c r="Q237" i="4"/>
  <c r="Q221" i="4"/>
  <c r="Q222" i="4"/>
  <c r="Q223" i="4"/>
  <c r="P198" i="4"/>
  <c r="P245" i="4"/>
  <c r="P221" i="4"/>
  <c r="Q204" i="4"/>
  <c r="Q205" i="4"/>
  <c r="L59" i="4"/>
  <c r="L204" i="4"/>
  <c r="P59" i="4"/>
  <c r="P204" i="4"/>
  <c r="M59" i="4"/>
  <c r="M204" i="4"/>
  <c r="Q58" i="4"/>
  <c r="Q203" i="4"/>
  <c r="P177" i="4"/>
  <c r="P77" i="4"/>
  <c r="Q197" i="4"/>
  <c r="Q198" i="4"/>
  <c r="P80" i="4"/>
  <c r="P197" i="4"/>
  <c r="K178" i="4"/>
  <c r="T178" i="4" s="1"/>
  <c r="K196" i="4"/>
  <c r="K185" i="4"/>
  <c r="T185" i="4" s="1"/>
  <c r="K192" i="4"/>
  <c r="K174" i="4"/>
  <c r="T174" i="4" s="1"/>
  <c r="K182" i="4"/>
  <c r="T182" i="4" s="1"/>
  <c r="K181" i="4"/>
  <c r="T181" i="4" s="1"/>
  <c r="Q177" i="4"/>
  <c r="Q180" i="4"/>
  <c r="K175" i="4"/>
  <c r="T175" i="4" s="1"/>
  <c r="K183" i="4"/>
  <c r="T183" i="4" s="1"/>
  <c r="K73" i="4"/>
  <c r="T73" i="4" s="1"/>
  <c r="K173" i="4"/>
  <c r="T173" i="4" s="1"/>
  <c r="N25" i="5"/>
  <c r="N15" i="5"/>
  <c r="N24" i="5"/>
  <c r="E25" i="5"/>
  <c r="Q80" i="4"/>
  <c r="Q77" i="4"/>
  <c r="Q59" i="4"/>
  <c r="G24" i="5"/>
  <c r="L58" i="4" s="1"/>
  <c r="K50" i="4"/>
  <c r="H24" i="5"/>
  <c r="M58" i="4" s="1"/>
  <c r="E15" i="5"/>
  <c r="J222" i="4" s="1"/>
  <c r="G25" i="5"/>
  <c r="K46" i="4"/>
  <c r="T46" i="4" s="1"/>
  <c r="K72" i="4"/>
  <c r="H74" i="6"/>
  <c r="H75" i="6"/>
  <c r="D24" i="5"/>
  <c r="D15" i="5"/>
  <c r="D25" i="5"/>
  <c r="I237" i="4" s="1"/>
  <c r="T78" i="4"/>
  <c r="M222" i="4"/>
  <c r="M205" i="4"/>
  <c r="P237" i="4"/>
  <c r="P236" i="4"/>
  <c r="P249" i="4"/>
  <c r="P250" i="4"/>
  <c r="L205" i="4"/>
  <c r="L222" i="4"/>
  <c r="I58" i="4" l="1"/>
  <c r="P70" i="6"/>
  <c r="P67" i="6"/>
  <c r="P79" i="6" s="1"/>
  <c r="P83" i="6" s="1"/>
  <c r="P84" i="6" s="1"/>
  <c r="N205" i="4"/>
  <c r="N59" i="4"/>
  <c r="N222" i="4"/>
  <c r="N204" i="4"/>
  <c r="S222" i="4"/>
  <c r="S223" i="4"/>
  <c r="S245" i="4"/>
  <c r="S236" i="4"/>
  <c r="S249" i="4"/>
  <c r="S246" i="4"/>
  <c r="S221" i="4"/>
  <c r="S250" i="4"/>
  <c r="S248" i="4"/>
  <c r="S237" i="4"/>
  <c r="S59" i="4"/>
  <c r="S204" i="4"/>
  <c r="S205" i="4"/>
  <c r="S58" i="4"/>
  <c r="S203" i="4"/>
  <c r="S197" i="4"/>
  <c r="S198" i="4"/>
  <c r="S177" i="4"/>
  <c r="S180" i="4"/>
  <c r="S77" i="4"/>
  <c r="S80" i="4"/>
  <c r="I223" i="4"/>
  <c r="L70" i="6"/>
  <c r="O248" i="4"/>
  <c r="J70" i="6"/>
  <c r="M248" i="4"/>
  <c r="F70" i="6"/>
  <c r="I246" i="4"/>
  <c r="I248" i="4"/>
  <c r="I70" i="6"/>
  <c r="L248" i="4"/>
  <c r="G70" i="6"/>
  <c r="J246" i="4"/>
  <c r="J248" i="4"/>
  <c r="N249" i="4"/>
  <c r="K70" i="6"/>
  <c r="M221" i="4"/>
  <c r="M246" i="4"/>
  <c r="O245" i="4"/>
  <c r="O246" i="4"/>
  <c r="I249" i="4"/>
  <c r="L180" i="4"/>
  <c r="L246" i="4"/>
  <c r="J250" i="4"/>
  <c r="N245" i="4"/>
  <c r="N246" i="4"/>
  <c r="N77" i="4"/>
  <c r="N236" i="4"/>
  <c r="N80" i="4"/>
  <c r="N180" i="4"/>
  <c r="N250" i="4"/>
  <c r="N177" i="4"/>
  <c r="N237" i="4"/>
  <c r="N198" i="4"/>
  <c r="M245" i="4"/>
  <c r="N197" i="4"/>
  <c r="N221" i="4"/>
  <c r="I180" i="4"/>
  <c r="I222" i="4"/>
  <c r="O77" i="4"/>
  <c r="O198" i="4"/>
  <c r="O250" i="4"/>
  <c r="O177" i="4"/>
  <c r="O249" i="4"/>
  <c r="O180" i="4"/>
  <c r="O237" i="4"/>
  <c r="O236" i="4"/>
  <c r="O80" i="4"/>
  <c r="O197" i="4"/>
  <c r="M237" i="4"/>
  <c r="M177" i="4"/>
  <c r="M80" i="4"/>
  <c r="O205" i="4"/>
  <c r="O204" i="4"/>
  <c r="I236" i="4"/>
  <c r="O222" i="4"/>
  <c r="M198" i="4"/>
  <c r="O59" i="4"/>
  <c r="P199" i="4"/>
  <c r="M249" i="4"/>
  <c r="M250" i="4"/>
  <c r="M236" i="4"/>
  <c r="M180" i="4"/>
  <c r="M77" i="4"/>
  <c r="M197" i="4"/>
  <c r="O221" i="4"/>
  <c r="K47" i="4"/>
  <c r="T47" i="4" s="1"/>
  <c r="J236" i="4"/>
  <c r="J237" i="4"/>
  <c r="I205" i="4"/>
  <c r="I250" i="4"/>
  <c r="J249" i="4"/>
  <c r="J205" i="4"/>
  <c r="J223" i="4"/>
  <c r="Q224" i="4"/>
  <c r="N24" i="1" s="1"/>
  <c r="Q238" i="4"/>
  <c r="I198" i="4"/>
  <c r="I245" i="4"/>
  <c r="I221" i="4"/>
  <c r="L198" i="4"/>
  <c r="L245" i="4"/>
  <c r="L221" i="4"/>
  <c r="L236" i="4"/>
  <c r="L249" i="4"/>
  <c r="L237" i="4"/>
  <c r="L250" i="4"/>
  <c r="J198" i="4"/>
  <c r="J245" i="4"/>
  <c r="J221" i="4"/>
  <c r="I59" i="4"/>
  <c r="I204" i="4"/>
  <c r="J59" i="4"/>
  <c r="J204" i="4"/>
  <c r="Q199" i="4"/>
  <c r="I177" i="4"/>
  <c r="I197" i="4"/>
  <c r="L177" i="4"/>
  <c r="L197" i="4"/>
  <c r="J177" i="4"/>
  <c r="J197" i="4"/>
  <c r="P238" i="4"/>
  <c r="J180" i="4"/>
  <c r="T192" i="4"/>
  <c r="J77" i="4"/>
  <c r="J80" i="4"/>
  <c r="I77" i="4"/>
  <c r="I80" i="4"/>
  <c r="L77" i="4"/>
  <c r="L80" i="4"/>
  <c r="K51" i="4"/>
  <c r="T51" i="4" s="1"/>
  <c r="T50" i="4"/>
  <c r="T72" i="4"/>
  <c r="K74" i="4"/>
  <c r="T74" i="4" s="1"/>
  <c r="H76" i="6"/>
  <c r="P203" i="4"/>
  <c r="S199" i="4" l="1"/>
  <c r="N199" i="4"/>
  <c r="N238" i="4"/>
  <c r="O199" i="4"/>
  <c r="I238" i="4"/>
  <c r="M238" i="4"/>
  <c r="S238" i="4"/>
  <c r="O238" i="4"/>
  <c r="M199" i="4"/>
  <c r="J199" i="4"/>
  <c r="L199" i="4"/>
  <c r="L238" i="4"/>
  <c r="J238" i="4"/>
  <c r="I199" i="4"/>
  <c r="K53" i="4"/>
  <c r="T53" i="4" s="1"/>
  <c r="P216" i="4"/>
  <c r="P224" i="4" s="1"/>
  <c r="L203" i="4"/>
  <c r="N203" i="4"/>
  <c r="J203" i="4"/>
  <c r="M203" i="4"/>
  <c r="O203" i="4"/>
  <c r="M216" i="4"/>
  <c r="M224" i="4" s="1"/>
  <c r="J24" i="1" s="1"/>
  <c r="N216" i="4"/>
  <c r="N224" i="4" s="1"/>
  <c r="K24" i="1" s="1"/>
  <c r="F24" i="5" l="1"/>
  <c r="O24" i="5" s="1"/>
  <c r="F25" i="5"/>
  <c r="O25" i="5" s="1"/>
  <c r="F15" i="5"/>
  <c r="O15" i="5" s="1"/>
  <c r="K216" i="4"/>
  <c r="O216" i="4"/>
  <c r="O224" i="4" s="1"/>
  <c r="L24" i="1" s="1"/>
  <c r="I203" i="4"/>
  <c r="S224" i="4"/>
  <c r="P24" i="1" s="1"/>
  <c r="M24" i="1"/>
  <c r="I216" i="4"/>
  <c r="K248" i="4" l="1"/>
  <c r="T248" i="4" s="1"/>
  <c r="K203" i="4"/>
  <c r="K246" i="4"/>
  <c r="T246" i="4" s="1"/>
  <c r="H70" i="6"/>
  <c r="K198" i="4"/>
  <c r="T198" i="4" s="1"/>
  <c r="K245" i="4"/>
  <c r="T245" i="4" s="1"/>
  <c r="K221" i="4"/>
  <c r="T221" i="4" s="1"/>
  <c r="K236" i="4"/>
  <c r="K237" i="4"/>
  <c r="T237" i="4" s="1"/>
  <c r="K250" i="4"/>
  <c r="T250" i="4" s="1"/>
  <c r="K249" i="4"/>
  <c r="T249" i="4" s="1"/>
  <c r="K223" i="4"/>
  <c r="T223" i="4" s="1"/>
  <c r="K222" i="4"/>
  <c r="T222" i="4" s="1"/>
  <c r="K204" i="4"/>
  <c r="T204" i="4" s="1"/>
  <c r="K205" i="4"/>
  <c r="T205" i="4" s="1"/>
  <c r="K180" i="4"/>
  <c r="T180" i="4" s="1"/>
  <c r="K197" i="4"/>
  <c r="K80" i="4"/>
  <c r="T80" i="4" s="1"/>
  <c r="K177" i="4"/>
  <c r="T177" i="4" s="1"/>
  <c r="K58" i="4"/>
  <c r="T58" i="4" s="1"/>
  <c r="K77" i="4"/>
  <c r="T77" i="4" s="1"/>
  <c r="K59" i="4"/>
  <c r="T59" i="4" s="1"/>
  <c r="T203" i="4"/>
  <c r="I224" i="4"/>
  <c r="T236" i="4" l="1"/>
  <c r="K238" i="4"/>
  <c r="K224" i="4"/>
  <c r="H24" i="1" s="1"/>
  <c r="K199" i="4"/>
  <c r="T199" i="4" s="1"/>
  <c r="T197" i="4"/>
  <c r="T238" i="4" l="1"/>
  <c r="F24" i="1"/>
  <c r="C50" i="22" l="1"/>
  <c r="C52" i="22" l="1"/>
  <c r="C47" i="22"/>
  <c r="C51" i="22" l="1"/>
  <c r="C48" i="22" l="1"/>
  <c r="G273" i="2" l="1"/>
  <c r="J216" i="4" l="1"/>
  <c r="J224" i="4" s="1"/>
  <c r="L216" i="4"/>
  <c r="L224" i="4" s="1"/>
  <c r="I24" i="1" s="1"/>
  <c r="H67" i="6"/>
  <c r="H79" i="6" s="1"/>
  <c r="F67" i="6"/>
  <c r="F79" i="6" s="1"/>
  <c r="F83" i="6" s="1"/>
  <c r="L67" i="6"/>
  <c r="L79" i="6" s="1"/>
  <c r="I67" i="6"/>
  <c r="I79" i="6" s="1"/>
  <c r="M67" i="6"/>
  <c r="M79" i="6" s="1"/>
  <c r="K67" i="6"/>
  <c r="K79" i="6" s="1"/>
  <c r="G67" i="6"/>
  <c r="G79" i="6" s="1"/>
  <c r="J67" i="6"/>
  <c r="J79" i="6" s="1"/>
  <c r="T224" i="4" l="1"/>
  <c r="J83" i="6"/>
  <c r="J84" i="6" s="1"/>
  <c r="K83" i="6"/>
  <c r="K84" i="6" s="1"/>
  <c r="I83" i="6"/>
  <c r="I84" i="6" s="1"/>
  <c r="G83" i="6"/>
  <c r="G84" i="6" s="1"/>
  <c r="M83" i="6"/>
  <c r="M84" i="6" s="1"/>
  <c r="L83" i="6"/>
  <c r="L84" i="6" s="1"/>
  <c r="H83" i="6"/>
  <c r="H84" i="6" s="1"/>
  <c r="F84" i="6"/>
  <c r="T216" i="4"/>
  <c r="G24" i="1"/>
  <c r="Q24" i="1" s="1"/>
  <c r="H27" i="5" l="1"/>
  <c r="J69" i="6" s="1"/>
  <c r="J72" i="6" s="1"/>
  <c r="J78" i="6" s="1"/>
  <c r="J81" i="6" s="1"/>
  <c r="F27" i="5"/>
  <c r="H69" i="6" s="1"/>
  <c r="H72" i="6" s="1"/>
  <c r="H78" i="6" s="1"/>
  <c r="H81" i="6" s="1"/>
  <c r="N27" i="5"/>
  <c r="J27" i="5"/>
  <c r="L69" i="6" s="1"/>
  <c r="L72" i="6" s="1"/>
  <c r="L78" i="6" s="1"/>
  <c r="E27" i="5"/>
  <c r="G69" i="6" s="1"/>
  <c r="G72" i="6" s="1"/>
  <c r="G78" i="6" s="1"/>
  <c r="K27" i="5"/>
  <c r="M69" i="6" s="1"/>
  <c r="M72" i="6" s="1"/>
  <c r="M78" i="6" s="1"/>
  <c r="I27" i="5"/>
  <c r="K69" i="6" s="1"/>
  <c r="K72" i="6" s="1"/>
  <c r="K78" i="6" s="1"/>
  <c r="G27" i="5"/>
  <c r="I69" i="6" s="1"/>
  <c r="I72" i="6" s="1"/>
  <c r="I78" i="6" s="1"/>
  <c r="I81" i="6" s="1"/>
  <c r="L27" i="5"/>
  <c r="N69" i="6" s="1"/>
  <c r="N72" i="6" s="1"/>
  <c r="N78" i="6" s="1"/>
  <c r="P69" i="6" l="1"/>
  <c r="P72" i="6" s="1"/>
  <c r="P78" i="6" s="1"/>
  <c r="P81" i="6" s="1"/>
  <c r="P82" i="6" s="1"/>
  <c r="N26" i="5" s="1"/>
  <c r="S202" i="4" s="1"/>
  <c r="M81" i="6"/>
  <c r="M82" i="6" s="1"/>
  <c r="K26" i="5" s="1"/>
  <c r="L81" i="6"/>
  <c r="L82" i="6" s="1"/>
  <c r="J26" i="5" s="1"/>
  <c r="N81" i="6"/>
  <c r="K81" i="6"/>
  <c r="K82" i="6" s="1"/>
  <c r="I26" i="5" s="1"/>
  <c r="G81" i="6"/>
  <c r="G82" i="6" s="1"/>
  <c r="E26" i="5" s="1"/>
  <c r="J81" i="4" s="1"/>
  <c r="J82" i="4" s="1"/>
  <c r="J84" i="4" s="1"/>
  <c r="I82" i="6"/>
  <c r="G26" i="5" s="1"/>
  <c r="H82" i="6"/>
  <c r="F26" i="5" s="1"/>
  <c r="J82" i="6"/>
  <c r="H26" i="5" s="1"/>
  <c r="N82" i="6" l="1"/>
  <c r="L26" i="5" s="1"/>
  <c r="Q202" i="4" s="1"/>
  <c r="Q206" i="4" s="1"/>
  <c r="Q208" i="4" s="1"/>
  <c r="S81" i="4"/>
  <c r="S82" i="4" s="1"/>
  <c r="S84" i="4" s="1"/>
  <c r="S179" i="4"/>
  <c r="S186" i="4" s="1"/>
  <c r="S188" i="4" s="1"/>
  <c r="S229" i="4" s="1"/>
  <c r="N81" i="4"/>
  <c r="N82" i="4" s="1"/>
  <c r="N84" i="4" s="1"/>
  <c r="N202" i="4"/>
  <c r="N206" i="4" s="1"/>
  <c r="N208" i="4" s="1"/>
  <c r="O81" i="4"/>
  <c r="O82" i="4" s="1"/>
  <c r="O84" i="4" s="1"/>
  <c r="O179" i="4"/>
  <c r="O186" i="4" s="1"/>
  <c r="O188" i="4" s="1"/>
  <c r="L10" i="1" s="1"/>
  <c r="O202" i="4"/>
  <c r="O206" i="4" s="1"/>
  <c r="J17" i="5" s="1"/>
  <c r="O61" i="4" s="1"/>
  <c r="P202" i="4"/>
  <c r="P206" i="4" s="1"/>
  <c r="P179" i="4"/>
  <c r="P186" i="4" s="1"/>
  <c r="P188" i="4" s="1"/>
  <c r="P229" i="4" s="1"/>
  <c r="J202" i="4"/>
  <c r="J206" i="4" s="1"/>
  <c r="E17" i="5" s="1"/>
  <c r="J61" i="4" s="1"/>
  <c r="P81" i="4"/>
  <c r="P82" i="4" s="1"/>
  <c r="P84" i="4" s="1"/>
  <c r="J179" i="4"/>
  <c r="J186" i="4" s="1"/>
  <c r="J188" i="4" s="1"/>
  <c r="G10" i="1" s="1"/>
  <c r="N179" i="4"/>
  <c r="N186" i="4" s="1"/>
  <c r="N188" i="4" s="1"/>
  <c r="N229" i="4" s="1"/>
  <c r="M81" i="4"/>
  <c r="M82" i="4" s="1"/>
  <c r="M84" i="4" s="1"/>
  <c r="M202" i="4"/>
  <c r="M206" i="4" s="1"/>
  <c r="H17" i="5" s="1"/>
  <c r="M61" i="4" s="1"/>
  <c r="M179" i="4"/>
  <c r="M186" i="4" s="1"/>
  <c r="M188" i="4" s="1"/>
  <c r="M229" i="4" s="1"/>
  <c r="K202" i="4"/>
  <c r="K206" i="4" s="1"/>
  <c r="F17" i="5" s="1"/>
  <c r="K61" i="4" s="1"/>
  <c r="K81" i="4"/>
  <c r="K82" i="4" s="1"/>
  <c r="K84" i="4" s="1"/>
  <c r="S206" i="4"/>
  <c r="N17" i="5" s="1"/>
  <c r="S61" i="4" s="1"/>
  <c r="L202" i="4"/>
  <c r="L206" i="4" s="1"/>
  <c r="L179" i="4"/>
  <c r="L186" i="4" s="1"/>
  <c r="L188" i="4" s="1"/>
  <c r="L229" i="4" s="1"/>
  <c r="K179" i="4"/>
  <c r="K186" i="4" s="1"/>
  <c r="K188" i="4" s="1"/>
  <c r="L81" i="4"/>
  <c r="L82" i="4" s="1"/>
  <c r="L84" i="4" s="1"/>
  <c r="E84" i="6"/>
  <c r="D27" i="5"/>
  <c r="O27" i="5" s="1"/>
  <c r="Q179" i="4" l="1"/>
  <c r="Q186" i="4" s="1"/>
  <c r="Q188" i="4" s="1"/>
  <c r="Q229" i="4" s="1"/>
  <c r="Q81" i="4"/>
  <c r="Q82" i="4" s="1"/>
  <c r="Q84" i="4" s="1"/>
  <c r="J229" i="4"/>
  <c r="O208" i="4"/>
  <c r="J18" i="5" s="1"/>
  <c r="O60" i="4" s="1"/>
  <c r="M10" i="1"/>
  <c r="I17" i="5"/>
  <c r="N61" i="4" s="1"/>
  <c r="J208" i="4"/>
  <c r="G12" i="1" s="1"/>
  <c r="L17" i="5"/>
  <c r="Q61" i="4" s="1"/>
  <c r="O229" i="4"/>
  <c r="K10" i="1"/>
  <c r="S208" i="4"/>
  <c r="K208" i="4"/>
  <c r="F18" i="5" s="1"/>
  <c r="K60" i="4" s="1"/>
  <c r="K64" i="4" s="1"/>
  <c r="K86" i="4" s="1"/>
  <c r="I10" i="1"/>
  <c r="K229" i="4"/>
  <c r="J10" i="1"/>
  <c r="P10" i="1"/>
  <c r="H10" i="1"/>
  <c r="M208" i="4"/>
  <c r="H18" i="5" s="1"/>
  <c r="M60" i="4" s="1"/>
  <c r="M64" i="4" s="1"/>
  <c r="M86" i="4" s="1"/>
  <c r="L208" i="4"/>
  <c r="G17" i="5"/>
  <c r="L61" i="4" s="1"/>
  <c r="F69" i="6"/>
  <c r="Q230" i="4"/>
  <c r="N12" i="1"/>
  <c r="K12" i="1"/>
  <c r="N230" i="4"/>
  <c r="N231" i="4" s="1"/>
  <c r="I18" i="5"/>
  <c r="N60" i="4" s="1"/>
  <c r="K17" i="5"/>
  <c r="P61" i="4" s="1"/>
  <c r="P208" i="4"/>
  <c r="N18" i="5" l="1"/>
  <c r="S60" i="4" s="1"/>
  <c r="S62" i="4" s="1"/>
  <c r="S230" i="4"/>
  <c r="S231" i="4" s="1"/>
  <c r="L18" i="5"/>
  <c r="Q60" i="4" s="1"/>
  <c r="Q64" i="4" s="1"/>
  <c r="Q86" i="4" s="1"/>
  <c r="N10" i="1"/>
  <c r="L12" i="1"/>
  <c r="J230" i="4"/>
  <c r="J231" i="4" s="1"/>
  <c r="O64" i="4"/>
  <c r="O86" i="4" s="1"/>
  <c r="O62" i="4"/>
  <c r="O230" i="4"/>
  <c r="O231" i="4" s="1"/>
  <c r="E18" i="5"/>
  <c r="J60" i="4" s="1"/>
  <c r="J62" i="4" s="1"/>
  <c r="Q231" i="4"/>
  <c r="K62" i="4"/>
  <c r="P12" i="1"/>
  <c r="H12" i="1"/>
  <c r="K230" i="4"/>
  <c r="K231" i="4" s="1"/>
  <c r="M62" i="4"/>
  <c r="M230" i="4"/>
  <c r="M231" i="4" s="1"/>
  <c r="L230" i="4"/>
  <c r="L231" i="4" s="1"/>
  <c r="I12" i="1"/>
  <c r="G18" i="5"/>
  <c r="L60" i="4" s="1"/>
  <c r="J12" i="1"/>
  <c r="F72" i="6"/>
  <c r="F78" i="6" s="1"/>
  <c r="F81" i="6" s="1"/>
  <c r="K259" i="4"/>
  <c r="H17" i="1"/>
  <c r="H29" i="1" s="1"/>
  <c r="M259" i="4"/>
  <c r="J17" i="1"/>
  <c r="J29" i="1" s="1"/>
  <c r="N62" i="4"/>
  <c r="N64" i="4"/>
  <c r="N86" i="4" s="1"/>
  <c r="P230" i="4"/>
  <c r="P231" i="4" s="1"/>
  <c r="M12" i="1"/>
  <c r="K18" i="5"/>
  <c r="P60" i="4" s="1"/>
  <c r="S64" i="4" l="1"/>
  <c r="S86" i="4" s="1"/>
  <c r="S259" i="4" s="1"/>
  <c r="Q62" i="4"/>
  <c r="N17" i="1"/>
  <c r="N29" i="1" s="1"/>
  <c r="O259" i="4"/>
  <c r="L17" i="1"/>
  <c r="L29" i="1" s="1"/>
  <c r="J64" i="4"/>
  <c r="J86" i="4" s="1"/>
  <c r="G17" i="1" s="1"/>
  <c r="G29" i="1" s="1"/>
  <c r="Q259" i="4"/>
  <c r="L64" i="4"/>
  <c r="L86" i="4" s="1"/>
  <c r="L62" i="4"/>
  <c r="N259" i="4"/>
  <c r="K17" i="1"/>
  <c r="K29" i="1" s="1"/>
  <c r="P62" i="4"/>
  <c r="P64" i="4"/>
  <c r="P86" i="4" s="1"/>
  <c r="P17" i="1" l="1"/>
  <c r="P29" i="1" s="1"/>
  <c r="J259" i="4"/>
  <c r="I17" i="1"/>
  <c r="I29" i="1" s="1"/>
  <c r="L259" i="4"/>
  <c r="F82" i="6"/>
  <c r="P259" i="4"/>
  <c r="M17" i="1"/>
  <c r="M29" i="1" s="1"/>
  <c r="E82" i="6" l="1"/>
  <c r="D26" i="5"/>
  <c r="O26" i="5" s="1"/>
  <c r="I81" i="4" l="1"/>
  <c r="I202" i="4"/>
  <c r="I179" i="4"/>
  <c r="T179" i="4" s="1"/>
  <c r="T202" i="4" l="1"/>
  <c r="I206" i="4"/>
  <c r="I186" i="4"/>
  <c r="T81" i="4"/>
  <c r="I82" i="4"/>
  <c r="T82" i="4" l="1"/>
  <c r="I84" i="4"/>
  <c r="T84" i="4" s="1"/>
  <c r="D17" i="5"/>
  <c r="O17" i="5" s="1"/>
  <c r="T206" i="4"/>
  <c r="I208" i="4"/>
  <c r="T186" i="4"/>
  <c r="I188" i="4"/>
  <c r="T188" i="4" s="1"/>
  <c r="I61" i="4" l="1"/>
  <c r="T61" i="4" s="1"/>
  <c r="I230" i="4"/>
  <c r="T230" i="4" s="1"/>
  <c r="F12" i="1"/>
  <c r="Q12" i="1" s="1"/>
  <c r="T208" i="4"/>
  <c r="I229" i="4"/>
  <c r="F10" i="1"/>
  <c r="Q10" i="1" s="1"/>
  <c r="D18" i="5"/>
  <c r="O18" i="5" s="1"/>
  <c r="I60" i="4" l="1"/>
  <c r="T229" i="4"/>
  <c r="I231" i="4"/>
  <c r="T231" i="4" s="1"/>
  <c r="T60" i="4" l="1"/>
  <c r="I62" i="4"/>
  <c r="T62" i="4" s="1"/>
  <c r="I64" i="4"/>
  <c r="T64" i="4" l="1"/>
  <c r="I86" i="4"/>
  <c r="T86" i="4" l="1"/>
  <c r="F17" i="1"/>
  <c r="F29" i="1" s="1"/>
  <c r="E29" i="1" s="1"/>
  <c r="E27" i="1" s="1"/>
  <c r="I259" i="4"/>
  <c r="Q17" i="1" l="1"/>
  <c r="Q29" i="1" l="1"/>
  <c r="C46" i="22" l="1"/>
  <c r="C49" i="22"/>
  <c r="E7" i="1" l="1"/>
  <c r="E15" i="1" s="1"/>
  <c r="H233" i="4" l="1"/>
  <c r="H257" i="4" l="1"/>
  <c r="H261" i="4" s="1"/>
  <c r="H240" i="4"/>
  <c r="E19" i="1"/>
  <c r="E23" i="1"/>
  <c r="E25" i="1" s="1"/>
  <c r="I212" i="4" l="1"/>
  <c r="R212" i="4"/>
  <c r="R226" i="4" s="1"/>
  <c r="Q212" i="4"/>
  <c r="Q226" i="4" s="1"/>
  <c r="N7" i="1" s="1"/>
  <c r="J212" i="4"/>
  <c r="J226" i="4" s="1"/>
  <c r="K212" i="4"/>
  <c r="K226" i="4" s="1"/>
  <c r="H7" i="1" s="1"/>
  <c r="M212" i="4"/>
  <c r="M226" i="4" s="1"/>
  <c r="J7" i="1" s="1"/>
  <c r="S212" i="4"/>
  <c r="O212" i="4"/>
  <c r="O226" i="4" s="1"/>
  <c r="L7" i="1" s="1"/>
  <c r="N212" i="4"/>
  <c r="N226" i="4" s="1"/>
  <c r="K7" i="1" s="1"/>
  <c r="P212" i="4"/>
  <c r="P226" i="4" s="1"/>
  <c r="M7" i="1" s="1"/>
  <c r="L212" i="4"/>
  <c r="L226" i="4" s="1"/>
  <c r="I7" i="1" s="1"/>
  <c r="R233" i="4" l="1"/>
  <c r="R240" i="4" s="1"/>
  <c r="R244" i="4" s="1"/>
  <c r="R251" i="4" s="1"/>
  <c r="R253" i="4" s="1"/>
  <c r="O11" i="1" s="1"/>
  <c r="O13" i="1" s="1"/>
  <c r="O22" i="1" s="1"/>
  <c r="O7" i="1"/>
  <c r="T212" i="4"/>
  <c r="S226" i="4"/>
  <c r="P7" i="1" s="1"/>
  <c r="I226" i="4"/>
  <c r="G7" i="1"/>
  <c r="P233" i="4"/>
  <c r="P240" i="4" s="1"/>
  <c r="P244" i="4" s="1"/>
  <c r="P251" i="4" s="1"/>
  <c r="P253" i="4" s="1"/>
  <c r="M11" i="1" s="1"/>
  <c r="M13" i="1" s="1"/>
  <c r="M22" i="1" s="1"/>
  <c r="L233" i="4"/>
  <c r="L240" i="4" s="1"/>
  <c r="L244" i="4" s="1"/>
  <c r="L251" i="4" s="1"/>
  <c r="L253" i="4" s="1"/>
  <c r="I11" i="1" s="1"/>
  <c r="I13" i="1" s="1"/>
  <c r="I22" i="1" s="1"/>
  <c r="N233" i="4"/>
  <c r="N240" i="4" s="1"/>
  <c r="N244" i="4" s="1"/>
  <c r="N251" i="4" s="1"/>
  <c r="N253" i="4" s="1"/>
  <c r="K11" i="1" s="1"/>
  <c r="K13" i="1" s="1"/>
  <c r="J233" i="4"/>
  <c r="O233" i="4"/>
  <c r="O240" i="4" s="1"/>
  <c r="O244" i="4" s="1"/>
  <c r="O251" i="4" s="1"/>
  <c r="O253" i="4" s="1"/>
  <c r="L11" i="1" s="1"/>
  <c r="L13" i="1" s="1"/>
  <c r="M233" i="4"/>
  <c r="M240" i="4" s="1"/>
  <c r="M244" i="4" s="1"/>
  <c r="M251" i="4" s="1"/>
  <c r="M253" i="4" s="1"/>
  <c r="J11" i="1" s="1"/>
  <c r="J13" i="1" s="1"/>
  <c r="J22" i="1" s="1"/>
  <c r="K233" i="4"/>
  <c r="K240" i="4" s="1"/>
  <c r="K244" i="4" s="1"/>
  <c r="K251" i="4" s="1"/>
  <c r="K253" i="4" s="1"/>
  <c r="H11" i="1" s="1"/>
  <c r="H13" i="1" s="1"/>
  <c r="Q233" i="4"/>
  <c r="R257" i="4" l="1"/>
  <c r="R261" i="4" s="1"/>
  <c r="O15" i="1"/>
  <c r="S233" i="4"/>
  <c r="S240" i="4" s="1"/>
  <c r="I233" i="4"/>
  <c r="T226" i="4"/>
  <c r="J240" i="4"/>
  <c r="J244" i="4" s="1"/>
  <c r="J251" i="4" s="1"/>
  <c r="J253" i="4" s="1"/>
  <c r="G11" i="1" s="1"/>
  <c r="G13" i="1" s="1"/>
  <c r="G22" i="1" s="1"/>
  <c r="L257" i="4"/>
  <c r="L261" i="4" s="1"/>
  <c r="N257" i="4"/>
  <c r="N261" i="4" s="1"/>
  <c r="P257" i="4"/>
  <c r="P261" i="4" s="1"/>
  <c r="M15" i="1"/>
  <c r="M19" i="1" s="1"/>
  <c r="J15" i="1"/>
  <c r="J23" i="1" s="1"/>
  <c r="J25" i="1" s="1"/>
  <c r="M257" i="4"/>
  <c r="M261" i="4" s="1"/>
  <c r="K22" i="1"/>
  <c r="K15" i="1"/>
  <c r="K23" i="1" s="1"/>
  <c r="K257" i="4"/>
  <c r="K261" i="4" s="1"/>
  <c r="O257" i="4"/>
  <c r="O261" i="4" s="1"/>
  <c r="I15" i="1"/>
  <c r="I23" i="1" s="1"/>
  <c r="I25" i="1" s="1"/>
  <c r="H22" i="1"/>
  <c r="H15" i="1"/>
  <c r="H19" i="1" s="1"/>
  <c r="L22" i="1"/>
  <c r="L15" i="1"/>
  <c r="L19" i="1" s="1"/>
  <c r="Q240" i="4"/>
  <c r="Q244" i="4" l="1"/>
  <c r="Q251" i="4" s="1"/>
  <c r="Q253" i="4" s="1"/>
  <c r="S244" i="4"/>
  <c r="S251" i="4" s="1"/>
  <c r="S253" i="4" s="1"/>
  <c r="O19" i="1"/>
  <c r="O23" i="1"/>
  <c r="O25" i="1" s="1"/>
  <c r="T233" i="4"/>
  <c r="J257" i="4"/>
  <c r="J261" i="4" s="1"/>
  <c r="G15" i="1"/>
  <c r="G19" i="1" s="1"/>
  <c r="M23" i="1"/>
  <c r="M25" i="1" s="1"/>
  <c r="M31" i="1" s="1"/>
  <c r="K19" i="1"/>
  <c r="J19" i="1"/>
  <c r="I19" i="1"/>
  <c r="K25" i="1"/>
  <c r="K31" i="1" s="1"/>
  <c r="H23" i="1"/>
  <c r="H25" i="1" s="1"/>
  <c r="H31" i="1" s="1"/>
  <c r="L23" i="1"/>
  <c r="L25" i="1" s="1"/>
  <c r="L31" i="1" s="1"/>
  <c r="I31" i="1"/>
  <c r="J31" i="1"/>
  <c r="O31" i="1" l="1"/>
  <c r="P11" i="1"/>
  <c r="P13" i="1" s="1"/>
  <c r="S257" i="4"/>
  <c r="S261" i="4" s="1"/>
  <c r="N11" i="1"/>
  <c r="N13" i="1" s="1"/>
  <c r="Q257" i="4"/>
  <c r="Q261" i="4" s="1"/>
  <c r="G23" i="1"/>
  <c r="G25" i="1" s="1"/>
  <c r="G31" i="1" s="1"/>
  <c r="F7" i="1"/>
  <c r="Q7" i="1" s="1"/>
  <c r="I240" i="4"/>
  <c r="I244" i="4" s="1"/>
  <c r="I251" i="4" s="1"/>
  <c r="N22" i="1" l="1"/>
  <c r="N15" i="1"/>
  <c r="P22" i="1"/>
  <c r="P15" i="1"/>
  <c r="P19" i="1" s="1"/>
  <c r="T240" i="4"/>
  <c r="P23" i="1" l="1"/>
  <c r="P25" i="1" s="1"/>
  <c r="N19" i="1"/>
  <c r="N23" i="1"/>
  <c r="N25" i="1" s="1"/>
  <c r="N31" i="1" s="1"/>
  <c r="T244" i="4"/>
  <c r="P31" i="1" l="1"/>
  <c r="T251" i="4"/>
  <c r="I253" i="4"/>
  <c r="T253" i="4" l="1"/>
  <c r="F11" i="1"/>
  <c r="Q11" i="1" s="1"/>
  <c r="I257" i="4"/>
  <c r="I261" i="4" s="1"/>
  <c r="F13" i="1" l="1"/>
  <c r="Q13" i="1" l="1"/>
  <c r="F22" i="1"/>
  <c r="F15" i="1"/>
  <c r="Q15" i="1" l="1"/>
  <c r="F23" i="1"/>
  <c r="Q23" i="1" s="1"/>
  <c r="F19" i="1"/>
  <c r="Q22" i="1"/>
  <c r="F25" i="1" l="1"/>
  <c r="Q25" i="1" l="1"/>
  <c r="F31" i="1"/>
  <c r="E31" i="1" l="1"/>
  <c r="F34" i="1" s="1"/>
  <c r="F32" i="1" l="1"/>
  <c r="O34" i="1"/>
  <c r="O36" i="1" s="1"/>
  <c r="O38" i="1" s="1"/>
  <c r="O32" i="1"/>
  <c r="K32" i="1"/>
  <c r="N32" i="1"/>
  <c r="G34" i="1"/>
  <c r="G36" i="1" s="1"/>
  <c r="G38" i="1" s="1"/>
  <c r="H32" i="1"/>
  <c r="Q31" i="1"/>
  <c r="G32" i="1"/>
  <c r="M32" i="1"/>
  <c r="M34" i="1"/>
  <c r="M36" i="1" s="1"/>
  <c r="L32" i="1"/>
  <c r="F36" i="1"/>
  <c r="J32" i="1"/>
  <c r="L34" i="1"/>
  <c r="L36" i="1" s="1"/>
  <c r="I32" i="1"/>
  <c r="I34" i="1"/>
  <c r="I36" i="1" s="1"/>
  <c r="P34" i="1"/>
  <c r="P36" i="1" s="1"/>
  <c r="P38" i="1" s="1"/>
  <c r="P32" i="1"/>
  <c r="N34" i="1"/>
  <c r="N36" i="1" s="1"/>
  <c r="H34" i="1"/>
  <c r="H36" i="1" s="1"/>
  <c r="K34" i="1"/>
  <c r="K36" i="1" s="1"/>
  <c r="J34" i="1"/>
  <c r="J36" i="1" s="1"/>
  <c r="C11" i="22" s="1"/>
  <c r="D11" i="22" s="1"/>
  <c r="E36" i="1" l="1"/>
  <c r="E38" i="1" s="1"/>
  <c r="F11" i="22"/>
  <c r="C16" i="22"/>
  <c r="C40" i="22" s="1"/>
  <c r="E32" i="1"/>
  <c r="Q34" i="1"/>
  <c r="C7" i="22"/>
  <c r="F38" i="1"/>
  <c r="C8" i="22"/>
  <c r="H38" i="1"/>
  <c r="C9" i="22"/>
  <c r="F8" i="22" l="1"/>
  <c r="C8" i="40" s="1"/>
  <c r="D8" i="22"/>
  <c r="C8" i="38" s="1"/>
  <c r="F7" i="22"/>
  <c r="D16" i="22"/>
  <c r="E16" i="22"/>
  <c r="F16" i="22"/>
  <c r="E7" i="22"/>
  <c r="C7" i="39" s="1"/>
  <c r="D7" i="22"/>
  <c r="C7" i="38" s="1"/>
  <c r="E8" i="22"/>
  <c r="I38" i="1"/>
  <c r="C10" i="22"/>
  <c r="D9" i="22"/>
  <c r="C9" i="38" s="1"/>
  <c r="F9" i="22"/>
  <c r="C9" i="40" s="1"/>
  <c r="C45" i="40" s="1"/>
  <c r="C47" i="40" s="1"/>
  <c r="E9" i="22"/>
  <c r="C16" i="39" l="1"/>
  <c r="C35" i="39" s="1"/>
  <c r="E40" i="22"/>
  <c r="C16" i="38"/>
  <c r="C37" i="38" s="1"/>
  <c r="D40" i="22"/>
  <c r="C7" i="40"/>
  <c r="C48" i="40" s="1"/>
  <c r="C49" i="40" s="1"/>
  <c r="C51" i="40" s="1"/>
  <c r="C9" i="39"/>
  <c r="C8" i="39"/>
  <c r="D10" i="22"/>
  <c r="F10" i="22"/>
  <c r="C10" i="40" s="1"/>
  <c r="E10" i="22"/>
  <c r="E213" i="41"/>
  <c r="J38" i="1"/>
  <c r="E214" i="41" l="1"/>
  <c r="E208" i="41" s="1"/>
  <c r="F208" i="41" s="1"/>
  <c r="C10" i="38"/>
  <c r="C10" i="39"/>
  <c r="K38" i="1"/>
  <c r="C12" i="22"/>
  <c r="D12" i="22" s="1"/>
  <c r="E11" i="22"/>
  <c r="E210" i="41" l="1"/>
  <c r="F210" i="41" s="1"/>
  <c r="E209" i="41"/>
  <c r="F209" i="41" s="1"/>
  <c r="E207" i="41"/>
  <c r="F207" i="41" s="1"/>
  <c r="C52" i="40"/>
  <c r="C11" i="40"/>
  <c r="C11" i="38"/>
  <c r="E211" i="41"/>
  <c r="C11" i="39"/>
  <c r="C12" i="38"/>
  <c r="F12" i="22"/>
  <c r="E12" i="22"/>
  <c r="L38" i="1"/>
  <c r="C13" i="22"/>
  <c r="D13" i="22" s="1"/>
  <c r="H220" i="41" l="1"/>
  <c r="C20" i="40" s="1"/>
  <c r="H218" i="41"/>
  <c r="C21" i="38" s="1"/>
  <c r="H219" i="41"/>
  <c r="C21" i="39" s="1"/>
  <c r="C38" i="38"/>
  <c r="C36" i="40"/>
  <c r="C36" i="39"/>
  <c r="F211" i="41"/>
  <c r="I211" i="41"/>
  <c r="E51" i="40"/>
  <c r="B37" i="42"/>
  <c r="E52" i="40"/>
  <c r="B38" i="42"/>
  <c r="C12" i="40"/>
  <c r="C12" i="39"/>
  <c r="C13" i="38"/>
  <c r="F13" i="22"/>
  <c r="C13" i="40" s="1"/>
  <c r="E13" i="22"/>
  <c r="C15" i="22"/>
  <c r="D15" i="22" s="1"/>
  <c r="D39" i="22" s="1"/>
  <c r="N38" i="1"/>
  <c r="M38" i="1"/>
  <c r="C14" i="22"/>
  <c r="H221" i="41" l="1"/>
  <c r="C38" i="22"/>
  <c r="D14" i="22"/>
  <c r="D38" i="22" s="1"/>
  <c r="E53" i="40"/>
  <c r="D59" i="38"/>
  <c r="C13" i="39"/>
  <c r="C15" i="38"/>
  <c r="C36" i="38" s="1"/>
  <c r="F15" i="22"/>
  <c r="E15" i="22"/>
  <c r="C15" i="39" s="1"/>
  <c r="C34" i="39" s="1"/>
  <c r="C39" i="22"/>
  <c r="C17" i="22"/>
  <c r="C14" i="38"/>
  <c r="C35" i="38" s="1"/>
  <c r="F14" i="22"/>
  <c r="E14" i="22"/>
  <c r="C15" i="40" l="1"/>
  <c r="C35" i="40" s="1"/>
  <c r="F39" i="22"/>
  <c r="C19" i="22"/>
  <c r="D17" i="22"/>
  <c r="E17" i="22"/>
  <c r="E19" i="22" s="1"/>
  <c r="C17" i="38"/>
  <c r="C19" i="38" s="1"/>
  <c r="F17" i="22"/>
  <c r="F38" i="22"/>
  <c r="C14" i="40"/>
  <c r="C34" i="40" s="1"/>
  <c r="C14" i="39"/>
  <c r="C33" i="39" s="1"/>
  <c r="E39" i="22"/>
  <c r="E38" i="22"/>
  <c r="C41" i="22"/>
  <c r="Q38" i="1"/>
  <c r="Q36" i="1"/>
  <c r="C16" i="40" l="1"/>
  <c r="C18" i="40" s="1"/>
  <c r="F41" i="22"/>
  <c r="F19" i="22"/>
  <c r="F23" i="22" s="1"/>
  <c r="D19" i="22"/>
  <c r="D23" i="22" s="1"/>
  <c r="E41" i="22"/>
  <c r="C17" i="39"/>
  <c r="C19" i="39" s="1"/>
  <c r="D41" i="22"/>
  <c r="E23" i="22"/>
  <c r="D25" i="22" l="1"/>
  <c r="F24" i="22"/>
  <c r="F42" i="22"/>
  <c r="D24" i="22"/>
  <c r="D42" i="22"/>
  <c r="C23" i="22"/>
  <c r="C24" i="22" s="1"/>
  <c r="F25" i="22"/>
  <c r="E24" i="22"/>
  <c r="E25" i="22"/>
  <c r="E42" i="22"/>
  <c r="D26" i="22" l="1"/>
  <c r="C63" i="40"/>
  <c r="C62" i="40"/>
  <c r="C57" i="38"/>
  <c r="C63" i="38"/>
  <c r="C58" i="38"/>
  <c r="B18" i="42" s="1"/>
  <c r="C26" i="22"/>
  <c r="C25" i="22"/>
  <c r="C42" i="22"/>
  <c r="D27" i="22" l="1"/>
  <c r="C20" i="22"/>
  <c r="C27" i="22"/>
  <c r="E27" i="22"/>
  <c r="F27" i="22"/>
  <c r="B23" i="42"/>
  <c r="E63" i="38"/>
  <c r="E64" i="38" s="1"/>
  <c r="B42" i="42"/>
  <c r="E62" i="40"/>
  <c r="E57" i="38"/>
  <c r="B17" i="42"/>
  <c r="E63" i="40"/>
  <c r="B43" i="42"/>
  <c r="E58" i="38"/>
  <c r="E26" i="22"/>
  <c r="F26" i="22"/>
  <c r="E20" i="22" l="1"/>
  <c r="F20" i="22"/>
  <c r="C22" i="40" s="1"/>
  <c r="E59" i="38"/>
  <c r="C22" i="38" s="1"/>
  <c r="E64" i="40"/>
  <c r="C21" i="40" s="1"/>
  <c r="D20" i="22"/>
  <c r="C23" i="38" s="1"/>
  <c r="C22" i="39"/>
  <c r="M56" i="2"/>
  <c r="M90" i="2" s="1"/>
  <c r="C23" i="40" l="1"/>
  <c r="E54" i="40" s="1"/>
  <c r="C56" i="40" s="1"/>
  <c r="B36" i="42" s="1"/>
  <c r="C23" i="39"/>
  <c r="E44" i="39" s="1"/>
  <c r="C46" i="39" s="1"/>
  <c r="B30" i="42" s="1"/>
  <c r="C24" i="38"/>
  <c r="E46" i="38" s="1"/>
  <c r="C51" i="38" s="1"/>
  <c r="E46" i="39" l="1"/>
  <c r="E48" i="39" s="1"/>
  <c r="E50" i="39" s="1"/>
  <c r="C52" i="38"/>
  <c r="E51" i="38"/>
  <c r="E56" i="40"/>
  <c r="E58" i="40" l="1"/>
  <c r="E66" i="40" s="1"/>
  <c r="E52" i="38"/>
  <c r="B12" i="42"/>
  <c r="E53" i="38" l="1"/>
  <c r="E66" i="38" s="1"/>
  <c r="B13" i="42"/>
</calcChain>
</file>

<file path=xl/sharedStrings.xml><?xml version="1.0" encoding="utf-8"?>
<sst xmlns="http://schemas.openxmlformats.org/spreadsheetml/2006/main" count="2879" uniqueCount="1099">
  <si>
    <t>Functional Results</t>
  </si>
  <si>
    <t>South Dakota</t>
  </si>
  <si>
    <t>Daily</t>
  </si>
  <si>
    <t>Monthly</t>
  </si>
  <si>
    <t>Jurisdictional</t>
  </si>
  <si>
    <t>Mains</t>
  </si>
  <si>
    <t>Industrial</t>
  </si>
  <si>
    <t>Customer</t>
  </si>
  <si>
    <t>Transport.</t>
  </si>
  <si>
    <t>Gas Supply</t>
  </si>
  <si>
    <t>Line</t>
  </si>
  <si>
    <t>Description</t>
  </si>
  <si>
    <t>Test Year</t>
  </si>
  <si>
    <t>Peak Facilities</t>
  </si>
  <si>
    <t>(Average)</t>
  </si>
  <si>
    <t>(Peaking)</t>
  </si>
  <si>
    <t>Services</t>
  </si>
  <si>
    <t>Meters</t>
  </si>
  <si>
    <t>Regulators</t>
  </si>
  <si>
    <t>Accounts</t>
  </si>
  <si>
    <t>Admin.</t>
  </si>
  <si>
    <t>(Non PGA)</t>
  </si>
  <si>
    <t>Variance</t>
  </si>
  <si>
    <t>Source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</si>
  <si>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</si>
  <si>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</si>
  <si>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</si>
  <si>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</si>
  <si>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</si>
  <si>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</si>
  <si>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</si>
  <si>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</si>
  <si>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</si>
  <si>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</si>
  <si>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</si>
  <si>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</si>
  <si>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</si>
  <si>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</si>
  <si>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</si>
  <si>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Total Operating Revenues</t>
  </si>
  <si>
    <t>Tab FUN-3, Line 159</t>
  </si>
  <si>
    <t>Total Operating Expenses:</t>
  </si>
  <si>
    <t>O&amp;M Expense</t>
  </si>
  <si>
    <t>Tab FUN-3, Line 132</t>
  </si>
  <si>
    <t>Income Taxes</t>
  </si>
  <si>
    <t>Tab FUN-3, Line 176</t>
  </si>
  <si>
    <t>Other Expense</t>
  </si>
  <si>
    <t>Tab FUN-3, Line 147</t>
  </si>
  <si>
    <t>Total Operating Expenses</t>
  </si>
  <si>
    <t>Sum of Lines 2-4</t>
  </si>
  <si>
    <t>Net Operating Income</t>
  </si>
  <si>
    <t>Line 1 - Line 5</t>
  </si>
  <si>
    <t>Total Rate Base</t>
  </si>
  <si>
    <t>Tab FUN-3, Line 57</t>
  </si>
  <si>
    <t>Return on Rate Base</t>
  </si>
  <si>
    <t>Line 6 / Line 7</t>
  </si>
  <si>
    <t>Retail Revenue Requirements</t>
  </si>
  <si>
    <t>Total Expenses</t>
  </si>
  <si>
    <t>Line 5</t>
  </si>
  <si>
    <t>Line 6</t>
  </si>
  <si>
    <t>Other Operating Revenues</t>
  </si>
  <si>
    <t>Tab FUN-3, Line 158 multiplied by -1</t>
  </si>
  <si>
    <t>Total Retail Revenue Requirement</t>
  </si>
  <si>
    <t>Sum of Lines 9-11</t>
  </si>
  <si>
    <t>Desired Return on Rate Base</t>
  </si>
  <si>
    <t>Exhibit BMG 1.1, Schedule 1, Line 2</t>
  </si>
  <si>
    <t>Total Desired Operating Income</t>
  </si>
  <si>
    <t>Line 7 multiplied by Line 13</t>
  </si>
  <si>
    <t>Desired Total Revenue Requirement</t>
  </si>
  <si>
    <t>Line 12 + ((Line 14 - Line 10) / (1 - Line 20, Column (b)))</t>
  </si>
  <si>
    <t>Percentage of Total</t>
  </si>
  <si>
    <t>See Note 1</t>
  </si>
  <si>
    <t>Uncollectibles + Gross Receipts</t>
  </si>
  <si>
    <t>See Note 2</t>
  </si>
  <si>
    <t>Total Desired Revenue</t>
  </si>
  <si>
    <t>Line 15 + Line 17</t>
  </si>
  <si>
    <t>Revenue Excess/(Deficiency)</t>
  </si>
  <si>
    <t>Line 12 - Line 18</t>
  </si>
  <si>
    <t>Federal Tax Rate</t>
  </si>
  <si>
    <t>Note 1: Line 16 represents the percentage of total revenue requirements by function and is calculated by dividing the amounts from</t>
  </si>
  <si>
    <t xml:space="preserve">            Columns (c) through (m) by Column (b).</t>
  </si>
  <si>
    <t>Note 2: Bad Debt and Gross Receipt expense is taken from Exhibit BMG 1.1, Schedule 1, Lines 8 and 10 and is allocated to function based on</t>
  </si>
  <si>
    <t xml:space="preserve">            the relative amounts of Line 15 less Line 12 by function.</t>
  </si>
  <si>
    <t>Destinations:</t>
  </si>
  <si>
    <t>Line 18 goes to Tab CLS1-1, Lines 1-12, Column (b)</t>
  </si>
  <si>
    <t>Test Year Data</t>
  </si>
  <si>
    <t>ASR Sch. 3</t>
  </si>
  <si>
    <t>ASR Sch. 4</t>
  </si>
  <si>
    <t>ASR Sch. 5</t>
  </si>
  <si>
    <t>ASR Sch. 6</t>
  </si>
  <si>
    <t>ASR Sch. 7</t>
  </si>
  <si>
    <t>BMG Sch. 4</t>
  </si>
  <si>
    <t>BMG Sch. 5</t>
  </si>
  <si>
    <t>BMG Sch. 6</t>
  </si>
  <si>
    <t>BMG Sch. 7</t>
  </si>
  <si>
    <t>BMG Sch. 8</t>
  </si>
  <si>
    <t>BMG Sch. 9</t>
  </si>
  <si>
    <t>BMG Sch. 10</t>
  </si>
  <si>
    <t>BMG Sch. 11</t>
  </si>
  <si>
    <t>BMG Sch. 12</t>
  </si>
  <si>
    <t>BMG Sch. 13</t>
  </si>
  <si>
    <t>BMG Sch. 14</t>
  </si>
  <si>
    <t>BMG Sch. 15</t>
  </si>
  <si>
    <t>BMG Sch. 16</t>
  </si>
  <si>
    <t>ASR Sch. 3-6</t>
  </si>
  <si>
    <t>Depreciation</t>
  </si>
  <si>
    <t>Retirement</t>
  </si>
  <si>
    <t>Sales</t>
  </si>
  <si>
    <t>Late</t>
  </si>
  <si>
    <t>PGA</t>
  </si>
  <si>
    <t>Transportation</t>
  </si>
  <si>
    <t>Farm Tap</t>
  </si>
  <si>
    <t>Pro Forma</t>
  </si>
  <si>
    <t>Projects in Svc</t>
  </si>
  <si>
    <t>System</t>
  </si>
  <si>
    <t>Integrity</t>
  </si>
  <si>
    <t>Business</t>
  </si>
  <si>
    <t>Study</t>
  </si>
  <si>
    <t>Interest</t>
  </si>
  <si>
    <t>Payroll</t>
  </si>
  <si>
    <t>Weather</t>
  </si>
  <si>
    <t>Plan</t>
  </si>
  <si>
    <t>on Rate Base</t>
  </si>
  <si>
    <t>Growth</t>
  </si>
  <si>
    <t>Meter Reading</t>
  </si>
  <si>
    <t>Rate Case</t>
  </si>
  <si>
    <t>Payment</t>
  </si>
  <si>
    <t>LTIP</t>
  </si>
  <si>
    <t>Tax</t>
  </si>
  <si>
    <t>Costs &amp;</t>
  </si>
  <si>
    <t>Economic</t>
  </si>
  <si>
    <t>Revenue</t>
  </si>
  <si>
    <t>Administration</t>
  </si>
  <si>
    <t>Acct</t>
  </si>
  <si>
    <t>Book Value</t>
  </si>
  <si>
    <t>Adjustments</t>
  </si>
  <si>
    <t>Reliability</t>
  </si>
  <si>
    <t>Management</t>
  </si>
  <si>
    <t>Transformation</t>
  </si>
  <si>
    <t>Rates</t>
  </si>
  <si>
    <t>Synchronization</t>
  </si>
  <si>
    <t>Adjustment</t>
  </si>
  <si>
    <t>Normalization</t>
  </si>
  <si>
    <t>Costs</t>
  </si>
  <si>
    <t>Items</t>
  </si>
  <si>
    <t>(Revenue)</t>
  </si>
  <si>
    <t>Labor</t>
  </si>
  <si>
    <t>Expense</t>
  </si>
  <si>
    <t>Charges</t>
  </si>
  <si>
    <t>Revenues</t>
  </si>
  <si>
    <t>Development</t>
  </si>
  <si>
    <t>Reclass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</si>
  <si>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</si>
  <si>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</si>
  <si>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</si>
  <si>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</si>
  <si>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</si>
  <si>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</si>
  <si>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</si>
  <si>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</si>
  <si>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</si>
  <si>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</si>
  <si>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</si>
  <si>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</si>
  <si>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</si>
  <si>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Gross Plant</t>
  </si>
  <si>
    <t>Manufactured Gas Plant</t>
  </si>
  <si>
    <t>Land and Land Rights</t>
  </si>
  <si>
    <t>Structures and Improvements</t>
  </si>
  <si>
    <t>Boilers</t>
  </si>
  <si>
    <t>Other Power Equipment</t>
  </si>
  <si>
    <t>Hydro Plant</t>
  </si>
  <si>
    <t>Other Plant</t>
  </si>
  <si>
    <t>Total Production Plant</t>
  </si>
  <si>
    <t>Storage Plant</t>
  </si>
  <si>
    <t>Gas Holders</t>
  </si>
  <si>
    <t>Purification Equipment</t>
  </si>
  <si>
    <t>Liquifaction Equipment</t>
  </si>
  <si>
    <t>Vaporizing Equipment</t>
  </si>
  <si>
    <t>Compression Equipment</t>
  </si>
  <si>
    <t>Measuring and Regulating Equipment</t>
  </si>
  <si>
    <t>Other Equipment</t>
  </si>
  <si>
    <t>Total Other Storage Plant</t>
  </si>
  <si>
    <t>Distribution Plant</t>
  </si>
  <si>
    <t>Structures and Station Equipment</t>
  </si>
  <si>
    <t>Compressor Station Equipment</t>
  </si>
  <si>
    <t>District Regulator Stations</t>
  </si>
  <si>
    <t>Town Border Stations</t>
  </si>
  <si>
    <t>Meter Installations</t>
  </si>
  <si>
    <t>House Regulators</t>
  </si>
  <si>
    <t>House Regulator Installations</t>
  </si>
  <si>
    <t>Industrial Meas. &amp; Reg Station Equipment</t>
  </si>
  <si>
    <t>Total Distribution Plant</t>
  </si>
  <si>
    <t>General Plant</t>
  </si>
  <si>
    <t>389-398</t>
  </si>
  <si>
    <t>Total General Plant</t>
  </si>
  <si>
    <t>Intangible Plant</t>
  </si>
  <si>
    <t>301-303</t>
  </si>
  <si>
    <t>Total Intangible Plant</t>
  </si>
  <si>
    <t>Gross Plant in Service</t>
  </si>
  <si>
    <t>Additions to Rate Base</t>
  </si>
  <si>
    <t>Requirements for Working Capital</t>
  </si>
  <si>
    <t>Fuel Stocks</t>
  </si>
  <si>
    <t>Total Materials and Supplies</t>
  </si>
  <si>
    <t>Prepayments</t>
  </si>
  <si>
    <t>Cash Working Capital</t>
  </si>
  <si>
    <t>Advanced Tax Collections</t>
  </si>
  <si>
    <t>Total Working Capital</t>
  </si>
  <si>
    <t>Total Additions to Rate Base</t>
  </si>
  <si>
    <t>Deductions from Rate Base</t>
  </si>
  <si>
    <t>Accumulated Provision for Deprec and Amort</t>
  </si>
  <si>
    <t>108-111</t>
  </si>
  <si>
    <t>Production</t>
  </si>
  <si>
    <t>Other Storage Plant</t>
  </si>
  <si>
    <t>Distribution</t>
  </si>
  <si>
    <t>Intangible</t>
  </si>
  <si>
    <t>General</t>
  </si>
  <si>
    <t>Total Accum Amort/Deprec</t>
  </si>
  <si>
    <t>Customer Advances</t>
  </si>
  <si>
    <t>Accum Deferred Income Taxes</t>
  </si>
  <si>
    <t>Customer Deposits</t>
  </si>
  <si>
    <t>Accum Provision for Uncollectibles</t>
  </si>
  <si>
    <t>Accum Deferred Invest Tax Credit</t>
  </si>
  <si>
    <t>Reserve for Inj &amp; Damages/Misc/Pension</t>
  </si>
  <si>
    <t>Total Other Deductions from Rate Base</t>
  </si>
  <si>
    <t>Total Deductions from Rate Base</t>
  </si>
  <si>
    <t>Production Expense</t>
  </si>
  <si>
    <t>MGP Plant</t>
  </si>
  <si>
    <t>Operation</t>
  </si>
  <si>
    <t>Supervision and Engineering</t>
  </si>
  <si>
    <t>Other Power Expenses</t>
  </si>
  <si>
    <t>Manufactured Gas Site Cleanup</t>
  </si>
  <si>
    <t>LPG Expense</t>
  </si>
  <si>
    <t>Liquified Petroleum Gas</t>
  </si>
  <si>
    <t>Miscellaneous</t>
  </si>
  <si>
    <t>Maintenance</t>
  </si>
  <si>
    <t>Structures &amp; Improvements</t>
  </si>
  <si>
    <t>Production Equipment</t>
  </si>
  <si>
    <t>Other Gas Supply Expense</t>
  </si>
  <si>
    <t>800-807</t>
  </si>
  <si>
    <t>Purchased Gas</t>
  </si>
  <si>
    <t>Net Storage</t>
  </si>
  <si>
    <t>Gas Used for Other Utility Oper</t>
  </si>
  <si>
    <t>Other Expenses</t>
  </si>
  <si>
    <t>Total Production Expense</t>
  </si>
  <si>
    <t>Other Storage Expense</t>
  </si>
  <si>
    <t>Labor and Expenses</t>
  </si>
  <si>
    <t>Rents</t>
  </si>
  <si>
    <t>Liquification Equipment</t>
  </si>
  <si>
    <t>Compressor Equipment</t>
  </si>
  <si>
    <t>Measuring and Regulating Equip</t>
  </si>
  <si>
    <t>Total Other Storage Expense</t>
  </si>
  <si>
    <t>Distribution Expense</t>
  </si>
  <si>
    <t>Load Dispatching</t>
  </si>
  <si>
    <t>Mains and Services</t>
  </si>
  <si>
    <t>Meas &amp; Reg Sta Equipment - Gen.</t>
  </si>
  <si>
    <t>Meas &amp; Reg Sta Equipment - Ind</t>
  </si>
  <si>
    <t>Meas &amp; Reg Sta Equipment - CG</t>
  </si>
  <si>
    <t>Meters and House Regulators</t>
  </si>
  <si>
    <t>Customer Installation Expenses</t>
  </si>
  <si>
    <t>Total Distribution Expense</t>
  </si>
  <si>
    <t>Customer Accounting Expense</t>
  </si>
  <si>
    <t>Supervision</t>
  </si>
  <si>
    <t>Records and Collection (Cust Serv)</t>
  </si>
  <si>
    <t>Uncollectible Accounts</t>
  </si>
  <si>
    <t>Miscellaneous Expense</t>
  </si>
  <si>
    <t>---</t>
  </si>
  <si>
    <t>Transportation Administration</t>
  </si>
  <si>
    <t>Total Customer Accounting Expense</t>
  </si>
  <si>
    <t>Customer Service and Information Expense</t>
  </si>
  <si>
    <t>Customer Assistance Expense</t>
  </si>
  <si>
    <t>Information / Inst Advertising</t>
  </si>
  <si>
    <t>Total Customer Service and Information Expense</t>
  </si>
  <si>
    <t>Sales Expense</t>
  </si>
  <si>
    <t>Demo/Selling Expense</t>
  </si>
  <si>
    <t>Total Sales Expense</t>
  </si>
  <si>
    <t>Administration and General Expense</t>
  </si>
  <si>
    <t>Admin and General Salaries</t>
  </si>
  <si>
    <t>Office Supplies and Expense</t>
  </si>
  <si>
    <t>Admin Exp Transfer</t>
  </si>
  <si>
    <t>Outside Services</t>
  </si>
  <si>
    <t>Property Insurance</t>
  </si>
  <si>
    <t>Injuries and Damages</t>
  </si>
  <si>
    <t>Pensions and Benefits</t>
  </si>
  <si>
    <t>Regulatory Commission Expense</t>
  </si>
  <si>
    <t>Duplicate Charges Credit</t>
  </si>
  <si>
    <t>Miscellaneous General Expense</t>
  </si>
  <si>
    <t>Total A&amp;G Maintenance</t>
  </si>
  <si>
    <t>Total Administration and General Expense</t>
  </si>
  <si>
    <t>Total Operating Expense</t>
  </si>
  <si>
    <t>Total Maintenance Expense</t>
  </si>
  <si>
    <t>Total O&amp;M Expense</t>
  </si>
  <si>
    <t>Depreciation and Amortization Expense</t>
  </si>
  <si>
    <t>403-404</t>
  </si>
  <si>
    <t>Production and Manufactured Gas</t>
  </si>
  <si>
    <t>Other</t>
  </si>
  <si>
    <t>Acquisition Adjustment</t>
  </si>
  <si>
    <t>Total Depreciation and Amortization Expense</t>
  </si>
  <si>
    <t>Taxes Other Than Income Taxes</t>
  </si>
  <si>
    <t>408101-408131</t>
  </si>
  <si>
    <t>Payroll Taxes</t>
  </si>
  <si>
    <t>408145-408147</t>
  </si>
  <si>
    <t>Total Property Taxes</t>
  </si>
  <si>
    <t>408162-408163</t>
  </si>
  <si>
    <t>Illinois Public Utility Taxes</t>
  </si>
  <si>
    <t>Occupation Tax &amp; Other</t>
  </si>
  <si>
    <t>Total Taxes Other Than Income Taxes</t>
  </si>
  <si>
    <t>Operating Revenues</t>
  </si>
  <si>
    <t>Retail Rate Revenues</t>
  </si>
  <si>
    <t>480-489</t>
  </si>
  <si>
    <t>Retail Revenues</t>
  </si>
  <si>
    <t>Other Retail Revenues</t>
  </si>
  <si>
    <t>Total Retail Rate Revenues</t>
  </si>
  <si>
    <t>Negative Balancing Cashout</t>
  </si>
  <si>
    <t>Wholesale Sales</t>
  </si>
  <si>
    <t>Interdepartmental Sales</t>
  </si>
  <si>
    <t>Forfeited Discounts</t>
  </si>
  <si>
    <t>Miscellaneous Service Revenue</t>
  </si>
  <si>
    <t>Transportation Revenue</t>
  </si>
  <si>
    <t>Rental Income-Gas Prop</t>
  </si>
  <si>
    <t>Illinois Public Utility Tax</t>
  </si>
  <si>
    <t>Other Gas Revenues</t>
  </si>
  <si>
    <t>Total Other Operating Revenues</t>
  </si>
  <si>
    <t xml:space="preserve"> </t>
  </si>
  <si>
    <t>Operating Income Before Taxes</t>
  </si>
  <si>
    <t>Adjustments to Taxable Income</t>
  </si>
  <si>
    <t>Interest on LTD - Acct 427</t>
  </si>
  <si>
    <t>Oth Adj (Accts 428, 429, 431, 432) EXCL 431131 - 431142</t>
  </si>
  <si>
    <t>Total Adjustments to Taxable Income</t>
  </si>
  <si>
    <t>Pre Tax Book Income</t>
  </si>
  <si>
    <t>Taxes</t>
  </si>
  <si>
    <t>Current Federal Income Tax</t>
  </si>
  <si>
    <t>Current Tax Expense</t>
  </si>
  <si>
    <t>Interest Synchronization</t>
  </si>
  <si>
    <t>Current State Income Tax</t>
  </si>
  <si>
    <t>410s less 411s</t>
  </si>
  <si>
    <t>Deferred Income Tax - Net</t>
  </si>
  <si>
    <t>Amortization of Invest Tax Credit</t>
  </si>
  <si>
    <t>Subtotal</t>
  </si>
  <si>
    <t>Total Income Taxes</t>
  </si>
  <si>
    <t>Operating Income</t>
  </si>
  <si>
    <t>------</t>
  </si>
  <si>
    <t>Sources:</t>
  </si>
  <si>
    <t>Column (e) is taken from Company book and records.</t>
  </si>
  <si>
    <t>Column (f) is the sum of Columns (h) through (ab).</t>
  </si>
  <si>
    <t>Sources for pro forma adjustments are listed at the  top of the page.</t>
  </si>
  <si>
    <t>Column (g) goes to Tab FUN-3, Column (f).</t>
  </si>
  <si>
    <t>Cost of Service Study</t>
  </si>
  <si>
    <t>Alloc</t>
  </si>
  <si>
    <t>Code</t>
  </si>
  <si>
    <t>Rate Base</t>
  </si>
  <si>
    <t>310-346</t>
  </si>
  <si>
    <t>Manufactured Gas Plant Total</t>
  </si>
  <si>
    <t>Other Storage Plant Total</t>
  </si>
  <si>
    <t>Meas &amp; Reg Station Equipment - Gen.</t>
  </si>
  <si>
    <t>Meas &amp; Reg Station Equipment - CG</t>
  </si>
  <si>
    <t>Distribution Plant Total</t>
  </si>
  <si>
    <t>General Plant Total</t>
  </si>
  <si>
    <t>Intangible Plant Total</t>
  </si>
  <si>
    <t>Gross Natural Gas Plant in Service</t>
  </si>
  <si>
    <t>Other Working Capital</t>
  </si>
  <si>
    <t>Total Accumulated Depreciation</t>
  </si>
  <si>
    <t>Budget Plan Balances</t>
  </si>
  <si>
    <t>Expenses</t>
  </si>
  <si>
    <t>Other Power Supply Expense</t>
  </si>
  <si>
    <t>Total Supervised O&amp;M Expense</t>
  </si>
  <si>
    <t>408111-408131</t>
  </si>
  <si>
    <t>408141-408143</t>
  </si>
  <si>
    <t>Operating Revenues and Income Taxes</t>
  </si>
  <si>
    <t>480-481</t>
  </si>
  <si>
    <t>Other Adjustments</t>
  </si>
  <si>
    <t>Net Taxable Income</t>
  </si>
  <si>
    <t>Column (f) is taken from Tab FUN-2, Column (g).</t>
  </si>
  <si>
    <t>Columns (g) through (q) are calculated by multiplying the amounts in Column (f)</t>
  </si>
  <si>
    <t>by the allocation percentages specified by the allocator codes in Column (a).</t>
  </si>
  <si>
    <t>Allocation percentages referenced in Column (a) are found in</t>
  </si>
  <si>
    <t>Tab FUN-4, Lines 1-24, Columns (c)-(m).</t>
  </si>
  <si>
    <t>Line 159 goes to Tab FUN-1, Line 1</t>
  </si>
  <si>
    <t>Line 132 goes to Tab FUN-1, Line 2</t>
  </si>
  <si>
    <t>Line 176 goes to Tab FUN-1, Line 3</t>
  </si>
  <si>
    <t>Line 147 goes to Tab FUN-1, Line 4</t>
  </si>
  <si>
    <t>Line 57 goes to Tab FUN-1, Line 7</t>
  </si>
  <si>
    <t>Line 158 goes to Tab FUN-1, Line 11</t>
  </si>
  <si>
    <t>Functional Allocators</t>
  </si>
  <si>
    <t>Function</t>
  </si>
  <si>
    <t>Peak</t>
  </si>
  <si>
    <t>Cost of Gas</t>
  </si>
  <si>
    <t>Total</t>
  </si>
  <si>
    <t>Amount</t>
  </si>
  <si>
    <t>Peaking Facilities</t>
  </si>
  <si>
    <t>Self-Defined</t>
  </si>
  <si>
    <t>Tab ALO-1, Line 26</t>
  </si>
  <si>
    <t>Industrial Meters</t>
  </si>
  <si>
    <t>Customer Accounts</t>
  </si>
  <si>
    <t>Allocation ratio developed using Tab CLS1-1, Lines 56-57</t>
  </si>
  <si>
    <t>Cost of Gas / Gas Supply Non-PGA</t>
  </si>
  <si>
    <t>Total Allocated Gross Plant</t>
  </si>
  <si>
    <t>Tab FUN-3, Line 35</t>
  </si>
  <si>
    <t>Supervised O&amp;M</t>
  </si>
  <si>
    <t>Tab FUN-3, Line 133</t>
  </si>
  <si>
    <t>Supervised O&amp;M Plus Other Taxes</t>
  </si>
  <si>
    <t>Tab FUN-3, Line 133 + Line 146</t>
  </si>
  <si>
    <t>Total O&amp;M Plus Other Taxes</t>
  </si>
  <si>
    <t>Tab FUN-3, Line 132 + Line 147</t>
  </si>
  <si>
    <t>Gross Distribution Plant</t>
  </si>
  <si>
    <t>Tab FUN-3, Line 30</t>
  </si>
  <si>
    <t>Gross Mains + Services Plant</t>
  </si>
  <si>
    <t>Tab FUN-3, Line 20 + Line 24</t>
  </si>
  <si>
    <t>Gross Meters + Services Plant</t>
  </si>
  <si>
    <t>Tab FUN-3, Line 24 + Line 25 + Line 26</t>
  </si>
  <si>
    <t>Gross Meters + Regulators Plant</t>
  </si>
  <si>
    <t>Tab FUN-3, Line 25 + Line 26 + Line 27 + Line 28</t>
  </si>
  <si>
    <t>Gross Structures + Station Equipment Plant</t>
  </si>
  <si>
    <t>Tab FUN-3, Line 19 + Line 21 + Line 22 + Line 23</t>
  </si>
  <si>
    <t>Gross Plant less Intangible</t>
  </si>
  <si>
    <t>Tab FUN-3, Line 35 less Line 34</t>
  </si>
  <si>
    <t>Net Plant</t>
  </si>
  <si>
    <t>Tab FUN-3, Line 35 + Line 48</t>
  </si>
  <si>
    <t>Total Payroll</t>
  </si>
  <si>
    <t>Tab FUN-5, Line 56</t>
  </si>
  <si>
    <t>Total Payroll less Acct. 926</t>
  </si>
  <si>
    <t>Tab FUN-5, Line 58</t>
  </si>
  <si>
    <t>Distribution Expense less Supervision</t>
  </si>
  <si>
    <t>Tab FUN-3, Lines 86-94 + Lines 96-103</t>
  </si>
  <si>
    <t>Customer Accounts less Supervision</t>
  </si>
  <si>
    <t>Tab FUN-3, Lines 106-110</t>
  </si>
  <si>
    <t>Allocation percentages in Columns (c)-(m) go to</t>
  </si>
  <si>
    <t>Tab FUN-3, Lines 1-174, Columns (a) and (g)-(q) and</t>
  </si>
  <si>
    <t>Tab FUN-5, Lines 1-51, Columns (a) and (e)-(o).</t>
  </si>
  <si>
    <t>Functional Payroll Allocator</t>
  </si>
  <si>
    <t>712</t>
  </si>
  <si>
    <t>735</t>
  </si>
  <si>
    <t>Total MGP Plant Op Exp</t>
  </si>
  <si>
    <t>742</t>
  </si>
  <si>
    <t>Total MGP Plant Maint Exp</t>
  </si>
  <si>
    <t>813</t>
  </si>
  <si>
    <t>Total Other Power Supply Exp</t>
  </si>
  <si>
    <t>841</t>
  </si>
  <si>
    <t>Total Storage Op Exp</t>
  </si>
  <si>
    <t>843</t>
  </si>
  <si>
    <t>Total Storage Maint Exp</t>
  </si>
  <si>
    <t>Total Dist Op Exp</t>
  </si>
  <si>
    <t>885</t>
  </si>
  <si>
    <t>887</t>
  </si>
  <si>
    <t>889</t>
  </si>
  <si>
    <t>891</t>
  </si>
  <si>
    <t>892</t>
  </si>
  <si>
    <t>Total Dist Maint Exp</t>
  </si>
  <si>
    <t>Customer Accounts Expense</t>
  </si>
  <si>
    <t>901</t>
  </si>
  <si>
    <t>902</t>
  </si>
  <si>
    <t>903</t>
  </si>
  <si>
    <t>905</t>
  </si>
  <si>
    <t>----</t>
  </si>
  <si>
    <t>Total Customer Accounts Exp</t>
  </si>
  <si>
    <t>Customer Service &amp; Information Expense</t>
  </si>
  <si>
    <t>908</t>
  </si>
  <si>
    <t>Cust Assist Exp</t>
  </si>
  <si>
    <t>909</t>
  </si>
  <si>
    <t>Info, Instruction Ad Exp</t>
  </si>
  <si>
    <t>910</t>
  </si>
  <si>
    <t>Misc Cust Service</t>
  </si>
  <si>
    <t>Total Customer Service &amp; Info Exp</t>
  </si>
  <si>
    <t>912</t>
  </si>
  <si>
    <t>Demo &amp; Selling</t>
  </si>
  <si>
    <t>916</t>
  </si>
  <si>
    <t>Misc Sales Exp</t>
  </si>
  <si>
    <t>Total Sales Exp</t>
  </si>
  <si>
    <t>Administrative &amp; General</t>
  </si>
  <si>
    <t>920</t>
  </si>
  <si>
    <t>A&amp;G Salaries</t>
  </si>
  <si>
    <t>922</t>
  </si>
  <si>
    <t>Admin Exp (transfer)</t>
  </si>
  <si>
    <t>924</t>
  </si>
  <si>
    <t>Prop Insurance</t>
  </si>
  <si>
    <t>925</t>
  </si>
  <si>
    <t>Injuries &amp; Damages</t>
  </si>
  <si>
    <t>926</t>
  </si>
  <si>
    <t>Emp pensions, benefits</t>
  </si>
  <si>
    <t>928</t>
  </si>
  <si>
    <t>Regulatory Comm</t>
  </si>
  <si>
    <t>930</t>
  </si>
  <si>
    <t>Gen Ad Exp</t>
  </si>
  <si>
    <t>Total A&amp;G Operation</t>
  </si>
  <si>
    <t>931</t>
  </si>
  <si>
    <t>935</t>
  </si>
  <si>
    <t>A&amp;G Maint</t>
  </si>
  <si>
    <t>TOTAL A&amp;G ALLOCATOR</t>
  </si>
  <si>
    <t>TOTAL A&amp;G ALLOCATOR LESS ACCT 926</t>
  </si>
  <si>
    <t>Total Payroll Allocator</t>
  </si>
  <si>
    <t>Payroll Allocator to 'Allocators' tab</t>
  </si>
  <si>
    <t>Total Payroll Allocator Less Acct 926</t>
  </si>
  <si>
    <t>Payroll less Acct 926 to 'Allocators' tab</t>
  </si>
  <si>
    <t>Column (d) is taken from Company books and records.</t>
  </si>
  <si>
    <t xml:space="preserve">Columns (e) through (n) are calculated by multiplying the amounts in </t>
  </si>
  <si>
    <t>Column (d) by the allocation percentages specified by the allocation</t>
  </si>
  <si>
    <t>codes in Column (a).</t>
  </si>
  <si>
    <t>Allocation percentages specified in Column (a) are found in</t>
  </si>
  <si>
    <t>Line 56 goes to Tab FUN-4, Line 21.</t>
  </si>
  <si>
    <t>Line 58 goes to Tab FUN-4, Line 22.</t>
  </si>
  <si>
    <t>Class Cost of Service</t>
  </si>
  <si>
    <t>Small</t>
  </si>
  <si>
    <t>Medium</t>
  </si>
  <si>
    <t>Large</t>
  </si>
  <si>
    <t>Volume</t>
  </si>
  <si>
    <t>Tab FUN-1, Line 18, Column (c) multiplied by Line 32</t>
  </si>
  <si>
    <t>Mains (Average)</t>
  </si>
  <si>
    <t>Tab FUN-1, Line 18, Column (d) multiplied by Line 33</t>
  </si>
  <si>
    <t>Mains (Peaking)</t>
  </si>
  <si>
    <t>Tab FUN-1, Line 18, Column (e) multiplied by Line 34</t>
  </si>
  <si>
    <t>Tab FUN-1, Line 18, Column (f) multiplied by Line 35</t>
  </si>
  <si>
    <t>Tab FUN-1, Line 18, Column (g) multiplied by Line 36 less Line 12, Column (b)</t>
  </si>
  <si>
    <t>Tab FUN-1, Line 18, Column (h) multiplied by Line 37</t>
  </si>
  <si>
    <t>Tab FUN-1, Line 18, Column (i) multiplied by Line 38</t>
  </si>
  <si>
    <t>Tab FUN-1, Line 18, Column (j) multiplied by Line 39</t>
  </si>
  <si>
    <t>Daily Transportation Admin</t>
  </si>
  <si>
    <t>Tab FUN-1, Line 18, Column (k) multiplied by Line 40</t>
  </si>
  <si>
    <t>Monthly Transportation Admin</t>
  </si>
  <si>
    <t>Tab FUN-1, Line 18, Column (l) multiplied by Line 41</t>
  </si>
  <si>
    <t>Gas Supply (Non PGA)</t>
  </si>
  <si>
    <t>Tab FUN-1, Line 18, Column (m) multiplied by Line 42</t>
  </si>
  <si>
    <t>Interval/Transportation Meters</t>
  </si>
  <si>
    <t>Tab RD-5, Lines 13-15, Column (b)</t>
  </si>
  <si>
    <t>Sum of Lines 1 through 12</t>
  </si>
  <si>
    <t>Total less Farm Tap Revenue</t>
  </si>
  <si>
    <t>Line 13 less Tab FUN-2, Line 150, Column (ab) allocated using Line 16</t>
  </si>
  <si>
    <t>Test Year Revenue</t>
  </si>
  <si>
    <t>Tab SRC-2, Lines 49-51, Column (q)</t>
  </si>
  <si>
    <t>Net Cost of Service</t>
  </si>
  <si>
    <t>Line 13</t>
  </si>
  <si>
    <t>Difference</t>
  </si>
  <si>
    <t>Line 16 less Line 15</t>
  </si>
  <si>
    <t>Percentage Increase</t>
  </si>
  <si>
    <t>(Line 16 / Line 15) - 1</t>
  </si>
  <si>
    <t>Distribution of Deficiency Recovery</t>
  </si>
  <si>
    <t>Distribution calculated using Line 17</t>
  </si>
  <si>
    <t>Ratio of Class Increase to Overall Increase</t>
  </si>
  <si>
    <t>Ratio calculated using Line 18</t>
  </si>
  <si>
    <t>Statistics</t>
  </si>
  <si>
    <t>Customers - Total</t>
  </si>
  <si>
    <t>Tab SRC-4, Line 20, Columns (d)-(f) divided by 12</t>
  </si>
  <si>
    <t>Customers - Industrial</t>
  </si>
  <si>
    <t>Tab SRC-4, Line 21, Columns (d)-(f) divided by 12</t>
  </si>
  <si>
    <t>Customers - Daily Transport</t>
  </si>
  <si>
    <t>Tab SRC-4, Line 22, Columns (d)-(f) divided by 12</t>
  </si>
  <si>
    <t>Customers - Monthly Transport</t>
  </si>
  <si>
    <t>Tab SRC-4, Line 23, Columns (d)-(f) divided by 12</t>
  </si>
  <si>
    <t>Throughput - Total</t>
  </si>
  <si>
    <t>Tab SRC-1, Line 24, Columns (g)-(i)</t>
  </si>
  <si>
    <t>Throughput - Sales Service</t>
  </si>
  <si>
    <t>Tab SRC-1, Line 25, Columns (g)-(i)</t>
  </si>
  <si>
    <t>Throughput - Transport</t>
  </si>
  <si>
    <t>Tab SRC-1, Line 26, Columns (g)-(i)</t>
  </si>
  <si>
    <t>Fixed Charge ($/cust/month)</t>
  </si>
  <si>
    <t>Sum of Lines 4-8 divided by Line 21 divided by 12</t>
  </si>
  <si>
    <t>Daily Transport Charge ($/cust/month)</t>
  </si>
  <si>
    <t>Line 9 divided by Line 23 divided by 12</t>
  </si>
  <si>
    <t>Monthly Transport Charge ($/cust/month)</t>
  </si>
  <si>
    <t>Line 10 divided by Line 24 divided by 13</t>
  </si>
  <si>
    <t>Volumetric Charge ($/therm)</t>
  </si>
  <si>
    <t>Sum of Lines 1-3 and Line 11 divided by Line 25</t>
  </si>
  <si>
    <t>Total Cost of Service ($/therm)</t>
  </si>
  <si>
    <t>Line 16 divided by Line 25</t>
  </si>
  <si>
    <t>Allocators</t>
  </si>
  <si>
    <t>Allocator - Peaking Facilities</t>
  </si>
  <si>
    <t>Peak Day Demand (Sales Service Only) - Tab ALO-1, Line 21, Columns (f)-(h)</t>
  </si>
  <si>
    <t>Allocator - Mains (Average)</t>
  </si>
  <si>
    <t>Total Throughput - Line 25</t>
  </si>
  <si>
    <t>Allocator - Mains (Peaking)</t>
  </si>
  <si>
    <t>Peak Day Demand (All Throughput) - Tab ALO-1, Line 21, Columns (b)-(d)</t>
  </si>
  <si>
    <t>Allocator - Services</t>
  </si>
  <si>
    <t>Weighted Customers - Line 51 for each column (c) through (e) divided by Line 51, Column (b).</t>
  </si>
  <si>
    <t>Allocator - Meters</t>
  </si>
  <si>
    <t>Weighted Customers - Line 52 for each column (c) through (e) divided by Line 52, Column (b).</t>
  </si>
  <si>
    <t>Allocator - Regulators</t>
  </si>
  <si>
    <t>Weighted Customers - Line 53 for each column (c) through (e) divided by Line 53, Column (b).</t>
  </si>
  <si>
    <t>Allocator - Industrial Meters</t>
  </si>
  <si>
    <t>Weighted Customers - Line 54 for each column (c) through (e) divided by Line 54, Column (b).</t>
  </si>
  <si>
    <t>Allocator - Accounts</t>
  </si>
  <si>
    <t>Weighted Customers - Line 55 for each column (c) through (e) divided by Line 55, Column (b).</t>
  </si>
  <si>
    <t>Allocator - Daily Transportation Admin.</t>
  </si>
  <si>
    <t>Weighted Customers - Line 56 for each column (c) through (e) divided by Line 56, Column (b).</t>
  </si>
  <si>
    <t>Allocator - Monthly Transportation Admin.</t>
  </si>
  <si>
    <t>Weighted Customers - Line 57 for each column (c) through (e) divided by Line 57, Column (b).</t>
  </si>
  <si>
    <t>Allocator - Cost of Gas</t>
  </si>
  <si>
    <t>Sales Service Throughput - Line 26</t>
  </si>
  <si>
    <t>Allocators - Backup Data</t>
  </si>
  <si>
    <t>Weights - Services</t>
  </si>
  <si>
    <t>Company weighted service cost study</t>
  </si>
  <si>
    <t>Weights - Meters</t>
  </si>
  <si>
    <t>Company weighted meter cost study</t>
  </si>
  <si>
    <t>Weights - Regulators</t>
  </si>
  <si>
    <t>Company weighted regulator study</t>
  </si>
  <si>
    <t>Weights - Industrial Meters</t>
  </si>
  <si>
    <t>Company weighted industrial meter study</t>
  </si>
  <si>
    <t>Weights - Accounts</t>
  </si>
  <si>
    <t>Company weighted customer accounting study</t>
  </si>
  <si>
    <t>Weights - Daily Transportation Customers</t>
  </si>
  <si>
    <t>Assumed value of 3.0</t>
  </si>
  <si>
    <t>Weights - Monthly Transportation Customers</t>
  </si>
  <si>
    <t>Assumed value of 1.0</t>
  </si>
  <si>
    <t>Wght. Cust. - Services</t>
  </si>
  <si>
    <t>Line 21 multiplied by Line 44</t>
  </si>
  <si>
    <t>Wght. Cust. - Meters</t>
  </si>
  <si>
    <t>Line 21 multiplied by Line 45</t>
  </si>
  <si>
    <t>Wght. Cust. - Regulators</t>
  </si>
  <si>
    <t>Line 21 multiplied by Line 46</t>
  </si>
  <si>
    <t>Wght. Cust. - Industrial Meters</t>
  </si>
  <si>
    <t>Line 22 multiplied by Line 54</t>
  </si>
  <si>
    <t>Wght. Cust. - Accounts</t>
  </si>
  <si>
    <t>Line 21 multiplied by Line 48</t>
  </si>
  <si>
    <t>Wght. Cust. - Daily Transportation Customers</t>
  </si>
  <si>
    <t>Line 23 multiplied by Line 49</t>
  </si>
  <si>
    <t>Wght. Cust. - Monthly Transportation Customers</t>
  </si>
  <si>
    <t>Line 24 multiplied by Line 50</t>
  </si>
  <si>
    <t>MidAmerican Energy Company</t>
  </si>
  <si>
    <t>Gas Sales by Rate Code</t>
  </si>
  <si>
    <t>For Year-To-Date December 31, 2021</t>
  </si>
  <si>
    <t>Rate</t>
  </si>
  <si>
    <t>Unbilled</t>
  </si>
  <si>
    <t>Transport</t>
  </si>
  <si>
    <t>Jan &amp; Dec</t>
  </si>
  <si>
    <t>Reallocated</t>
  </si>
  <si>
    <t>Loc</t>
  </si>
  <si>
    <t>Actv. No.</t>
  </si>
  <si>
    <t>Activity Description</t>
  </si>
  <si>
    <t>Class</t>
  </si>
  <si>
    <t>per Books</t>
  </si>
  <si>
    <t>Reallocation</t>
  </si>
  <si>
    <t>G-RES-UNBILLD THERMS</t>
  </si>
  <si>
    <t>G-RESID-THERMS</t>
  </si>
  <si>
    <t>NFS</t>
  </si>
  <si>
    <t>SVS</t>
  </si>
  <si>
    <t>G-COM-UNBILLD THERMS</t>
  </si>
  <si>
    <t>G-COMM-THERMS</t>
  </si>
  <si>
    <t>LVI</t>
  </si>
  <si>
    <t>MVS</t>
  </si>
  <si>
    <t>SSS</t>
  </si>
  <si>
    <t>SVI</t>
  </si>
  <si>
    <t>G-IND-UNBILLD THERMS</t>
  </si>
  <si>
    <t>G-IND-THERMS</t>
  </si>
  <si>
    <t>G-NEG BAL-THERMS</t>
  </si>
  <si>
    <t>G-TRANS-THERMS</t>
  </si>
  <si>
    <t>CPT</t>
  </si>
  <si>
    <t>LVT</t>
  </si>
  <si>
    <t>MTM</t>
  </si>
  <si>
    <t>MVT</t>
  </si>
  <si>
    <t>STM</t>
  </si>
  <si>
    <t>SVT</t>
  </si>
  <si>
    <t>Total Sales</t>
  </si>
  <si>
    <t>Customer Type</t>
  </si>
  <si>
    <t>Sales Service</t>
  </si>
  <si>
    <t>Source:</t>
  </si>
  <si>
    <t>Sales data is taken from Books and Records.</t>
  </si>
  <si>
    <t>Class designations map "S" rates to Small, "M" rates to Medium, and "L" rates and CPT to Large</t>
  </si>
  <si>
    <t>Column (j) comes from Tab SRC-5, Column (h) + Column (s).</t>
  </si>
  <si>
    <t>This worksheet allocates unbilled sales to rate code based on the relative level of sales by rate code in each revenue class.</t>
  </si>
  <si>
    <t>This worksheet reclassifies transport volumes to rate code.</t>
  </si>
  <si>
    <t>This worksheet adds the weather normalization pro forma by rate code.</t>
  </si>
  <si>
    <t>Lines 24-26 go to Tab CLS1-1, Lines 25-27</t>
  </si>
  <si>
    <t>Gas Revenues by Rate Code</t>
  </si>
  <si>
    <t>Unbilled/Estimate</t>
  </si>
  <si>
    <t>EECR O/U</t>
  </si>
  <si>
    <t>PGA O/U</t>
  </si>
  <si>
    <t>Annual Rev. Deficit</t>
  </si>
  <si>
    <t>EECR</t>
  </si>
  <si>
    <t>PGA Reallocation</t>
  </si>
  <si>
    <t>G-RESID-BILLED REV</t>
  </si>
  <si>
    <t>G-RESID-UNBILLED REV</t>
  </si>
  <si>
    <t>G-RESID-BILLED PGA</t>
  </si>
  <si>
    <t>G-RESID-EE RECVR O/U</t>
  </si>
  <si>
    <t>G-COMM-BILLED REV</t>
  </si>
  <si>
    <t>G-COMM-UNBILLED REV</t>
  </si>
  <si>
    <t>G-COMM-BILLED PGA</t>
  </si>
  <si>
    <t>G-COMM-EE RECVR O/U</t>
  </si>
  <si>
    <t>G-IND-BILLED REV</t>
  </si>
  <si>
    <t>G-IND-TRANSPORT REV</t>
  </si>
  <si>
    <t>G-IND-UNBILLED REV</t>
  </si>
  <si>
    <t>G-IND-BILLED PGA</t>
  </si>
  <si>
    <t>G-IND-EE RECOVER O/U</t>
  </si>
  <si>
    <t>G-METER CLASS CHG</t>
  </si>
  <si>
    <t>G-TRANSPORT FEE</t>
  </si>
  <si>
    <t>TRANS ADMIN CHARGE</t>
  </si>
  <si>
    <t>G-TRANSP-EE RCVR O/U</t>
  </si>
  <si>
    <t>DISTB DEMAND CHG MDR</t>
  </si>
  <si>
    <t>EXC PENALTY USE CHRG</t>
  </si>
  <si>
    <t>IL TRANS METER CHRG</t>
  </si>
  <si>
    <t>G-TRANS REV-ESTIMATE</t>
  </si>
  <si>
    <t>G-TRANS REV-MMT</t>
  </si>
  <si>
    <t>G-TRANS CHG-STANDBY</t>
  </si>
  <si>
    <t>Total Revenue</t>
  </si>
  <si>
    <t>This section sums the sales growth</t>
  </si>
  <si>
    <t>Revenue data is taken from Books and Records.</t>
  </si>
  <si>
    <t>pro forma by rate class for use in</t>
  </si>
  <si>
    <t>Class designations map "S" rates to Small, "M" rates to Medium, and "L" rates</t>
  </si>
  <si>
    <t>rate design.</t>
  </si>
  <si>
    <t>Column (h) comes from Tab SRC-3, Column (e)</t>
  </si>
  <si>
    <t>Column (i) comes from Tab SRC-3, Column (f)</t>
  </si>
  <si>
    <t>Column (n) comes from Tab SRC-3, Column (g)</t>
  </si>
  <si>
    <t>Column (o) comes from Tab SRC-3, Column (h)</t>
  </si>
  <si>
    <t>Column (p) comes from Tab SRC-5, Columns (t) and (u)</t>
  </si>
  <si>
    <t>This worksheet does the following:</t>
  </si>
  <si>
    <t>Allocates unbilled revenue to rate class</t>
  </si>
  <si>
    <t xml:space="preserve">Allocates sales growth pro forma revenues to residential and commercial </t>
  </si>
  <si>
    <t>classes based on the relative level of total billed revenues</t>
  </si>
  <si>
    <t>by rate code in those revenue classes.</t>
  </si>
  <si>
    <t>Reallocates Farm Tap Annual Revenue Deficit revenue collected</t>
  </si>
  <si>
    <t>through the PGA</t>
  </si>
  <si>
    <t>Assigns weather normalization pro forma amounts to rate class</t>
  </si>
  <si>
    <t>Summation of these data by class (Lines 49-51, Column (q)) results in the revenue data in</t>
  </si>
  <si>
    <t>Tab CLS1-1, Line 15.</t>
  </si>
  <si>
    <t>South Dakota Rider Revenue</t>
  </si>
  <si>
    <t>Revenue Class</t>
  </si>
  <si>
    <t>Rate Description</t>
  </si>
  <si>
    <t>EECR Allocated</t>
  </si>
  <si>
    <t>PGA Allocated</t>
  </si>
  <si>
    <t>Residential</t>
  </si>
  <si>
    <t>Over/Under</t>
  </si>
  <si>
    <t>Commercial</t>
  </si>
  <si>
    <t>Company Use</t>
  </si>
  <si>
    <t>Transportation - Commercial</t>
  </si>
  <si>
    <t>Transportation - Industrial</t>
  </si>
  <si>
    <t>Transportation - Public Authority</t>
  </si>
  <si>
    <t>Total Without Company Use</t>
  </si>
  <si>
    <t>P.F. - Residential</t>
  </si>
  <si>
    <t>P.F. - Commercial</t>
  </si>
  <si>
    <t>P.F. - Industrial</t>
  </si>
  <si>
    <t>P.F. - Company Use</t>
  </si>
  <si>
    <t>P.F. - Transportation - Commercial</t>
  </si>
  <si>
    <t>P.F. - Transportation - Industrial</t>
  </si>
  <si>
    <t>P.F. - Transportation - Public Authority</t>
  </si>
  <si>
    <t>Revenue data is taken from Company books and records.</t>
  </si>
  <si>
    <t>This worksheet allocates the following:</t>
  </si>
  <si>
    <t>EECR O/U Reconciliation to rate code based on total EECR revenues by rate code in each revenue class.</t>
  </si>
  <si>
    <t>PGA O/U Reconciliation to rate code based on total PGA revenues by rate code in each revenue class.</t>
  </si>
  <si>
    <t>Column (e) goes to Tab SRC-2, Column (h)</t>
  </si>
  <si>
    <t>Column (f) goes to Tab SRC-2, Column (i)</t>
  </si>
  <si>
    <t>Column (g) goes to Tab SRC-2, Column (n)</t>
  </si>
  <si>
    <t>Column (h) goes to Tab SRC-2, Column (o)</t>
  </si>
  <si>
    <t>Gas Customers by Rate Code</t>
  </si>
  <si>
    <t>12 Month</t>
  </si>
  <si>
    <t>Totals</t>
  </si>
  <si>
    <t>G-RESID-CUSTOMERS</t>
  </si>
  <si>
    <t>G-COMM-CUSTOMERS</t>
  </si>
  <si>
    <t>G-IND-CUSTOMERS</t>
  </si>
  <si>
    <t>G-TRANS-CUSTOMER</t>
  </si>
  <si>
    <t>Total Customers</t>
  </si>
  <si>
    <t>Industrial Customers</t>
  </si>
  <si>
    <t>Daily Transport Customers</t>
  </si>
  <si>
    <t>Monthly Transport Customers</t>
  </si>
  <si>
    <t>Summation of these data divided by 12 in the customer data in Tab CLS1-1, Lines 21 through 24</t>
  </si>
  <si>
    <t>Monthly Sales by Rate Code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</si>
  <si>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</si>
  <si>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</si>
  <si>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</si>
  <si>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</si>
  <si>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</si>
  <si>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</si>
  <si>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</si>
  <si>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</si>
  <si>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</si>
  <si>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</si>
  <si>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</si>
  <si>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</si>
  <si>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Jan. 2021 Rev.</t>
  </si>
  <si>
    <t>Dec. 2021 Rev.</t>
  </si>
  <si>
    <t>Spreadsheet</t>
  </si>
  <si>
    <t>Small - Total Billed Throughput</t>
  </si>
  <si>
    <t>Medium - Total Billed Throughput</t>
  </si>
  <si>
    <t>Large - Total Billed Throughput</t>
  </si>
  <si>
    <t>Small - Sales Service Billed Throughput</t>
  </si>
  <si>
    <t>Medium - Sales Service Billed Throughput</t>
  </si>
  <si>
    <t>Large - Sales Service Billed Throughput</t>
  </si>
  <si>
    <t>Columns (t) and (u) are summed and go to Tab SRC-2, Col. (p)</t>
  </si>
  <si>
    <t>Columns (h) and (s) are summed and go to Tab SRC-1, Col. (j)</t>
  </si>
  <si>
    <t>Lines 23-25 go to Tab ALO-1, Columns (b)-(d)</t>
  </si>
  <si>
    <t>Lines 26-28 go to Tab ALO-1, Columns (f)-(h)</t>
  </si>
  <si>
    <t>Peak Day Calculations Data</t>
  </si>
  <si>
    <t>Combined</t>
  </si>
  <si>
    <t>Calendar</t>
  </si>
  <si>
    <t>Billed</t>
  </si>
  <si>
    <t>Month</t>
  </si>
  <si>
    <t>HDD 65</t>
  </si>
  <si>
    <t>Slope</t>
  </si>
  <si>
    <t>Slope function in Excel for Columns (b)-(i) against Column (k)</t>
  </si>
  <si>
    <t>Intercept</t>
  </si>
  <si>
    <t>Intercept function in Excel for Columns (b)-(i) against Column (k)</t>
  </si>
  <si>
    <t>HDD 80</t>
  </si>
  <si>
    <t>Line 14 multiplied by 80</t>
  </si>
  <si>
    <t>Base</t>
  </si>
  <si>
    <t>Line 15 divided by 30.42 days per month</t>
  </si>
  <si>
    <t>Line 16 + Line 17</t>
  </si>
  <si>
    <t>Average Load</t>
  </si>
  <si>
    <t>Sum of Lines 2-13 divided by 365 days</t>
  </si>
  <si>
    <t>Peak Load</t>
  </si>
  <si>
    <t>Line 18</t>
  </si>
  <si>
    <t>Peak Allocator</t>
  </si>
  <si>
    <t>Line 18 Columns (b)-(d) / Column (e) and Columns (f)-(h) / Column (i)</t>
  </si>
  <si>
    <t>Load Factor</t>
  </si>
  <si>
    <t>Line 19 divided by Line 20</t>
  </si>
  <si>
    <t>Total Throughput</t>
  </si>
  <si>
    <t>Sum of Lines 2 through 13</t>
  </si>
  <si>
    <t>Average Daily Throughput</t>
  </si>
  <si>
    <t>Line 23 divided by 365 days</t>
  </si>
  <si>
    <t>Peak Throughput</t>
  </si>
  <si>
    <t>Line 24 divided by Line 25</t>
  </si>
  <si>
    <t>Columns (b)-(d) are from Tab SRC-5, Lines 23-25</t>
  </si>
  <si>
    <t>Columns (f)-(h) are from Tab SRC-5, Lines 26-28</t>
  </si>
  <si>
    <t>Column (e) is the sum of Columns (b) through (d)</t>
  </si>
  <si>
    <t>Column (i) is the sum of Columns (f) through (h)</t>
  </si>
  <si>
    <t>Columns (j)-(k) are taken from weather normalization pro forma workpapers</t>
  </si>
  <si>
    <t>Destination:</t>
  </si>
  <si>
    <t>Line 21 goes to Tab CLS1-1, Lines 33 and 35</t>
  </si>
  <si>
    <t>Line 26 goes to Tab FUN-4, Line 2 Column (d)</t>
  </si>
  <si>
    <t>Small Volume Rate Design</t>
  </si>
  <si>
    <t>Final Model</t>
  </si>
  <si>
    <t>Cost Category</t>
  </si>
  <si>
    <t xml:space="preserve">Value </t>
  </si>
  <si>
    <t>Tab CLS1-1, Line 1, Column (c)</t>
  </si>
  <si>
    <t>Tab CLS1-1, Line 2, Column (c)</t>
  </si>
  <si>
    <t>Tab CLS1-1, Line 3, Column (c)</t>
  </si>
  <si>
    <t>Tab CLS1-1, Line 4, Column (c)</t>
  </si>
  <si>
    <t>Tab CLS1-1, Line 5, Column (c)</t>
  </si>
  <si>
    <t>Tab CLS1-1, Line 6, Column (c)</t>
  </si>
  <si>
    <t>Tab CLS1-1, Line 7, Column (c)</t>
  </si>
  <si>
    <t>Tab CLS1-1, Line 8, Column (c)</t>
  </si>
  <si>
    <t>Daily Transportation Administration</t>
  </si>
  <si>
    <t>Tab CLS1-1, Line 9, Column (c)</t>
  </si>
  <si>
    <t>Monthly Transportation Administration</t>
  </si>
  <si>
    <t>Tab CLS1-1, Line 10, Column (c)</t>
  </si>
  <si>
    <t>Tab CLS1-1, Line 11, Column (c)</t>
  </si>
  <si>
    <t>Tab RD-5, Line 13, Column (b)</t>
  </si>
  <si>
    <t>Sum of Lines 1-12</t>
  </si>
  <si>
    <t>less Sales Growth</t>
  </si>
  <si>
    <t>Tab SRC-2, Line 49, Column (k)</t>
  </si>
  <si>
    <t>less Meters</t>
  </si>
  <si>
    <t>Line 5 less Tab RD-4, Line 182, Column (g)</t>
  </si>
  <si>
    <t>less Rates SVI and SSS Non-meter Revenue Adjustment</t>
  </si>
  <si>
    <t>Sum Lines 39 and 42, Column (d)</t>
  </si>
  <si>
    <t>less Farm Tap Revenue at Fully Phased-in (2028) Level</t>
  </si>
  <si>
    <t>Tab CLS1-1, Line 13 , Column (c) less Line 14, Column (c)</t>
  </si>
  <si>
    <t>Net Rate Class Revenue</t>
  </si>
  <si>
    <t>Line 13 less Lines 14-17</t>
  </si>
  <si>
    <t>Rate Billing Determinants</t>
  </si>
  <si>
    <t>Value</t>
  </si>
  <si>
    <t>Bills</t>
  </si>
  <si>
    <t xml:space="preserve">Lines 19-23 come from the Company's </t>
  </si>
  <si>
    <t>Daily Transport Bills</t>
  </si>
  <si>
    <t>customer information system and adjusted</t>
  </si>
  <si>
    <t>Monthly Transport Bills</t>
  </si>
  <si>
    <t>for the effects of unbilled sales and weather normalization.</t>
  </si>
  <si>
    <t>Therms (1st 250 per Month)</t>
  </si>
  <si>
    <t xml:space="preserve">Lines 22 and 23 only includes volumes </t>
  </si>
  <si>
    <t>Therms (Over 250 per Month)</t>
  </si>
  <si>
    <t>for Rates SVS, SVT, and STM</t>
  </si>
  <si>
    <t>Calculated Customer Charge</t>
  </si>
  <si>
    <t>Line 4 + Lines 6-8 divided by Line 19</t>
  </si>
  <si>
    <t>Calculated Daily Transport Admin Charge</t>
  </si>
  <si>
    <t>Line 9 divided by Line 20</t>
  </si>
  <si>
    <t>Calculated Monthly Transport Admin Charge</t>
  </si>
  <si>
    <t>Line 10 divided by Line 21</t>
  </si>
  <si>
    <t>Calculated Metering Charge</t>
  </si>
  <si>
    <t>Line 5 divided by Line 19</t>
  </si>
  <si>
    <t>Rate Calculation</t>
  </si>
  <si>
    <t>Charge</t>
  </si>
  <si>
    <t>Units</t>
  </si>
  <si>
    <t>Proposed Customer Charge</t>
  </si>
  <si>
    <t>Price is user defined</t>
  </si>
  <si>
    <t>Proposed Daily Transport Admin Charge</t>
  </si>
  <si>
    <t>Proposed Monthly Transport Admin Charge</t>
  </si>
  <si>
    <t>Remaining Revenue</t>
  </si>
  <si>
    <t>Line 18 less Lines 28-30</t>
  </si>
  <si>
    <t>Second Step to First Step Ratio</t>
  </si>
  <si>
    <t>Step is user defined</t>
  </si>
  <si>
    <t>Volumetric Rates for SVS, SVT, and STM</t>
  </si>
  <si>
    <t>Price is calculated as Line 31 / (Line 22 + (Line 23 x Line 32))</t>
  </si>
  <si>
    <t>Price is calculated as Line 33 x Line 32</t>
  </si>
  <si>
    <t>Total Sales and Revenue</t>
  </si>
  <si>
    <t>Revenue is Lines 28-30 plus Lines 33-34, Column (d)</t>
  </si>
  <si>
    <t>Rates for Rate SSS</t>
  </si>
  <si>
    <t>Therms (Summer)</t>
  </si>
  <si>
    <t>Price is calculated as current tariffed rate x Tab CLS1-1, Line 18, Column (c)</t>
  </si>
  <si>
    <t>Therms (Winter)</t>
  </si>
  <si>
    <t>Revenue is Lines 36-38, Column (d)</t>
  </si>
  <si>
    <t>Rates for Rate SVI</t>
  </si>
  <si>
    <t>Therms</t>
  </si>
  <si>
    <t>Revenue is Lines 40-41, Column (d)</t>
  </si>
  <si>
    <t>Variance from COS</t>
  </si>
  <si>
    <t>Sum of Lines 14, 15, and 17, Column (b) and Lines 35, 39, and 42, Column (d) less Tab CLS1-1, Line 16, Column (c)</t>
  </si>
  <si>
    <t>Medium Volume Rate Design</t>
  </si>
  <si>
    <t>Tab CLS1-1, Line 1, Column (d)</t>
  </si>
  <si>
    <t>Tab CLS1-1, Line 2, Column (d)</t>
  </si>
  <si>
    <t>Tab CLS1-1, Line 3, Column (d)</t>
  </si>
  <si>
    <t>Tab CLS1-1, Line 4, Column (d)</t>
  </si>
  <si>
    <t>Tab CLS1-1, Line 5, Column (d)</t>
  </si>
  <si>
    <t>Tab CLS1-1, Line 6, Column (d)</t>
  </si>
  <si>
    <t>Tab CLS1-1, Line 7, Column (d)</t>
  </si>
  <si>
    <t>Tab CLS1-1, Line 8, Column (d)</t>
  </si>
  <si>
    <t>Tab CLS1-1, Line 9, Column (d)</t>
  </si>
  <si>
    <t>Tab CLS1-1, Line 10, Column (d)</t>
  </si>
  <si>
    <t>Tab CLS1-1, Line 11, Column (d)</t>
  </si>
  <si>
    <t>Tab RD-5, Line 14, Column (b)</t>
  </si>
  <si>
    <t>Tab SRC-2, Line 50, Column (k)</t>
  </si>
  <si>
    <t>Line 5 less Tab RD-4, Line 183, Column (g)</t>
  </si>
  <si>
    <t>Tab CLS1-1, Line 13 , Column (d) less Line 14, Column (d)</t>
  </si>
  <si>
    <t>Line 13 less Lines 14-16</t>
  </si>
  <si>
    <t>Billing Determinants</t>
  </si>
  <si>
    <t xml:space="preserve">Lines 18-21 come from the Company's </t>
  </si>
  <si>
    <t>weather normalization.</t>
  </si>
  <si>
    <t>Line 4 + Lines 6-8 divided by Line 18</t>
  </si>
  <si>
    <t>Line 9 divided by Line 19</t>
  </si>
  <si>
    <t>Line 10 divided by Line 20</t>
  </si>
  <si>
    <t>Line 5 divided by Line 18</t>
  </si>
  <si>
    <t>Line 17 less Lines 26-28</t>
  </si>
  <si>
    <t>Price is calculated as Line 29 / Line 21</t>
  </si>
  <si>
    <t>Revenue is Lines 26-28 plus Line 30, Column (d)</t>
  </si>
  <si>
    <t>Line 31, Column (d) less Line 17, Column (b)</t>
  </si>
  <si>
    <t>Large Volume Rate Design</t>
  </si>
  <si>
    <t>Tab CLS1-1, Line 1, Column (e)</t>
  </si>
  <si>
    <t>Tab CLS1-1, Line 2, Column (e)</t>
  </si>
  <si>
    <t>Tab CLS1-1, Line 3, Column (e)</t>
  </si>
  <si>
    <t>Tab CLS1-1, Line 4, Column (e)</t>
  </si>
  <si>
    <t>Tab CLS1-1, Line 5, Column (e)</t>
  </si>
  <si>
    <t>Tab CLS1-1, Line 6, Column (e)</t>
  </si>
  <si>
    <t>Tab CLS1-1, Line 7, Column (e)</t>
  </si>
  <si>
    <t>Tab CLS1-1, Line 8, Column (e)</t>
  </si>
  <si>
    <t>Tab CLS1-1, Line 9, Column (e)</t>
  </si>
  <si>
    <t>Tab CLS1-1, Line 11, Column (e)</t>
  </si>
  <si>
    <t>Tab RD-5, Line 15, Column (b)</t>
  </si>
  <si>
    <t>Sum of Lines 1-11</t>
  </si>
  <si>
    <t>Tab SRC-2, Line 42, Column (j)</t>
  </si>
  <si>
    <t>Line 5 less Tab RD-4, Line 184, Column (g)</t>
  </si>
  <si>
    <t>less Rate LSS Non-meter Revenue Adjustment</t>
  </si>
  <si>
    <t>Line 43, Column (d)</t>
  </si>
  <si>
    <t>Tab CLS1-1, Line 13 , Column (e) less Line 14, Column (e)</t>
  </si>
  <si>
    <t>Line 12 less Lines 13-16</t>
  </si>
  <si>
    <t xml:space="preserve">Lines 18-22 come from the Company's </t>
  </si>
  <si>
    <t>Transport Bills</t>
  </si>
  <si>
    <t>customer information system and</t>
  </si>
  <si>
    <t xml:space="preserve">adjusted for the effects </t>
  </si>
  <si>
    <t>Total MDR</t>
  </si>
  <si>
    <t>of unbilled sales and</t>
  </si>
  <si>
    <t>Total MHQ</t>
  </si>
  <si>
    <t>Line 4 plus Lines 6-8 divided by Line 18</t>
  </si>
  <si>
    <t>Calculated Transport Admin Charge</t>
  </si>
  <si>
    <t>Proposed Transport Admin Charge</t>
  </si>
  <si>
    <t>Customer Revenue</t>
  </si>
  <si>
    <t>Line 26 plus Line 27</t>
  </si>
  <si>
    <t>Line 3</t>
  </si>
  <si>
    <t>Class Load Factor</t>
  </si>
  <si>
    <t>Tab ALO-1, Line 22, Column (d)</t>
  </si>
  <si>
    <t>Mains (Excess Above Average Load)</t>
  </si>
  <si>
    <t>Line 29 x (1 - Line 30)</t>
  </si>
  <si>
    <t>Line 1</t>
  </si>
  <si>
    <t>Total MDR/MHQ Costs</t>
  </si>
  <si>
    <t>Line 31 plus Line 32</t>
  </si>
  <si>
    <t>Price is calculated as Line 33 divided by Line 21 plus Line 22</t>
  </si>
  <si>
    <t>Demand Revenue</t>
  </si>
  <si>
    <t>Line 34 plus Line 35</t>
  </si>
  <si>
    <t>Line 17 less Lines 28 and 36</t>
  </si>
  <si>
    <t>Price is calculated as Line 37 / Line 20</t>
  </si>
  <si>
    <t>Revenue is the sum of Lines 28, 36, and 38, Column (d)</t>
  </si>
  <si>
    <t>Rates for Rate LSS</t>
  </si>
  <si>
    <t>Price is calculated as current tariffed rate x Tab CLS1-1, Line 18, Column (e)</t>
  </si>
  <si>
    <t>Sum of Lines 40-42</t>
  </si>
  <si>
    <t>Sum of Lines 13, 14, and 16, Column (b) and Lines 39 and 43, Column (d) less Tab CLS1-1, Line 16, Column (e)</t>
  </si>
  <si>
    <t>Metering Rate Design</t>
  </si>
  <si>
    <t>Current Meter Installed Costs</t>
  </si>
  <si>
    <t>Meter</t>
  </si>
  <si>
    <t>Meter Charge</t>
  </si>
  <si>
    <t>Installed</t>
  </si>
  <si>
    <t>Size</t>
  </si>
  <si>
    <t>Group</t>
  </si>
  <si>
    <t>Cost</t>
  </si>
  <si>
    <t>Lines 1-25 come from Company Books and Records</t>
  </si>
  <si>
    <t>Metering Billing Units and Total Current Installed Cost</t>
  </si>
  <si>
    <t>Unit</t>
  </si>
  <si>
    <t>Number of Customers</t>
  </si>
  <si>
    <t>MVN</t>
  </si>
  <si>
    <t>NFN</t>
  </si>
  <si>
    <t>SVN</t>
  </si>
  <si>
    <t>Lines 26-174 are taken from Company books and records.</t>
  </si>
  <si>
    <t>Class designations map "S" rates to Small, "M" rates to Medium, and "L" rates to Large</t>
  </si>
  <si>
    <t>Group designations map meter types to Meter Class 1, 2, 3, and 4 based on meter size.</t>
  </si>
  <si>
    <t>Column (g) is derived from the lookup table at Lines 1-25 based on the meter size in Column (c).</t>
  </si>
  <si>
    <t>Column (h) is Column (g) multiplied by Column (f).</t>
  </si>
  <si>
    <t>Calculation of Metering Charges</t>
  </si>
  <si>
    <t>Calculated</t>
  </si>
  <si>
    <t>Proposed</t>
  </si>
  <si>
    <t>Allocated</t>
  </si>
  <si>
    <t xml:space="preserve"> Unit</t>
  </si>
  <si>
    <t>at Proposed</t>
  </si>
  <si>
    <t>This tables sums total units (Lines 26-174, Column (f)) and total installed cost (Lines 26-174, Column (h))</t>
  </si>
  <si>
    <t xml:space="preserve">by meter class. Column (d) is Lines 175-178, Column (c) multiplied by Line 181. </t>
  </si>
  <si>
    <t xml:space="preserve">Lines 175-178, Column (e) is Column (d) divided by Column (b). Lines 175-178, Column (f) is user defined. </t>
  </si>
  <si>
    <t>Lines 175-178, Column (g) is Column (f) multiplied by Column (b).</t>
  </si>
  <si>
    <t>Metering Revenue Requirements</t>
  </si>
  <si>
    <t>Tab CLS1-1, Line 5, Column (b)</t>
  </si>
  <si>
    <t>Multipliers</t>
  </si>
  <si>
    <t>Line 180 divided by Line 179, Column (c)</t>
  </si>
  <si>
    <t>Meters by Group</t>
  </si>
  <si>
    <t>Class Revenue</t>
  </si>
  <si>
    <t xml:space="preserve">This section calculates the necessary adjustments to the individual class </t>
  </si>
  <si>
    <t>revenue requirements in order to account for the user defined meter class charges.</t>
  </si>
  <si>
    <t>Weight</t>
  </si>
  <si>
    <t>This section calculates customer weights for the</t>
  </si>
  <si>
    <t>metering revenue requirement by rate class in Tab CLS1-1</t>
  </si>
  <si>
    <t>(not used in actual meter charge or customer charge calculations)</t>
  </si>
  <si>
    <t>This section calculates customer weights for regulators</t>
  </si>
  <si>
    <t>This section calculates customer weights for services</t>
  </si>
  <si>
    <t>--- Class ---</t>
  </si>
  <si>
    <t>LSS</t>
  </si>
  <si>
    <t>Interval/Transportation Metering Charge Rate Design</t>
  </si>
  <si>
    <t>Interval Meter, Assumed Average Plant Balance</t>
  </si>
  <si>
    <t>Rate of return</t>
  </si>
  <si>
    <t>Return</t>
  </si>
  <si>
    <t>Depreciation (10 years)</t>
  </si>
  <si>
    <t>Property Taxes (1.00% applied to net plant, 2021 rate)</t>
  </si>
  <si>
    <t>Revenue Requirement</t>
  </si>
  <si>
    <t>Monthly Interval Meter Charge</t>
  </si>
  <si>
    <t>Line 1, Column (b) is an estimate of a newly installed telemetry metering equipment adjusted to approximate an average plant value over the ten-year useful life</t>
  </si>
  <si>
    <t>Interval/Transportation Metering Billing Units and Allocated Costs</t>
  </si>
  <si>
    <t>No. of Bills</t>
  </si>
  <si>
    <t>Allocated Cost</t>
  </si>
  <si>
    <t>Column (b) is taken from Company books and records</t>
  </si>
  <si>
    <t>Column (c) is Column (b), Lines 8-12 multiplied by Column (b), Line 7</t>
  </si>
  <si>
    <t>Farm Tap Rate Design</t>
  </si>
  <si>
    <t>Phase-in to Updated Full Cost of Service</t>
  </si>
  <si>
    <t>2021 through 2028 Rate Schedule</t>
  </si>
  <si>
    <t>Proposed Rate</t>
  </si>
  <si>
    <t>Billing Units</t>
  </si>
  <si>
    <t>Annual Total</t>
  </si>
  <si>
    <t>Monthly Customer Charge (Per Meter)</t>
  </si>
  <si>
    <t>Non-Gas Commodity Charge (Per Therm)</t>
  </si>
  <si>
    <t>Farm Tap Services Revenue</t>
  </si>
  <si>
    <t>Total Revenue from Farm Tap Customers</t>
  </si>
  <si>
    <t>Estimated Annual Cost of Service Per Farm Tap Customer</t>
  </si>
  <si>
    <t>Management Fee (9.25%)</t>
  </si>
  <si>
    <t>Total Annual Cost of Farm Tap Service</t>
  </si>
  <si>
    <t>Total Cost of Service</t>
  </si>
  <si>
    <t>Annual Revenue Deficit / (Excess)</t>
  </si>
  <si>
    <t>2021 South Dakota Natural Gas Case</t>
  </si>
  <si>
    <t>Sales by Rate Code</t>
  </si>
  <si>
    <t>Book</t>
  </si>
  <si>
    <t>Billing Determinants for Small Volume (NFS, SVS, SVT, SVI, STM, SSS)</t>
  </si>
  <si>
    <t>Step</t>
  </si>
  <si>
    <t>All</t>
  </si>
  <si>
    <t>1st 250</t>
  </si>
  <si>
    <t>Ovr 250</t>
  </si>
  <si>
    <t>Billing Determinants by Class</t>
  </si>
  <si>
    <t>MDR</t>
  </si>
  <si>
    <t>MHQ</t>
  </si>
  <si>
    <t xml:space="preserve">----- </t>
  </si>
  <si>
    <t>Billing Determinants for Seasonal Classes</t>
  </si>
  <si>
    <t>Season</t>
  </si>
  <si>
    <t>Summer</t>
  </si>
  <si>
    <t>Winter</t>
  </si>
  <si>
    <t>Metering Billing Determinants</t>
  </si>
  <si>
    <t>Range</t>
  </si>
  <si>
    <t>0-675</t>
  </si>
  <si>
    <t>675-3000</t>
  </si>
  <si>
    <t>3000-11000</t>
  </si>
  <si>
    <t>Over 11000</t>
  </si>
  <si>
    <t>Metering Billing Determinants by Rate Class</t>
  </si>
  <si>
    <t>Proposed Rates</t>
  </si>
  <si>
    <t>Small Volume (SVS, SVT, STM):</t>
  </si>
  <si>
    <t>Monthly Charge:</t>
  </si>
  <si>
    <t>Daily Transport Admin Charge:</t>
  </si>
  <si>
    <t>Does not apply to STM or SVS</t>
  </si>
  <si>
    <t>Monthly Transport Admin Charge:</t>
  </si>
  <si>
    <t>Does not apply to SVT or SVS</t>
  </si>
  <si>
    <t>Interval/Transportation Meter Charge:</t>
  </si>
  <si>
    <t>Therms Charge (1st 250 per Month):</t>
  </si>
  <si>
    <t>Therms Charge (Over 250 per Month):</t>
  </si>
  <si>
    <t>Small Seasonal Service (SSS):</t>
  </si>
  <si>
    <t>Summer Therm Charge:</t>
  </si>
  <si>
    <t>Winter Therm Charge:</t>
  </si>
  <si>
    <t>Small Volume Interruptible Service (SVI):</t>
  </si>
  <si>
    <t>Therm Charge:</t>
  </si>
  <si>
    <t>Medium Volume (MVS, MVT, MTM):</t>
  </si>
  <si>
    <t>Does not apply to MTM or MVS</t>
  </si>
  <si>
    <t>Does not apply to MVT or MVS</t>
  </si>
  <si>
    <t>Therms Charge:</t>
  </si>
  <si>
    <t>Large Volume (LVS, LVT, LVI):</t>
  </si>
  <si>
    <t>Transport Admin Charge:</t>
  </si>
  <si>
    <t>MDR Charge (per therm):</t>
  </si>
  <si>
    <t>Does not apply to LVI</t>
  </si>
  <si>
    <t>MHQ Charge (per therm):</t>
  </si>
  <si>
    <t>Large Seasonal Service (LSS):</t>
  </si>
  <si>
    <t>Meter Charges</t>
  </si>
  <si>
    <t>Class 1 (0-675)</t>
  </si>
  <si>
    <t>per month</t>
  </si>
  <si>
    <t>Class 2 (675-3000)</t>
  </si>
  <si>
    <t>Class 3 (3000-11000)</t>
  </si>
  <si>
    <t>Class 4 (over 11000)</t>
  </si>
  <si>
    <t>Farm Tap Service (NFS, NFT):</t>
  </si>
  <si>
    <t>Does not apply to LVS or LVI</t>
  </si>
  <si>
    <t>Docket No. NG22-___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</si>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</sst>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* #,##0.0000_);_(* \(#,##0.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_);_(* \(#,##0.00000\);_(* &quot;-&quot;??_);_(@_)"/>
    <numFmt numFmtId="172" formatCode="0.0%"/>
    <numFmt numFmtId="173" formatCode="_(&quot;$&quot;* #,##0.00000_);_(&quot;$&quot;* \(#,##0.00000\);_(&quot;$&quot;* &quot;-&quot;??_);_(@_)"/>
    <numFmt numFmtId="174" formatCode="0.0000"/>
    <numFmt numFmtId="175" formatCode="0.00000"/>
    <numFmt numFmtId="176" formatCode="##,###,###,###,###,###,##0"/>
    <numFmt numFmtId="177" formatCode="0.0000%"/>
    <numFmt numFmtId="178" formatCode="&quot;$&quot;#,##0.00"/>
    <numFmt numFmtId="179" formatCode="&quot;$&quot;#,##0.00000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MS Sans Serif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4" fillId="0" borderId="0"/>
    <xf numFmtId="0" fontId="16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7" fillId="0" borderId="0"/>
    <xf numFmtId="0" fontId="22" fillId="0" borderId="0"/>
    <xf numFmtId="8" fontId="23" fillId="0" borderId="0" applyFont="0" applyFill="0" applyBorder="0" applyAlignment="0" applyProtection="0"/>
    <xf numFmtId="40" fontId="23" fillId="0" borderId="0" applyFont="0" applyFill="0" applyBorder="0" applyAlignment="0" applyProtection="0"/>
  </cellStyleXfs>
  <cellXfs count="326">
    <xf numFmtId="0" fontId="0" fillId="0" borderId="0" xfId="0"/>
    <xf numFmtId="10" fontId="0" fillId="0" borderId="0" xfId="3" applyNumberFormat="1" applyFont="1"/>
    <xf numFmtId="164" fontId="0" fillId="0" borderId="0" xfId="2" applyNumberFormat="1" applyFont="1"/>
    <xf numFmtId="164" fontId="7" fillId="0" borderId="0" xfId="2" applyNumberFormat="1" applyFont="1"/>
    <xf numFmtId="0" fontId="7" fillId="0" borderId="0" xfId="0" applyFont="1"/>
    <xf numFmtId="168" fontId="7" fillId="0" borderId="0" xfId="1" applyNumberFormat="1" applyFont="1"/>
    <xf numFmtId="164" fontId="7" fillId="0" borderId="0" xfId="0" applyNumberFormat="1" applyFont="1"/>
    <xf numFmtId="165" fontId="7" fillId="0" borderId="0" xfId="3" applyNumberFormat="1" applyFont="1"/>
    <xf numFmtId="0" fontId="7" fillId="0" borderId="0" xfId="44" applyFont="1" applyAlignment="1">
      <alignment horizontal="left"/>
    </xf>
    <xf numFmtId="166" fontId="0" fillId="0" borderId="0" xfId="1" applyNumberFormat="1" applyFont="1"/>
    <xf numFmtId="0" fontId="8" fillId="0" borderId="0" xfId="44" applyFont="1" applyAlignment="1">
      <alignment horizontal="left"/>
    </xf>
    <xf numFmtId="0" fontId="0" fillId="0" borderId="0" xfId="44" applyFont="1"/>
    <xf numFmtId="0" fontId="0" fillId="0" borderId="0" xfId="44" applyFont="1" applyAlignment="1">
      <alignment horizontal="left"/>
    </xf>
    <xf numFmtId="0" fontId="0" fillId="0" borderId="0" xfId="44" applyFont="1" applyAlignment="1">
      <alignment horizontal="right"/>
    </xf>
    <xf numFmtId="0" fontId="8" fillId="0" borderId="0" xfId="0" applyFont="1"/>
    <xf numFmtId="164" fontId="7" fillId="0" borderId="0" xfId="2" applyNumberFormat="1" applyFont="1" applyFill="1"/>
    <xf numFmtId="0" fontId="7" fillId="0" borderId="0" xfId="44" applyFont="1"/>
    <xf numFmtId="0" fontId="7" fillId="0" borderId="0" xfId="44" applyFont="1" applyAlignment="1">
      <alignment horizontal="center"/>
    </xf>
    <xf numFmtId="164" fontId="7" fillId="0" borderId="0" xfId="44" applyNumberFormat="1" applyFont="1"/>
    <xf numFmtId="164" fontId="15" fillId="0" borderId="0" xfId="44" applyNumberFormat="1" applyFont="1"/>
    <xf numFmtId="43" fontId="0" fillId="0" borderId="0" xfId="1" applyFont="1" applyAlignment="1" applyProtection="1">
      <alignment horizontal="center"/>
    </xf>
    <xf numFmtId="164" fontId="15" fillId="0" borderId="0" xfId="2" applyNumberFormat="1" applyFont="1"/>
    <xf numFmtId="0" fontId="12" fillId="0" borderId="0" xfId="44" applyFont="1" applyAlignment="1">
      <alignment horizontal="right"/>
    </xf>
    <xf numFmtId="0" fontId="0" fillId="0" borderId="0" xfId="44" applyFont="1" applyAlignment="1">
      <alignment horizontal="center"/>
    </xf>
    <xf numFmtId="0" fontId="0" fillId="0" borderId="1" xfId="44" applyFont="1" applyBorder="1"/>
    <xf numFmtId="168" fontId="0" fillId="0" borderId="0" xfId="1" applyNumberFormat="1" applyFont="1"/>
    <xf numFmtId="169" fontId="0" fillId="0" borderId="0" xfId="1" applyNumberFormat="1" applyFont="1"/>
    <xf numFmtId="171" fontId="0" fillId="0" borderId="0" xfId="1" applyNumberFormat="1" applyFont="1"/>
    <xf numFmtId="0" fontId="0" fillId="0" borderId="1" xfId="44" applyFont="1" applyBorder="1" applyAlignment="1">
      <alignment horizontal="center"/>
    </xf>
    <xf numFmtId="0" fontId="12" fillId="0" borderId="0" xfId="44" applyFont="1" applyAlignment="1" applyProtection="1">
      <alignment horizontal="center" wrapText="1"/>
      <protection locked="0"/>
    </xf>
    <xf numFmtId="0" fontId="12" fillId="0" borderId="0" xfId="44" applyFont="1" applyAlignment="1" applyProtection="1">
      <alignment horizontal="right" wrapText="1"/>
      <protection locked="0"/>
    </xf>
    <xf numFmtId="0" fontId="0" fillId="0" borderId="1" xfId="24" applyFont="1" applyBorder="1"/>
    <xf numFmtId="0" fontId="0" fillId="0" borderId="0" xfId="24" applyFont="1"/>
    <xf numFmtId="0" fontId="0" fillId="0" borderId="0" xfId="24" applyFont="1" applyAlignment="1">
      <alignment horizontal="right"/>
    </xf>
    <xf numFmtId="44" fontId="0" fillId="0" borderId="0" xfId="2" applyFont="1"/>
    <xf numFmtId="0" fontId="0" fillId="0" borderId="1" xfId="44" applyFont="1" applyBorder="1" applyAlignment="1" applyProtection="1">
      <alignment horizontal="right" wrapText="1"/>
      <protection locked="0"/>
    </xf>
    <xf numFmtId="164" fontId="0" fillId="0" borderId="1" xfId="2" applyNumberFormat="1" applyFont="1" applyBorder="1"/>
    <xf numFmtId="0" fontId="7" fillId="0" borderId="0" xfId="24" applyFont="1"/>
    <xf numFmtId="49" fontId="7" fillId="0" borderId="1" xfId="24" applyNumberFormat="1" applyFont="1" applyBorder="1" applyAlignment="1">
      <alignment horizontal="center"/>
    </xf>
    <xf numFmtId="0" fontId="7" fillId="0" borderId="1" xfId="24" applyFont="1" applyBorder="1" applyAlignment="1">
      <alignment horizontal="center"/>
    </xf>
    <xf numFmtId="49" fontId="7" fillId="0" borderId="1" xfId="24" applyNumberFormat="1" applyFont="1" applyBorder="1" applyAlignment="1">
      <alignment horizontal="left"/>
    </xf>
    <xf numFmtId="49" fontId="7" fillId="0" borderId="0" xfId="24" applyNumberFormat="1" applyFont="1" applyAlignment="1">
      <alignment horizontal="center"/>
    </xf>
    <xf numFmtId="0" fontId="7" fillId="0" borderId="0" xfId="24" applyFont="1" applyAlignment="1">
      <alignment horizontal="center"/>
    </xf>
    <xf numFmtId="0" fontId="7" fillId="0" borderId="0" xfId="79" applyFont="1"/>
    <xf numFmtId="0" fontId="7" fillId="0" borderId="1" xfId="79" applyFont="1" applyBorder="1" applyAlignment="1">
      <alignment horizontal="center"/>
    </xf>
    <xf numFmtId="49" fontId="7" fillId="0" borderId="1" xfId="79" applyNumberFormat="1" applyFont="1" applyBorder="1" applyAlignment="1">
      <alignment horizontal="center"/>
    </xf>
    <xf numFmtId="0" fontId="0" fillId="0" borderId="1" xfId="24" applyFont="1" applyBorder="1" applyAlignment="1">
      <alignment horizontal="right"/>
    </xf>
    <xf numFmtId="49" fontId="0" fillId="0" borderId="0" xfId="44" applyNumberFormat="1" applyFont="1"/>
    <xf numFmtId="49" fontId="0" fillId="0" borderId="0" xfId="44" applyNumberFormat="1" applyFont="1" applyAlignment="1">
      <alignment horizontal="left"/>
    </xf>
    <xf numFmtId="49" fontId="0" fillId="0" borderId="1" xfId="44" applyNumberFormat="1" applyFont="1" applyBorder="1" applyAlignment="1">
      <alignment horizontal="left"/>
    </xf>
    <xf numFmtId="49" fontId="0" fillId="0" borderId="0" xfId="44" applyNumberFormat="1" applyFont="1" applyAlignment="1">
      <alignment horizontal="left" indent="1"/>
    </xf>
    <xf numFmtId="49" fontId="0" fillId="0" borderId="1" xfId="44" applyNumberFormat="1" applyFont="1" applyBorder="1" applyAlignment="1">
      <alignment horizontal="left" indent="1"/>
    </xf>
    <xf numFmtId="0" fontId="0" fillId="0" borderId="0" xfId="24" applyFont="1" applyAlignment="1">
      <alignment horizontal="center"/>
    </xf>
    <xf numFmtId="173" fontId="0" fillId="0" borderId="0" xfId="2" applyNumberFormat="1" applyFont="1"/>
    <xf numFmtId="0" fontId="7" fillId="0" borderId="0" xfId="44" applyFont="1" applyAlignment="1">
      <alignment horizontal="right" vertical="center"/>
    </xf>
    <xf numFmtId="0" fontId="14" fillId="0" borderId="0" xfId="44" applyFont="1" applyAlignment="1">
      <alignment horizontal="right" vertical="center"/>
    </xf>
    <xf numFmtId="0" fontId="13" fillId="0" borderId="0" xfId="44" applyFont="1" applyAlignment="1">
      <alignment horizontal="right" vertical="center"/>
    </xf>
    <xf numFmtId="0" fontId="12" fillId="0" borderId="1" xfId="44" applyFont="1" applyBorder="1"/>
    <xf numFmtId="0" fontId="10" fillId="0" borderId="0" xfId="44" applyFont="1"/>
    <xf numFmtId="0" fontId="10" fillId="0" borderId="0" xfId="44" applyFont="1" applyAlignment="1">
      <alignment horizontal="left"/>
    </xf>
    <xf numFmtId="0" fontId="0" fillId="0" borderId="1" xfId="44" quotePrefix="1" applyFont="1" applyBorder="1" applyAlignment="1">
      <alignment horizontal="left"/>
    </xf>
    <xf numFmtId="166" fontId="0" fillId="0" borderId="0" xfId="1" applyNumberFormat="1" applyFont="1" applyFill="1" applyBorder="1"/>
    <xf numFmtId="0" fontId="0" fillId="0" borderId="0" xfId="44" applyFont="1" applyAlignment="1">
      <alignment horizontal="left" indent="2"/>
    </xf>
    <xf numFmtId="0" fontId="7" fillId="0" borderId="0" xfId="83" applyFont="1"/>
    <xf numFmtId="0" fontId="7" fillId="0" borderId="0" xfId="83" applyFont="1" applyAlignment="1">
      <alignment horizontal="center"/>
    </xf>
    <xf numFmtId="49" fontId="7" fillId="0" borderId="1" xfId="83" applyNumberFormat="1" applyFont="1" applyBorder="1" applyAlignment="1">
      <alignment horizontal="center"/>
    </xf>
    <xf numFmtId="0" fontId="7" fillId="0" borderId="1" xfId="83" applyFont="1" applyBorder="1" applyAlignment="1">
      <alignment horizontal="center"/>
    </xf>
    <xf numFmtId="0" fontId="0" fillId="0" borderId="1" xfId="24" applyFont="1" applyBorder="1" applyAlignment="1">
      <alignment horizontal="center"/>
    </xf>
    <xf numFmtId="0" fontId="0" fillId="0" borderId="1" xfId="83" applyFont="1" applyBorder="1" applyAlignment="1">
      <alignment horizontal="right"/>
    </xf>
    <xf numFmtId="166" fontId="0" fillId="0" borderId="1" xfId="1" applyNumberFormat="1" applyFont="1" applyBorder="1"/>
    <xf numFmtId="0" fontId="0" fillId="0" borderId="9" xfId="24" applyFont="1" applyBorder="1" applyAlignment="1">
      <alignment horizontal="right"/>
    </xf>
    <xf numFmtId="0" fontId="0" fillId="0" borderId="10" xfId="24" applyFont="1" applyBorder="1" applyAlignment="1">
      <alignment horizontal="right"/>
    </xf>
    <xf numFmtId="0" fontId="0" fillId="0" borderId="3" xfId="24" applyFont="1" applyBorder="1" applyAlignment="1">
      <alignment horizontal="right"/>
    </xf>
    <xf numFmtId="166" fontId="0" fillId="0" borderId="0" xfId="1" applyNumberFormat="1" applyFont="1" applyFill="1"/>
    <xf numFmtId="164" fontId="0" fillId="0" borderId="0" xfId="2" applyNumberFormat="1" applyFont="1" applyFill="1"/>
    <xf numFmtId="0" fontId="11" fillId="0" borderId="0" xfId="44" applyFont="1"/>
    <xf numFmtId="165" fontId="0" fillId="0" borderId="0" xfId="3" applyNumberFormat="1" applyFont="1" applyFill="1"/>
    <xf numFmtId="0" fontId="0" fillId="0" borderId="1" xfId="24" applyFont="1" applyBorder="1" applyAlignment="1">
      <alignment horizontal="left"/>
    </xf>
    <xf numFmtId="49" fontId="7" fillId="0" borderId="0" xfId="83" applyNumberFormat="1" applyFont="1" applyAlignment="1">
      <alignment horizontal="center"/>
    </xf>
    <xf numFmtId="49" fontId="7" fillId="0" borderId="1" xfId="83" applyNumberFormat="1" applyFont="1" applyBorder="1" applyAlignment="1">
      <alignment horizontal="left"/>
    </xf>
    <xf numFmtId="0" fontId="7" fillId="0" borderId="0" xfId="84" applyFont="1" applyAlignment="1">
      <alignment horizontal="center" wrapText="1"/>
    </xf>
    <xf numFmtId="0" fontId="0" fillId="0" borderId="0" xfId="83" applyFont="1"/>
    <xf numFmtId="0" fontId="8" fillId="0" borderId="0" xfId="24" applyFont="1"/>
    <xf numFmtId="0" fontId="10" fillId="0" borderId="0" xfId="0" applyFont="1"/>
    <xf numFmtId="44" fontId="0" fillId="0" borderId="1" xfId="2" applyFont="1" applyBorder="1"/>
    <xf numFmtId="173" fontId="0" fillId="0" borderId="3" xfId="2" applyNumberFormat="1" applyFont="1" applyFill="1" applyBorder="1"/>
    <xf numFmtId="43" fontId="0" fillId="0" borderId="0" xfId="1" applyFont="1"/>
    <xf numFmtId="44" fontId="0" fillId="0" borderId="0" xfId="2" applyFont="1" applyFill="1"/>
    <xf numFmtId="168" fontId="0" fillId="0" borderId="0" xfId="1" applyNumberFormat="1" applyFont="1" applyAlignment="1">
      <alignment horizontal="right"/>
    </xf>
    <xf numFmtId="164" fontId="0" fillId="0" borderId="1" xfId="2" applyNumberFormat="1" applyFont="1" applyFill="1" applyBorder="1"/>
    <xf numFmtId="164" fontId="0" fillId="0" borderId="0" xfId="2" applyNumberFormat="1" applyFont="1" applyFill="1" applyBorder="1"/>
    <xf numFmtId="165" fontId="7" fillId="0" borderId="0" xfId="3" applyNumberFormat="1" applyFont="1" applyFill="1"/>
    <xf numFmtId="167" fontId="0" fillId="0" borderId="0" xfId="2" applyNumberFormat="1" applyFont="1" applyFill="1"/>
    <xf numFmtId="166" fontId="0" fillId="0" borderId="6" xfId="1" applyNumberFormat="1" applyFont="1" applyBorder="1"/>
    <xf numFmtId="166" fontId="0" fillId="0" borderId="7" xfId="1" applyNumberFormat="1" applyFont="1" applyBorder="1"/>
    <xf numFmtId="166" fontId="0" fillId="0" borderId="8" xfId="1" applyNumberFormat="1" applyFont="1" applyBorder="1"/>
    <xf numFmtId="166" fontId="0" fillId="0" borderId="11" xfId="1" applyNumberFormat="1" applyFont="1" applyBorder="1"/>
    <xf numFmtId="166" fontId="0" fillId="0" borderId="0" xfId="1" applyNumberFormat="1" applyFont="1" applyBorder="1"/>
    <xf numFmtId="166" fontId="0" fillId="0" borderId="12" xfId="1" applyNumberFormat="1" applyFont="1" applyBorder="1"/>
    <xf numFmtId="166" fontId="0" fillId="0" borderId="9" xfId="1" applyNumberFormat="1" applyFont="1" applyBorder="1"/>
    <xf numFmtId="166" fontId="0" fillId="0" borderId="10" xfId="1" applyNumberFormat="1" applyFont="1" applyBorder="1"/>
    <xf numFmtId="166" fontId="0" fillId="0" borderId="9" xfId="1" applyNumberFormat="1" applyFont="1" applyFill="1" applyBorder="1"/>
    <xf numFmtId="164" fontId="0" fillId="0" borderId="9" xfId="2" applyNumberFormat="1" applyFont="1" applyBorder="1"/>
    <xf numFmtId="9" fontId="0" fillId="0" borderId="0" xfId="3" applyFont="1" applyFill="1"/>
    <xf numFmtId="10" fontId="7" fillId="0" borderId="0" xfId="3" applyNumberFormat="1" applyFont="1" applyFill="1"/>
    <xf numFmtId="10" fontId="7" fillId="0" borderId="0" xfId="3" applyNumberFormat="1" applyFont="1"/>
    <xf numFmtId="0" fontId="8" fillId="0" borderId="0" xfId="0" applyFont="1" applyAlignment="1">
      <alignment horizontal="left"/>
    </xf>
    <xf numFmtId="0" fontId="0" fillId="0" borderId="0" xfId="44" quotePrefix="1" applyFont="1" applyAlignment="1">
      <alignment horizontal="center"/>
    </xf>
    <xf numFmtId="0" fontId="7" fillId="0" borderId="1" xfId="0" applyFont="1" applyBorder="1"/>
    <xf numFmtId="164" fontId="7" fillId="0" borderId="1" xfId="2" applyNumberFormat="1" applyFont="1" applyFill="1" applyBorder="1"/>
    <xf numFmtId="164" fontId="7" fillId="0" borderId="1" xfId="44" applyNumberFormat="1" applyFont="1" applyBorder="1"/>
    <xf numFmtId="0" fontId="0" fillId="0" borderId="1" xfId="44" applyFont="1" applyBorder="1" applyAlignment="1">
      <alignment horizontal="left"/>
    </xf>
    <xf numFmtId="0" fontId="8" fillId="0" borderId="0" xfId="44" applyFont="1"/>
    <xf numFmtId="49" fontId="7" fillId="0" borderId="0" xfId="44" applyNumberFormat="1" applyFont="1" applyAlignment="1">
      <alignment horizontal="left"/>
    </xf>
    <xf numFmtId="164" fontId="19" fillId="0" borderId="1" xfId="2" applyNumberFormat="1" applyFont="1" applyFill="1" applyBorder="1"/>
    <xf numFmtId="166" fontId="7" fillId="0" borderId="0" xfId="1" applyNumberFormat="1" applyFont="1" applyFill="1"/>
    <xf numFmtId="164" fontId="20" fillId="0" borderId="0" xfId="44" applyNumberFormat="1" applyFont="1"/>
    <xf numFmtId="0" fontId="20" fillId="0" borderId="0" xfId="44" applyFont="1"/>
    <xf numFmtId="164" fontId="7" fillId="0" borderId="0" xfId="2" applyNumberFormat="1" applyFont="1" applyFill="1" applyBorder="1"/>
    <xf numFmtId="177" fontId="0" fillId="0" borderId="0" xfId="3" applyNumberFormat="1" applyFont="1" applyFill="1"/>
    <xf numFmtId="172" fontId="0" fillId="0" borderId="0" xfId="3" applyNumberFormat="1" applyFont="1" applyFill="1"/>
    <xf numFmtId="2" fontId="0" fillId="0" borderId="0" xfId="3" applyNumberFormat="1" applyFont="1" applyFill="1"/>
    <xf numFmtId="43" fontId="0" fillId="0" borderId="0" xfId="1" applyFont="1" applyFill="1"/>
    <xf numFmtId="173" fontId="0" fillId="0" borderId="0" xfId="2" applyNumberFormat="1" applyFont="1" applyFill="1"/>
    <xf numFmtId="171" fontId="0" fillId="0" borderId="0" xfId="1" applyNumberFormat="1" applyFont="1" applyFill="1"/>
    <xf numFmtId="0" fontId="10" fillId="0" borderId="0" xfId="24" applyFont="1"/>
    <xf numFmtId="173" fontId="0" fillId="0" borderId="13" xfId="2" applyNumberFormat="1" applyFont="1" applyFill="1" applyBorder="1"/>
    <xf numFmtId="173" fontId="0" fillId="0" borderId="5" xfId="2" applyNumberFormat="1" applyFont="1" applyFill="1" applyBorder="1"/>
    <xf numFmtId="44" fontId="0" fillId="0" borderId="4" xfId="2" applyFont="1" applyFill="1" applyBorder="1"/>
    <xf numFmtId="44" fontId="0" fillId="0" borderId="5" xfId="2" applyFont="1" applyFill="1" applyBorder="1"/>
    <xf numFmtId="166" fontId="0" fillId="0" borderId="1" xfId="1" applyNumberFormat="1" applyFont="1" applyFill="1" applyBorder="1"/>
    <xf numFmtId="8" fontId="0" fillId="0" borderId="0" xfId="2" applyNumberFormat="1" applyFont="1" applyFill="1"/>
    <xf numFmtId="166" fontId="0" fillId="0" borderId="0" xfId="1" applyNumberFormat="1" applyFont="1" applyFill="1" applyBorder="1" applyAlignment="1">
      <alignment horizontal="right"/>
    </xf>
    <xf numFmtId="166" fontId="0" fillId="0" borderId="12" xfId="1" applyNumberFormat="1" applyFont="1" applyFill="1" applyBorder="1" applyAlignment="1">
      <alignment horizontal="right"/>
    </xf>
    <xf numFmtId="166" fontId="0" fillId="0" borderId="1" xfId="1" applyNumberFormat="1" applyFont="1" applyFill="1" applyBorder="1" applyAlignment="1">
      <alignment horizontal="right"/>
    </xf>
    <xf numFmtId="166" fontId="0" fillId="0" borderId="10" xfId="1" applyNumberFormat="1" applyFont="1" applyFill="1" applyBorder="1" applyAlignment="1">
      <alignment horizontal="right"/>
    </xf>
    <xf numFmtId="3" fontId="0" fillId="0" borderId="1" xfId="1" applyNumberFormat="1" applyFont="1" applyFill="1" applyBorder="1"/>
    <xf numFmtId="0" fontId="21" fillId="0" borderId="0" xfId="69" applyFont="1"/>
    <xf numFmtId="0" fontId="7" fillId="0" borderId="0" xfId="69" applyFont="1" applyAlignment="1">
      <alignment horizontal="left"/>
    </xf>
    <xf numFmtId="0" fontId="7" fillId="0" borderId="0" xfId="69" applyFont="1" applyAlignment="1">
      <alignment horizontal="center"/>
    </xf>
    <xf numFmtId="178" fontId="7" fillId="0" borderId="3" xfId="69" applyNumberFormat="1" applyFont="1" applyBorder="1"/>
    <xf numFmtId="179" fontId="7" fillId="0" borderId="3" xfId="69" applyNumberFormat="1" applyFont="1" applyBorder="1"/>
    <xf numFmtId="178" fontId="7" fillId="0" borderId="7" xfId="69" applyNumberFormat="1" applyFont="1" applyBorder="1"/>
    <xf numFmtId="178" fontId="7" fillId="0" borderId="0" xfId="69" applyNumberFormat="1" applyFont="1"/>
    <xf numFmtId="178" fontId="7" fillId="0" borderId="15" xfId="69" applyNumberFormat="1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/>
    <xf numFmtId="165" fontId="0" fillId="0" borderId="0" xfId="3" applyNumberFormat="1" applyFont="1"/>
    <xf numFmtId="10" fontId="0" fillId="0" borderId="0" xfId="3" applyNumberFormat="1" applyFont="1" applyFill="1" applyBorder="1"/>
    <xf numFmtId="44" fontId="0" fillId="0" borderId="0" xfId="3" applyNumberFormat="1" applyFont="1"/>
    <xf numFmtId="166" fontId="0" fillId="0" borderId="0" xfId="0" applyNumberFormat="1" applyFont="1"/>
    <xf numFmtId="0" fontId="0" fillId="0" borderId="0" xfId="30" applyFont="1"/>
    <xf numFmtId="164" fontId="0" fillId="0" borderId="0" xfId="44" applyNumberFormat="1" applyFont="1"/>
    <xf numFmtId="0" fontId="0" fillId="0" borderId="0" xfId="44" quotePrefix="1" applyFont="1" applyAlignment="1">
      <alignment horizontal="left"/>
    </xf>
    <xf numFmtId="44" fontId="0" fillId="0" borderId="0" xfId="44" applyNumberFormat="1" applyFont="1"/>
    <xf numFmtId="164" fontId="0" fillId="0" borderId="1" xfId="44" applyNumberFormat="1" applyFont="1" applyBorder="1"/>
    <xf numFmtId="164" fontId="7" fillId="0" borderId="0" xfId="1" applyNumberFormat="1" applyFont="1" applyFill="1"/>
    <xf numFmtId="0" fontId="0" fillId="0" borderId="0" xfId="44" quotePrefix="1" applyFont="1"/>
    <xf numFmtId="164" fontId="7" fillId="0" borderId="1" xfId="1" applyNumberFormat="1" applyFont="1" applyFill="1" applyBorder="1"/>
    <xf numFmtId="164" fontId="0" fillId="0" borderId="0" xfId="1" applyNumberFormat="1" applyFont="1" applyFill="1"/>
    <xf numFmtId="3" fontId="0" fillId="0" borderId="0" xfId="44" applyNumberFormat="1" applyFont="1"/>
    <xf numFmtId="5" fontId="7" fillId="0" borderId="1" xfId="2" applyNumberFormat="1" applyFont="1" applyFill="1" applyBorder="1"/>
    <xf numFmtId="3" fontId="0" fillId="0" borderId="0" xfId="44" applyNumberFormat="1" applyFont="1" applyAlignment="1">
      <alignment horizontal="left"/>
    </xf>
    <xf numFmtId="43" fontId="0" fillId="0" borderId="0" xfId="44" applyNumberFormat="1" applyFont="1"/>
    <xf numFmtId="5" fontId="7" fillId="0" borderId="0" xfId="2" applyNumberFormat="1" applyFont="1" applyFill="1"/>
    <xf numFmtId="164" fontId="0" fillId="0" borderId="0" xfId="1" applyNumberFormat="1" applyFont="1" applyFill="1" applyBorder="1"/>
    <xf numFmtId="10" fontId="0" fillId="0" borderId="0" xfId="3" quotePrefix="1" applyNumberFormat="1" applyFont="1" applyFill="1" applyAlignment="1">
      <alignment horizontal="right"/>
    </xf>
    <xf numFmtId="44" fontId="0" fillId="0" borderId="0" xfId="0" applyNumberFormat="1" applyFont="1"/>
    <xf numFmtId="0" fontId="0" fillId="0" borderId="6" xfId="24" applyFont="1" applyBorder="1"/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" xfId="57" applyFont="1" applyBorder="1" applyAlignment="1">
      <alignment horizontal="center" wrapText="1"/>
    </xf>
    <xf numFmtId="0" fontId="7" fillId="0" borderId="0" xfId="57" applyFont="1" applyAlignment="1">
      <alignment horizontal="center" wrapText="1"/>
    </xf>
    <xf numFmtId="166" fontId="0" fillId="0" borderId="11" xfId="1" applyNumberFormat="1" applyFont="1" applyFill="1" applyBorder="1"/>
    <xf numFmtId="43" fontId="0" fillId="0" borderId="0" xfId="0" applyNumberFormat="1" applyFont="1"/>
    <xf numFmtId="0" fontId="7" fillId="0" borderId="1" xfId="57" applyFont="1" applyBorder="1" applyAlignment="1">
      <alignment horizontal="center" wrapText="1"/>
    </xf>
    <xf numFmtId="166" fontId="0" fillId="0" borderId="1" xfId="0" applyNumberFormat="1" applyFont="1" applyBorder="1"/>
    <xf numFmtId="166" fontId="0" fillId="0" borderId="10" xfId="0" applyNumberFormat="1" applyFont="1" applyBorder="1"/>
    <xf numFmtId="166" fontId="0" fillId="0" borderId="0" xfId="1" applyNumberFormat="1" applyFont="1" applyBorder="1" applyAlignment="1">
      <alignment horizontal="right"/>
    </xf>
    <xf numFmtId="0" fontId="0" fillId="0" borderId="0" xfId="57" applyFont="1" applyAlignment="1">
      <alignment horizontal="center" wrapText="1"/>
    </xf>
    <xf numFmtId="166" fontId="0" fillId="0" borderId="13" xfId="1" applyNumberFormat="1" applyFont="1" applyFill="1" applyBorder="1"/>
    <xf numFmtId="176" fontId="0" fillId="0" borderId="0" xfId="1" applyNumberFormat="1" applyFont="1" applyFill="1" applyBorder="1"/>
    <xf numFmtId="43" fontId="0" fillId="0" borderId="0" xfId="1" applyFont="1" applyFill="1" applyBorder="1"/>
    <xf numFmtId="166" fontId="0" fillId="0" borderId="0" xfId="24" applyNumberFormat="1" applyFont="1"/>
    <xf numFmtId="166" fontId="0" fillId="0" borderId="0" xfId="24" applyNumberFormat="1" applyFont="1" applyAlignment="1">
      <alignment horizontal="right"/>
    </xf>
    <xf numFmtId="176" fontId="0" fillId="0" borderId="1" xfId="1" applyNumberFormat="1" applyFont="1" applyFill="1" applyBorder="1"/>
    <xf numFmtId="43" fontId="0" fillId="0" borderId="1" xfId="1" applyFont="1" applyFill="1" applyBorder="1"/>
    <xf numFmtId="166" fontId="0" fillId="0" borderId="1" xfId="24" applyNumberFormat="1" applyFont="1" applyBorder="1" applyAlignment="1">
      <alignment horizontal="right"/>
    </xf>
    <xf numFmtId="166" fontId="0" fillId="0" borderId="1" xfId="24" applyNumberFormat="1" applyFont="1" applyBorder="1"/>
    <xf numFmtId="166" fontId="0" fillId="0" borderId="5" xfId="1" applyNumberFormat="1" applyFont="1" applyFill="1" applyBorder="1"/>
    <xf numFmtId="166" fontId="0" fillId="0" borderId="5" xfId="24" applyNumberFormat="1" applyFont="1" applyBorder="1"/>
    <xf numFmtId="0" fontId="0" fillId="0" borderId="0" xfId="0" quotePrefix="1" applyFont="1" applyAlignment="1">
      <alignment horizontal="right"/>
    </xf>
    <xf numFmtId="166" fontId="0" fillId="0" borderId="0" xfId="0" quotePrefix="1" applyNumberFormat="1" applyFont="1" applyAlignment="1">
      <alignment horizontal="right"/>
    </xf>
    <xf numFmtId="166" fontId="0" fillId="0" borderId="12" xfId="0" applyNumberFormat="1" applyFont="1" applyBorder="1"/>
    <xf numFmtId="0" fontId="0" fillId="0" borderId="12" xfId="0" quotePrefix="1" applyFont="1" applyBorder="1" applyAlignment="1">
      <alignment horizontal="right"/>
    </xf>
    <xf numFmtId="0" fontId="0" fillId="0" borderId="10" xfId="0" quotePrefix="1" applyFont="1" applyBorder="1" applyAlignment="1">
      <alignment horizontal="right"/>
    </xf>
    <xf numFmtId="166" fontId="0" fillId="0" borderId="9" xfId="24" applyNumberFormat="1" applyFont="1" applyBorder="1"/>
    <xf numFmtId="166" fontId="0" fillId="0" borderId="10" xfId="24" applyNumberFormat="1" applyFont="1" applyBorder="1"/>
    <xf numFmtId="0" fontId="0" fillId="0" borderId="0" xfId="69" applyFont="1"/>
    <xf numFmtId="0" fontId="22" fillId="0" borderId="0" xfId="85" applyFont="1"/>
    <xf numFmtId="0" fontId="0" fillId="0" borderId="1" xfId="69" applyFont="1" applyBorder="1" applyAlignment="1">
      <alignment horizontal="center"/>
    </xf>
    <xf numFmtId="0" fontId="0" fillId="0" borderId="0" xfId="69" applyFont="1" applyAlignment="1">
      <alignment horizontal="center"/>
    </xf>
    <xf numFmtId="0" fontId="0" fillId="0" borderId="0" xfId="69" applyFont="1" applyAlignment="1">
      <alignment horizontal="left"/>
    </xf>
    <xf numFmtId="166" fontId="0" fillId="0" borderId="0" xfId="87" applyNumberFormat="1" applyFont="1" applyFill="1"/>
    <xf numFmtId="178" fontId="0" fillId="0" borderId="0" xfId="69" applyNumberFormat="1" applyFont="1"/>
    <xf numFmtId="0" fontId="0" fillId="0" borderId="0" xfId="69" applyFont="1" applyAlignment="1">
      <alignment horizontal="left" indent="2"/>
    </xf>
    <xf numFmtId="166" fontId="0" fillId="0" borderId="0" xfId="69" applyNumberFormat="1" applyFont="1"/>
    <xf numFmtId="0" fontId="24" fillId="0" borderId="0" xfId="24" applyFont="1" applyAlignment="1">
      <alignment horizontal="center"/>
    </xf>
    <xf numFmtId="0" fontId="0" fillId="0" borderId="0" xfId="24" applyFont="1" applyAlignment="1">
      <alignment horizontal="left"/>
    </xf>
    <xf numFmtId="0" fontId="25" fillId="0" borderId="0" xfId="24" applyFont="1"/>
    <xf numFmtId="44" fontId="0" fillId="0" borderId="0" xfId="24" applyNumberFormat="1" applyFont="1"/>
    <xf numFmtId="165" fontId="0" fillId="0" borderId="1" xfId="24" applyNumberFormat="1" applyFont="1" applyBorder="1"/>
    <xf numFmtId="43" fontId="0" fillId="0" borderId="1" xfId="24" applyNumberFormat="1" applyFont="1" applyBorder="1"/>
    <xf numFmtId="44" fontId="0" fillId="0" borderId="14" xfId="24" applyNumberFormat="1" applyFont="1" applyBorder="1"/>
    <xf numFmtId="43" fontId="0" fillId="0" borderId="0" xfId="24" applyNumberFormat="1" applyFont="1"/>
    <xf numFmtId="0" fontId="0" fillId="0" borderId="1" xfId="0" applyFont="1" applyBorder="1" applyAlignment="1">
      <alignment horizontal="center"/>
    </xf>
    <xf numFmtId="0" fontId="0" fillId="0" borderId="0" xfId="79" applyFont="1" applyAlignment="1">
      <alignment horizontal="center"/>
    </xf>
    <xf numFmtId="164" fontId="7" fillId="0" borderId="0" xfId="76" applyNumberFormat="1" applyFont="1" applyFill="1"/>
    <xf numFmtId="1" fontId="0" fillId="0" borderId="0" xfId="0" applyNumberFormat="1" applyFont="1"/>
    <xf numFmtId="174" fontId="0" fillId="0" borderId="0" xfId="0" applyNumberFormat="1" applyFont="1"/>
    <xf numFmtId="44" fontId="7" fillId="0" borderId="4" xfId="2" applyFont="1" applyFill="1" applyBorder="1"/>
    <xf numFmtId="44" fontId="7" fillId="0" borderId="13" xfId="2" applyFont="1" applyBorder="1"/>
    <xf numFmtId="1" fontId="0" fillId="0" borderId="1" xfId="0" applyNumberFormat="1" applyFont="1" applyBorder="1"/>
    <xf numFmtId="44" fontId="7" fillId="0" borderId="5" xfId="2" applyFont="1" applyBorder="1"/>
    <xf numFmtId="1" fontId="0" fillId="0" borderId="0" xfId="0" applyNumberFormat="1" applyFont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74" fontId="0" fillId="0" borderId="1" xfId="0" applyNumberFormat="1" applyFont="1" applyBorder="1"/>
    <xf numFmtId="1" fontId="0" fillId="0" borderId="1" xfId="0" applyNumberFormat="1" applyFont="1" applyBorder="1" applyAlignment="1">
      <alignment horizontal="left"/>
    </xf>
    <xf numFmtId="175" fontId="0" fillId="0" borderId="0" xfId="0" applyNumberFormat="1" applyFont="1"/>
    <xf numFmtId="164" fontId="0" fillId="0" borderId="1" xfId="0" applyNumberFormat="1" applyFont="1" applyBorder="1"/>
    <xf numFmtId="44" fontId="7" fillId="0" borderId="5" xfId="2" applyFont="1" applyFill="1" applyBorder="1"/>
    <xf numFmtId="44" fontId="7" fillId="0" borderId="0" xfId="2" applyFont="1" applyFill="1" applyBorder="1"/>
    <xf numFmtId="44" fontId="7" fillId="0" borderId="0" xfId="2" applyFont="1" applyFill="1"/>
    <xf numFmtId="171" fontId="0" fillId="0" borderId="1" xfId="1" applyNumberFormat="1" applyFont="1" applyFill="1" applyBorder="1"/>
    <xf numFmtId="44" fontId="7" fillId="0" borderId="13" xfId="2" applyFont="1" applyFill="1" applyBorder="1"/>
    <xf numFmtId="0" fontId="0" fillId="0" borderId="10" xfId="0" applyFont="1" applyBorder="1"/>
    <xf numFmtId="166" fontId="0" fillId="0" borderId="9" xfId="0" applyNumberFormat="1" applyFont="1" applyBorder="1"/>
    <xf numFmtId="43" fontId="7" fillId="0" borderId="0" xfId="1" applyFont="1" applyFill="1"/>
    <xf numFmtId="44" fontId="7" fillId="0" borderId="1" xfId="2" applyFont="1" applyFill="1" applyBorder="1"/>
    <xf numFmtId="0" fontId="8" fillId="0" borderId="0" xfId="52" applyFont="1"/>
    <xf numFmtId="0" fontId="26" fillId="0" borderId="0" xfId="52" applyFont="1"/>
    <xf numFmtId="0" fontId="0" fillId="0" borderId="0" xfId="52" applyFont="1" applyAlignment="1">
      <alignment horizontal="right"/>
    </xf>
    <xf numFmtId="0" fontId="0" fillId="0" borderId="0" xfId="52" applyFont="1"/>
    <xf numFmtId="0" fontId="0" fillId="0" borderId="1" xfId="52" applyFont="1" applyBorder="1" applyAlignment="1">
      <alignment horizontal="left"/>
    </xf>
    <xf numFmtId="0" fontId="0" fillId="0" borderId="1" xfId="52" applyFont="1" applyBorder="1" applyAlignment="1">
      <alignment horizontal="right"/>
    </xf>
    <xf numFmtId="0" fontId="0" fillId="0" borderId="0" xfId="52" applyFont="1" applyAlignment="1">
      <alignment horizontal="left"/>
    </xf>
    <xf numFmtId="0" fontId="26" fillId="0" borderId="0" xfId="52" applyFont="1" applyAlignment="1">
      <alignment horizontal="center"/>
    </xf>
    <xf numFmtId="166" fontId="7" fillId="0" borderId="0" xfId="1" applyNumberFormat="1" applyFont="1"/>
    <xf numFmtId="166" fontId="0" fillId="0" borderId="0" xfId="52" applyNumberFormat="1" applyFont="1"/>
    <xf numFmtId="171" fontId="0" fillId="0" borderId="0" xfId="52" applyNumberFormat="1" applyFont="1"/>
    <xf numFmtId="0" fontId="0" fillId="0" borderId="0" xfId="79" applyFont="1"/>
    <xf numFmtId="43" fontId="0" fillId="0" borderId="0" xfId="79" applyNumberFormat="1" applyFont="1"/>
    <xf numFmtId="0" fontId="0" fillId="0" borderId="0" xfId="57" applyFont="1" applyAlignment="1">
      <alignment wrapText="1"/>
    </xf>
    <xf numFmtId="166" fontId="0" fillId="0" borderId="0" xfId="80" applyNumberFormat="1" applyFont="1" applyFill="1" applyBorder="1" applyAlignment="1">
      <alignment horizontal="right" wrapText="1"/>
    </xf>
    <xf numFmtId="37" fontId="7" fillId="0" borderId="0" xfId="80" applyNumberFormat="1" applyFont="1" applyFill="1" applyBorder="1" applyAlignment="1">
      <alignment horizontal="right" wrapText="1"/>
    </xf>
    <xf numFmtId="166" fontId="7" fillId="0" borderId="0" xfId="80" applyNumberFormat="1" applyFont="1" applyFill="1" applyBorder="1" applyAlignment="1">
      <alignment horizontal="right" wrapText="1"/>
    </xf>
    <xf numFmtId="39" fontId="7" fillId="0" borderId="0" xfId="80" applyNumberFormat="1" applyFont="1" applyFill="1" applyBorder="1" applyAlignment="1">
      <alignment horizontal="right" wrapText="1"/>
    </xf>
    <xf numFmtId="166" fontId="0" fillId="0" borderId="0" xfId="79" applyNumberFormat="1" applyFont="1"/>
    <xf numFmtId="0" fontId="0" fillId="0" borderId="0" xfId="24" quotePrefix="1" applyFont="1" applyAlignment="1">
      <alignment horizontal="center"/>
    </xf>
    <xf numFmtId="37" fontId="7" fillId="0" borderId="0" xfId="1" applyNumberFormat="1" applyFont="1" applyFill="1" applyBorder="1" applyAlignment="1">
      <alignment horizontal="right" wrapText="1"/>
    </xf>
    <xf numFmtId="166" fontId="0" fillId="0" borderId="0" xfId="1" applyNumberFormat="1" applyFont="1" applyFill="1" applyBorder="1" applyAlignment="1">
      <alignment horizontal="right" wrapText="1"/>
    </xf>
    <xf numFmtId="166" fontId="0" fillId="0" borderId="2" xfId="1" applyNumberFormat="1" applyFont="1" applyFill="1" applyBorder="1" applyAlignment="1">
      <alignment horizontal="right" wrapText="1"/>
    </xf>
    <xf numFmtId="166" fontId="0" fillId="0" borderId="0" xfId="1" applyNumberFormat="1" applyFont="1" applyAlignment="1">
      <alignment horizontal="center"/>
    </xf>
    <xf numFmtId="166" fontId="0" fillId="0" borderId="0" xfId="24" applyNumberFormat="1" applyFont="1" applyAlignment="1">
      <alignment horizontal="center"/>
    </xf>
    <xf numFmtId="164" fontId="0" fillId="0" borderId="0" xfId="24" applyNumberFormat="1" applyFont="1"/>
    <xf numFmtId="164" fontId="0" fillId="0" borderId="0" xfId="76" applyNumberFormat="1" applyFont="1" applyFill="1"/>
    <xf numFmtId="164" fontId="7" fillId="0" borderId="1" xfId="76" applyNumberFormat="1" applyFont="1" applyFill="1" applyBorder="1"/>
    <xf numFmtId="164" fontId="0" fillId="0" borderId="1" xfId="76" applyNumberFormat="1" applyFont="1" applyFill="1" applyBorder="1"/>
    <xf numFmtId="173" fontId="0" fillId="0" borderId="0" xfId="76" applyNumberFormat="1" applyFont="1" applyFill="1"/>
    <xf numFmtId="164" fontId="0" fillId="0" borderId="0" xfId="78" applyNumberFormat="1" applyFont="1"/>
    <xf numFmtId="0" fontId="0" fillId="0" borderId="0" xfId="83" applyFont="1" applyAlignment="1">
      <alignment horizontal="center"/>
    </xf>
    <xf numFmtId="0" fontId="0" fillId="0" borderId="0" xfId="83" applyFont="1" applyAlignment="1">
      <alignment horizontal="left"/>
    </xf>
    <xf numFmtId="0" fontId="0" fillId="0" borderId="0" xfId="84" applyFont="1" applyAlignment="1">
      <alignment wrapText="1"/>
    </xf>
    <xf numFmtId="0" fontId="7" fillId="0" borderId="0" xfId="84" applyFont="1" applyAlignment="1">
      <alignment wrapText="1"/>
    </xf>
    <xf numFmtId="43" fontId="7" fillId="0" borderId="0" xfId="1" applyFont="1" applyFill="1" applyBorder="1" applyAlignment="1">
      <alignment horizontal="right" wrapText="1"/>
    </xf>
    <xf numFmtId="166" fontId="0" fillId="0" borderId="0" xfId="83" applyNumberFormat="1" applyFont="1"/>
    <xf numFmtId="166" fontId="7" fillId="0" borderId="0" xfId="1" applyNumberFormat="1" applyFont="1" applyFill="1" applyBorder="1" applyAlignment="1">
      <alignment horizontal="right" wrapText="1"/>
    </xf>
    <xf numFmtId="43" fontId="0" fillId="0" borderId="0" xfId="83" applyNumberFormat="1" applyFont="1"/>
    <xf numFmtId="0" fontId="7" fillId="0" borderId="0" xfId="84" applyFont="1" applyAlignment="1">
      <alignment horizontal="right" wrapText="1"/>
    </xf>
    <xf numFmtId="0" fontId="0" fillId="0" borderId="0" xfId="57" applyFont="1"/>
    <xf numFmtId="166" fontId="7" fillId="0" borderId="0" xfId="1" applyNumberFormat="1" applyFont="1" applyFill="1" applyBorder="1" applyAlignment="1">
      <alignment horizontal="center" wrapText="1"/>
    </xf>
    <xf numFmtId="166" fontId="7" fillId="0" borderId="0" xfId="24" applyNumberFormat="1" applyFont="1"/>
    <xf numFmtId="10" fontId="0" fillId="0" borderId="0" xfId="3" applyNumberFormat="1" applyFont="1" applyBorder="1"/>
    <xf numFmtId="41" fontId="7" fillId="0" borderId="0" xfId="24" applyNumberFormat="1" applyFont="1"/>
    <xf numFmtId="172" fontId="0" fillId="0" borderId="0" xfId="0" applyNumberFormat="1" applyFont="1"/>
    <xf numFmtId="2" fontId="0" fillId="0" borderId="0" xfId="0" applyNumberFormat="1" applyFont="1"/>
    <xf numFmtId="171" fontId="0" fillId="0" borderId="0" xfId="0" applyNumberFormat="1" applyFont="1"/>
    <xf numFmtId="0" fontId="0" fillId="0" borderId="0" xfId="72" applyFont="1"/>
    <xf numFmtId="171" fontId="7" fillId="0" borderId="0" xfId="1" applyNumberFormat="1" applyFont="1" applyFill="1"/>
    <xf numFmtId="49" fontId="0" fillId="0" borderId="1" xfId="44" applyNumberFormat="1" applyFont="1" applyBorder="1" applyAlignment="1">
      <alignment horizontal="left" wrapText="1"/>
    </xf>
    <xf numFmtId="49" fontId="0" fillId="0" borderId="1" xfId="44" applyNumberFormat="1" applyFont="1" applyBorder="1"/>
    <xf numFmtId="49" fontId="0" fillId="0" borderId="0" xfId="44" applyNumberFormat="1" applyFont="1" applyAlignment="1">
      <alignment horizontal="left" wrapText="1"/>
    </xf>
    <xf numFmtId="164" fontId="0" fillId="0" borderId="0" xfId="2" applyNumberFormat="1" applyFont="1" applyBorder="1"/>
    <xf numFmtId="164" fontId="20" fillId="0" borderId="0" xfId="2" applyNumberFormat="1" applyFont="1" applyFill="1" applyBorder="1"/>
    <xf numFmtId="169" fontId="0" fillId="0" borderId="0" xfId="1" applyNumberFormat="1" applyFont="1" applyFill="1" applyBorder="1"/>
    <xf numFmtId="169" fontId="0" fillId="0" borderId="0" xfId="1" applyNumberFormat="1" applyFont="1" applyBorder="1"/>
    <xf numFmtId="168" fontId="0" fillId="0" borderId="1" xfId="1" applyNumberFormat="1" applyFont="1" applyBorder="1" applyAlignment="1">
      <alignment horizontal="right"/>
    </xf>
    <xf numFmtId="169" fontId="7" fillId="0" borderId="0" xfId="1" applyNumberFormat="1" applyFont="1"/>
    <xf numFmtId="170" fontId="0" fillId="0" borderId="0" xfId="1" applyNumberFormat="1" applyFont="1"/>
    <xf numFmtId="169" fontId="7" fillId="0" borderId="0" xfId="1" applyNumberFormat="1" applyFont="1" applyFill="1"/>
    <xf numFmtId="168" fontId="0" fillId="0" borderId="0" xfId="44" applyNumberFormat="1" applyFont="1"/>
    <xf numFmtId="170" fontId="0" fillId="0" borderId="0" xfId="1" applyNumberFormat="1" applyFont="1" applyFill="1"/>
    <xf numFmtId="168" fontId="0" fillId="0" borderId="0" xfId="1" applyNumberFormat="1" applyFont="1" applyFill="1"/>
    <xf numFmtId="169" fontId="0" fillId="0" borderId="0" xfId="1" applyNumberFormat="1" applyFont="1" applyFill="1"/>
    <xf numFmtId="0" fontId="0" fillId="0" borderId="1" xfId="44" applyFont="1" applyBorder="1" applyAlignment="1">
      <alignment horizontal="right"/>
    </xf>
    <xf numFmtId="166" fontId="0" fillId="0" borderId="0" xfId="44" applyNumberFormat="1" applyFont="1"/>
    <xf numFmtId="10" fontId="0" fillId="0" borderId="0" xfId="3" applyNumberFormat="1" applyFont="1" applyFill="1"/>
    <xf numFmtId="164" fontId="0" fillId="0" borderId="0" xfId="2" quotePrefix="1" applyNumberFormat="1" applyFont="1"/>
    <xf numFmtId="168" fontId="0" fillId="0" borderId="0" xfId="1" quotePrefix="1" applyNumberFormat="1" applyFont="1"/>
    <xf numFmtId="165" fontId="0" fillId="0" borderId="0" xfId="3" quotePrefix="1" applyNumberFormat="1" applyFont="1"/>
    <xf numFmtId="0" fontId="0" fillId="0" borderId="1" xfId="69" applyFont="1" applyBorder="1" applyAlignment="1">
      <alignment horizontal="left"/>
    </xf>
    <xf numFmtId="0" fontId="6" fillId="0" borderId="0" xfId="24" applyFont="1" applyAlignment="1">
      <alignment horizontal="left"/>
    </xf>
    <xf numFmtId="0" fontId="6" fillId="0" borderId="0" xfId="24" applyFont="1"/>
    <xf numFmtId="0" fontId="6" fillId="0" borderId="0" xfId="52" applyFont="1"/>
    <xf numFmtId="49" fontId="7" fillId="0" borderId="1" xfId="79" applyNumberFormat="1" applyFont="1" applyBorder="1" applyAlignment="1">
      <alignment horizontal="left"/>
    </xf>
    <xf numFmtId="0" fontId="7" fillId="0" borderId="0" xfId="79" applyFont="1" applyAlignment="1">
      <alignment horizontal="left"/>
    </xf>
    <xf numFmtId="0" fontId="0" fillId="0" borderId="1" xfId="44" applyFont="1" applyBorder="1" applyAlignment="1">
      <alignment horizontal="left" vertical="center" wrapText="1"/>
    </xf>
    <xf numFmtId="1" fontId="0" fillId="0" borderId="0" xfId="0" applyNumberFormat="1" applyFont="1" applyAlignment="1">
      <alignment horizontal="center"/>
    </xf>
    <xf numFmtId="0" fontId="0" fillId="0" borderId="0" xfId="0" quotePrefix="1" applyFont="1" applyAlignment="1">
      <alignment horizontal="center"/>
    </xf>
  </cellXfs>
  <cellStyles count="88">
    <cellStyle name="Comma" xfId="1" builtinId="3"/>
    <cellStyle name="Comma 10" xfId="87" xr:uid="{CF63444E-3EF7-4FA8-AB57-6AD973929FC9}"/>
    <cellStyle name="Comma 2" xfId="4" xr:uid="{00000000-0005-0000-0000-000001000000}"/>
    <cellStyle name="Comma 2 2" xfId="53" xr:uid="{00000000-0005-0000-0000-000002000000}"/>
    <cellStyle name="Comma 2 3" xfId="74" xr:uid="{00000000-0005-0000-0000-000003000000}"/>
    <cellStyle name="Comma 3" xfId="5" xr:uid="{00000000-0005-0000-0000-000004000000}"/>
    <cellStyle name="Comma 3 2" xfId="58" xr:uid="{00000000-0005-0000-0000-000005000000}"/>
    <cellStyle name="Comma 3 3" xfId="80" xr:uid="{00000000-0005-0000-0000-000006000000}"/>
    <cellStyle name="Comma 4" xfId="6" xr:uid="{00000000-0005-0000-0000-000007000000}"/>
    <cellStyle name="Comma 5" xfId="7" xr:uid="{00000000-0005-0000-0000-000008000000}"/>
    <cellStyle name="Comma 5 2" xfId="61" xr:uid="{00000000-0005-0000-0000-000009000000}"/>
    <cellStyle name="Comma 6" xfId="8" xr:uid="{00000000-0005-0000-0000-00000A000000}"/>
    <cellStyle name="Comma 6 2" xfId="59" xr:uid="{00000000-0005-0000-0000-00000B000000}"/>
    <cellStyle name="Comma 7" xfId="9" xr:uid="{00000000-0005-0000-0000-00000C000000}"/>
    <cellStyle name="Comma 7 2" xfId="10" xr:uid="{00000000-0005-0000-0000-00000D000000}"/>
    <cellStyle name="Comma 7 2 2" xfId="11" xr:uid="{00000000-0005-0000-0000-00000E000000}"/>
    <cellStyle name="Comma 7 2 2 2" xfId="49" xr:uid="{00000000-0005-0000-0000-00000F000000}"/>
    <cellStyle name="Comma 8" xfId="66" xr:uid="{00000000-0005-0000-0000-000010000000}"/>
    <cellStyle name="Comma 9" xfId="67" xr:uid="{00000000-0005-0000-0000-000011000000}"/>
    <cellStyle name="Currency" xfId="2" builtinId="4"/>
    <cellStyle name="Currency 2" xfId="12" xr:uid="{00000000-0005-0000-0000-000013000000}"/>
    <cellStyle name="Currency 2 2" xfId="76" xr:uid="{00000000-0005-0000-0000-000014000000}"/>
    <cellStyle name="Currency 3" xfId="13" xr:uid="{00000000-0005-0000-0000-000015000000}"/>
    <cellStyle name="Currency 3 2" xfId="47" xr:uid="{00000000-0005-0000-0000-000016000000}"/>
    <cellStyle name="Currency 3 3" xfId="56" xr:uid="{00000000-0005-0000-0000-000017000000}"/>
    <cellStyle name="Currency 4" xfId="14" xr:uid="{00000000-0005-0000-0000-000018000000}"/>
    <cellStyle name="Currency 5" xfId="15" xr:uid="{00000000-0005-0000-0000-000019000000}"/>
    <cellStyle name="Currency 6" xfId="16" xr:uid="{00000000-0005-0000-0000-00001A000000}"/>
    <cellStyle name="Currency 6 2" xfId="60" xr:uid="{00000000-0005-0000-0000-00001B000000}"/>
    <cellStyle name="Currency 7" xfId="68" xr:uid="{00000000-0005-0000-0000-00001C000000}"/>
    <cellStyle name="Currency 7 2" xfId="78" xr:uid="{00000000-0005-0000-0000-00001D000000}"/>
    <cellStyle name="Currency 8" xfId="86" xr:uid="{8A199FCA-F224-42FC-BDD2-1D39704B99DB}"/>
    <cellStyle name="Normal" xfId="0" builtinId="0"/>
    <cellStyle name="Normal 10" xfId="17" xr:uid="{00000000-0005-0000-0000-00001F000000}"/>
    <cellStyle name="Normal 10 2" xfId="18" xr:uid="{00000000-0005-0000-0000-000020000000}"/>
    <cellStyle name="Normal 10 2 2" xfId="19" xr:uid="{00000000-0005-0000-0000-000021000000}"/>
    <cellStyle name="Normal 10 2 2 2" xfId="48" xr:uid="{00000000-0005-0000-0000-000022000000}"/>
    <cellStyle name="Normal 11" xfId="20" xr:uid="{00000000-0005-0000-0000-000023000000}"/>
    <cellStyle name="Normal 11 2" xfId="64" xr:uid="{00000000-0005-0000-0000-000024000000}"/>
    <cellStyle name="Normal 12" xfId="21" xr:uid="{00000000-0005-0000-0000-000025000000}"/>
    <cellStyle name="Normal 13" xfId="44" xr:uid="{00000000-0005-0000-0000-000026000000}"/>
    <cellStyle name="Normal 13 2" xfId="73" xr:uid="{00000000-0005-0000-0000-000027000000}"/>
    <cellStyle name="Normal 14" xfId="46" xr:uid="{00000000-0005-0000-0000-000028000000}"/>
    <cellStyle name="Normal 14 2" xfId="82" xr:uid="{00000000-0005-0000-0000-000029000000}"/>
    <cellStyle name="Normal 15" xfId="83" xr:uid="{00000000-0005-0000-0000-00002A000000}"/>
    <cellStyle name="Normal 16" xfId="85" xr:uid="{DD38720B-A75B-4635-89E7-6074650F5728}"/>
    <cellStyle name="Normal 2" xfId="22" xr:uid="{00000000-0005-0000-0000-00002B000000}"/>
    <cellStyle name="Normal 2 2" xfId="23" xr:uid="{00000000-0005-0000-0000-00002C000000}"/>
    <cellStyle name="Normal 2 3" xfId="69" xr:uid="{00000000-0005-0000-0000-00002D000000}"/>
    <cellStyle name="Normal 2 4" xfId="75" xr:uid="{00000000-0005-0000-0000-00002E000000}"/>
    <cellStyle name="Normal 3" xfId="24" xr:uid="{00000000-0005-0000-0000-00002F000000}"/>
    <cellStyle name="Normal 4" xfId="25" xr:uid="{00000000-0005-0000-0000-000030000000}"/>
    <cellStyle name="Normal 4 2" xfId="26" xr:uid="{00000000-0005-0000-0000-000031000000}"/>
    <cellStyle name="Normal 4 2 2" xfId="27" xr:uid="{00000000-0005-0000-0000-000032000000}"/>
    <cellStyle name="Normal 4 2 2 2" xfId="28" xr:uid="{00000000-0005-0000-0000-000033000000}"/>
    <cellStyle name="Normal 4 2 2 2 2" xfId="50" xr:uid="{00000000-0005-0000-0000-000034000000}"/>
    <cellStyle name="Normal 4 3" xfId="45" xr:uid="{00000000-0005-0000-0000-000035000000}"/>
    <cellStyle name="Normal 4 4" xfId="52" xr:uid="{00000000-0005-0000-0000-000036000000}"/>
    <cellStyle name="Normal 4 4 2" xfId="72" xr:uid="{00000000-0005-0000-0000-000037000000}"/>
    <cellStyle name="Normal 5" xfId="29" xr:uid="{00000000-0005-0000-0000-000038000000}"/>
    <cellStyle name="Normal 6" xfId="30" xr:uid="{00000000-0005-0000-0000-000039000000}"/>
    <cellStyle name="Normal 6 2" xfId="54" xr:uid="{00000000-0005-0000-0000-00003A000000}"/>
    <cellStyle name="Normal 6 3" xfId="79" xr:uid="{00000000-0005-0000-0000-00003B000000}"/>
    <cellStyle name="Normal 7" xfId="31" xr:uid="{00000000-0005-0000-0000-00003C000000}"/>
    <cellStyle name="Normal 7 2" xfId="63" xr:uid="{00000000-0005-0000-0000-00003D000000}"/>
    <cellStyle name="Normal 8" xfId="32" xr:uid="{00000000-0005-0000-0000-00003E000000}"/>
    <cellStyle name="Normal 8 2" xfId="62" xr:uid="{00000000-0005-0000-0000-00003F000000}"/>
    <cellStyle name="Normal 9" xfId="33" xr:uid="{00000000-0005-0000-0000-000040000000}"/>
    <cellStyle name="Normal 9 2" xfId="55" xr:uid="{00000000-0005-0000-0000-000041000000}"/>
    <cellStyle name="Normal 9 2 2" xfId="81" xr:uid="{00000000-0005-0000-0000-000042000000}"/>
    <cellStyle name="Normal_2011" xfId="57" xr:uid="{00000000-0005-0000-0000-000043000000}"/>
    <cellStyle name="Normal_2013" xfId="84" xr:uid="{00000000-0005-0000-0000-000044000000}"/>
    <cellStyle name="Percent" xfId="3" builtinId="5"/>
    <cellStyle name="Percent 10" xfId="70" xr:uid="{00000000-0005-0000-0000-000046000000}"/>
    <cellStyle name="Percent 10 2" xfId="77" xr:uid="{00000000-0005-0000-0000-000047000000}"/>
    <cellStyle name="Percent 11" xfId="71" xr:uid="{00000000-0005-0000-0000-000048000000}"/>
    <cellStyle name="Percent 2" xfId="34" xr:uid="{00000000-0005-0000-0000-000049000000}"/>
    <cellStyle name="Percent 3" xfId="35" xr:uid="{00000000-0005-0000-0000-00004A000000}"/>
    <cellStyle name="Percent 4" xfId="36" xr:uid="{00000000-0005-0000-0000-00004B000000}"/>
    <cellStyle name="Percent 5" xfId="37" xr:uid="{00000000-0005-0000-0000-00004C000000}"/>
    <cellStyle name="Percent 6" xfId="38" xr:uid="{00000000-0005-0000-0000-00004D000000}"/>
    <cellStyle name="Percent 7" xfId="39" xr:uid="{00000000-0005-0000-0000-00004E000000}"/>
    <cellStyle name="Percent 7 2" xfId="40" xr:uid="{00000000-0005-0000-0000-00004F000000}"/>
    <cellStyle name="Percent 7 2 2" xfId="41" xr:uid="{00000000-0005-0000-0000-000050000000}"/>
    <cellStyle name="Percent 7 2 2 2" xfId="51" xr:uid="{00000000-0005-0000-0000-000051000000}"/>
    <cellStyle name="Percent 8" xfId="42" xr:uid="{00000000-0005-0000-0000-000052000000}"/>
    <cellStyle name="Percent 8 2" xfId="65" xr:uid="{00000000-0005-0000-0000-000053000000}"/>
    <cellStyle name="Percent 9" xfId="43" xr:uid="{00000000-0005-0000-0000-000054000000}"/>
  </cellStyles>
  <dxfs count="1">
    <dxf>
      <font>
        <b/>
        <i val="0"/>
        <color rgb="FF7030A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393"/>
      <color rgb="FFFF6565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Users_Corp_L-Z\T32061\PGA\PGA11_12\Feb\Iowa%20filing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Regulated%20Pricing/SD%20Gas%20Rate%20Case-2022/Cost%20of%20Service%20and%20Rate%20Comparisons/Final%20Workpapers%20with%20Notes/Final%20Cost%20of%20Service%20Model%20-%20South%20Dakota%20Gas_V5_%20w%20Business%20Transformation%204.28.22%20w%20Notes.xlsx?9A346C44" TargetMode="External"/><Relationship Id="rId1" Type="http://schemas.openxmlformats.org/officeDocument/2006/relationships/externalLinkPath" Target="file:///\\9A346C44\Final%20Cost%20of%20Service%20Model%20-%20South%20Dakota%20Gas_V5_%20w%20Business%20Transformation%204.28.22%20w%20No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SD%20Electric%20Rate%20Case-2014\COSS\COS%20Model\Cost%20of%20Service%20Model%20-%20South%20Dakota%20Electric.v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Regulated%20Pricing\Rate%20Case%20History\SD%20Gas%20Rate%20Case-2014\COSS\ORIGINAL%20FILING%20COSS%20versions\MetersizeReport%20for%20SD%20g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Regulated%20Pricing\COSS%20IA%20Elec%202011\CBR-Final%20for%202011\Inputs\Sales%20Rev%20Cust\CURST401D%20Revenue%20Balancing_201101_201112%20-%20EE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LPGA"/>
      <sheetName val="CONSLDMD"/>
      <sheetName val="Rider 1"/>
      <sheetName val="PGACRED"/>
      <sheetName val="PGAREDUC"/>
      <sheetName val="IGSPP"/>
      <sheetName val="CONSLCOM"/>
      <sheetName val="RBFACTOR - IOWA"/>
      <sheetName val="Rb Monthly"/>
      <sheetName val="Stg Factor"/>
      <sheetName val="LIFO Detail"/>
      <sheetName val="2012 Storage Gas"/>
      <sheetName val="Capacity Reser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-1 (Results)"/>
      <sheetName val="FUN-2 (Test Year)"/>
      <sheetName val="FUN-3 (Functional COS)"/>
      <sheetName val="FUN-4 (Functional Allocators)"/>
      <sheetName val="FUN-5 (Payroll)"/>
      <sheetName val="CLS1-1 (Class COS)"/>
      <sheetName val="SRC-1 (S.D. Sales)"/>
      <sheetName val="SRC-2 (S.D. Revenue)"/>
      <sheetName val="SRC-3 (S.D. Riders)"/>
      <sheetName val="SRC-4 (S.D. Customers)"/>
      <sheetName val="SRC-5 (Monthly Sales)"/>
      <sheetName val="ALO-1 (Design Day Peak)"/>
      <sheetName val="RD-1 (SV)"/>
      <sheetName val="RD-2 (MV)"/>
      <sheetName val="RD-3 (LV)"/>
      <sheetName val="RD-4 (MTR)"/>
      <sheetName val="RD-5 (INTRVL METER) "/>
      <sheetName val="RD-6 (NF RATE SCHEDULE)"/>
      <sheetName val="Billing Determinants"/>
      <sheetName val="Rate Summar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-1 (Results)"/>
      <sheetName val="FUN-2 (Test Year)"/>
      <sheetName val="FUN-3 (Other Revenue)"/>
      <sheetName val="FUN-4 (Functional COS)"/>
      <sheetName val="FUN-5 (Functional Allocators)"/>
      <sheetName val="FUN-6 (Payroll)"/>
      <sheetName val="FUN-7 (General &amp; Intangible)"/>
      <sheetName val="CLS1-1 (Model Summary)"/>
      <sheetName val="CLS1-2 (Class COS)"/>
      <sheetName val="CLS1-3 (Lighting COS)"/>
      <sheetName val="SRC-1 (Sales &amp; Revenue)"/>
      <sheetName val="SRC-2 (S.D. Sales)"/>
      <sheetName val="SRC-3 (S.D. Revenue)"/>
      <sheetName val="SRC-4 (S.D. Riders)"/>
      <sheetName val="SRC-5 (S.D. Customers)"/>
      <sheetName val="SRC-6 (Monthly Sales)"/>
      <sheetName val="SRC-7 (Lookup)"/>
      <sheetName val="ALO-1 (Class Load Data)"/>
      <sheetName val="ALO-2 (Class Allocators)"/>
      <sheetName val="ALO-3 (HCM Costs)"/>
      <sheetName val="ALO-4 (TOU Table)"/>
      <sheetName val="ALO-5 (Probability of Peak)"/>
      <sheetName val="BD-1 (RS)"/>
      <sheetName val="BD-2 (GE)"/>
      <sheetName val="BD-3 (GD)"/>
      <sheetName val="BD-4 (LS)"/>
      <sheetName val="BD-5 (TC)"/>
      <sheetName val="BD-6 (MWP)"/>
      <sheetName val="BD-7 (LIT)"/>
      <sheetName val="RD1-1 (RS)"/>
      <sheetName val="RD1-2 (GE)"/>
      <sheetName val="RD1-3 (GD)"/>
      <sheetName val="RD1-4 (LS)"/>
      <sheetName val="RD1-5 (TC)"/>
      <sheetName val="RD1-6 (MWP)"/>
      <sheetName val="RD1-7 (LIT)"/>
      <sheetName val="RD1-8 (ICR)"/>
      <sheetName val="RD1-9 (RS)"/>
      <sheetName val="RD1-10 (GE)"/>
      <sheetName val="RD1-11 (GD)"/>
      <sheetName val="RD1-12 (LS)"/>
      <sheetName val="RD1-13 (TC)"/>
      <sheetName val="RD1-14 (MWP)"/>
      <sheetName val="RD1-15 (LI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Dollars-orig"/>
      <sheetName val="Adjusted Revenue-orig"/>
      <sheetName val="Revenue Dollars-IA elec"/>
      <sheetName val="Adjusted Revenue-IA elec"/>
      <sheetName val="Rev+Adj-IA elec"/>
      <sheetName val="Rev+Adj-IA elec total"/>
      <sheetName val="Macro1"/>
      <sheetName val="IA elec total by Zone and Class"/>
      <sheetName val="LU"/>
      <sheetName val="SSAB EE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9"/>
  <sheetViews>
    <sheetView tabSelected="1" view="pageLayout" zoomScale="70" zoomScaleNormal="70" zoomScalePageLayoutView="70" workbookViewId="0">
      <selection activeCell="A5" sqref="A5"/>
    </sheetView>
  </sheetViews>
  <sheetFormatPr defaultRowHeight="12.75" x14ac:dyDescent="0.2"/>
  <cols>
    <col min="1" max="1" width="7.28515625" style="145" customWidth="1"/>
    <col min="2" max="2" width="6.7109375" style="145" customWidth="1"/>
    <col min="3" max="3" width="6.140625" style="145" customWidth="1"/>
    <col min="4" max="4" width="24.5703125" style="145" customWidth="1"/>
    <col min="5" max="6" width="15.85546875" style="145" customWidth="1"/>
    <col min="7" max="7" width="20.5703125" style="145" customWidth="1"/>
    <col min="8" max="15" width="15.85546875" style="145" customWidth="1"/>
    <col min="16" max="16" width="16.85546875" style="145" customWidth="1"/>
    <col min="17" max="17" width="14.42578125" style="145" bestFit="1" customWidth="1"/>
    <col min="18" max="18" width="3.28515625" style="145" customWidth="1"/>
    <col min="19" max="16384" width="9.140625" style="145"/>
  </cols>
  <sheetData>
    <row r="1" spans="1:24" ht="18" x14ac:dyDescent="0.25">
      <c r="A1" s="106" t="s">
        <v>0</v>
      </c>
    </row>
    <row r="2" spans="1:24" x14ac:dyDescent="0.2">
      <c r="E2" s="146" t="s">
        <v>1</v>
      </c>
      <c r="F2" s="146"/>
      <c r="G2" s="146"/>
      <c r="H2" s="146"/>
      <c r="I2" s="146"/>
      <c r="J2" s="146"/>
      <c r="K2" s="146"/>
      <c r="L2" s="146"/>
      <c r="M2" s="146"/>
      <c r="N2" s="88" t="s">
        <v>2</v>
      </c>
      <c r="O2" s="88" t="s">
        <v>3</v>
      </c>
      <c r="P2" s="146"/>
      <c r="Q2" s="146"/>
      <c r="R2" s="146"/>
    </row>
    <row r="3" spans="1:24" x14ac:dyDescent="0.2">
      <c r="A3" s="145" t="s">
        <v>10</v>
      </c>
      <c r="E3" s="146" t="s">
        <v>4</v>
      </c>
      <c r="F3" s="146"/>
      <c r="G3" s="146" t="s">
        <v>5</v>
      </c>
      <c r="H3" s="146" t="s">
        <v>5</v>
      </c>
      <c r="I3" s="146"/>
      <c r="J3" s="146"/>
      <c r="K3" s="146"/>
      <c r="L3" s="146" t="s">
        <v>6</v>
      </c>
      <c r="M3" s="146" t="s">
        <v>7</v>
      </c>
      <c r="N3" s="146" t="s">
        <v>8</v>
      </c>
      <c r="O3" s="146" t="s">
        <v>8</v>
      </c>
      <c r="P3" s="146" t="s">
        <v>9</v>
      </c>
      <c r="Q3" s="146"/>
      <c r="R3" s="146"/>
    </row>
    <row r="4" spans="1:24" x14ac:dyDescent="0.2">
      <c r="A4" s="147" t="s">
        <v>1098</v>
      </c>
      <c r="B4" s="147" t="s">
        <v>11</v>
      </c>
      <c r="C4" s="147"/>
      <c r="D4" s="147"/>
      <c r="E4" s="148" t="s">
        <v>12</v>
      </c>
      <c r="F4" s="148" t="s">
        <v>13</v>
      </c>
      <c r="G4" s="148" t="s">
        <v>14</v>
      </c>
      <c r="H4" s="148" t="s">
        <v>15</v>
      </c>
      <c r="I4" s="148" t="s">
        <v>16</v>
      </c>
      <c r="J4" s="148" t="s">
        <v>17</v>
      </c>
      <c r="K4" s="148" t="s">
        <v>18</v>
      </c>
      <c r="L4" s="148" t="s">
        <v>17</v>
      </c>
      <c r="M4" s="148" t="s">
        <v>19</v>
      </c>
      <c r="N4" s="148" t="s">
        <v>20</v>
      </c>
      <c r="O4" s="148" t="s">
        <v>20</v>
      </c>
      <c r="P4" s="148" t="s">
        <v>21</v>
      </c>
      <c r="Q4" s="148" t="s">
        <v>22</v>
      </c>
      <c r="R4" s="148"/>
      <c r="S4" s="149" t="s">
        <v>23</v>
      </c>
      <c r="T4" s="147"/>
      <c r="U4" s="147"/>
      <c r="V4" s="147"/>
      <c r="W4" s="147"/>
      <c r="X4" s="147"/>
    </row>
    <row r="5" spans="1:24" x14ac:dyDescent="0.2">
      <c r="B5" s="150" t="s">
        <v>24</v>
      </c>
      <c r="C5" s="150"/>
      <c r="D5" s="150"/>
      <c r="E5" s="150" t="s">
        <v>25</v>
      </c>
      <c r="F5" s="150" t="s">
        <v>26</v>
      </c>
      <c r="G5" s="150" t="s">
        <v>27</v>
      </c>
      <c r="H5" s="150" t="s">
        <v>28</v>
      </c>
      <c r="I5" s="150" t="s">
        <v>29</v>
      </c>
      <c r="J5" s="150" t="s">
        <v>30</v>
      </c>
      <c r="K5" s="150" t="s">
        <v>31</v>
      </c>
      <c r="L5" s="150" t="s">
        <v>32</v>
      </c>
      <c r="M5" s="150" t="s">
        <v>33</v>
      </c>
      <c r="N5" s="150" t="s">
        <v>34</v>
      </c>
      <c r="O5" s="150" t="s">
        <v>35</v>
      </c>
      <c r="P5" s="150" t="s">
        <v>36</v>
      </c>
      <c r="Q5" s="150" t="s">
        <v>37</v>
      </c>
      <c r="R5" s="150"/>
      <c r="S5" s="150" t="s">
        <v>38</v>
      </c>
    </row>
    <row r="6" spans="1:24" x14ac:dyDescent="0.2">
      <c r="E6" s="2"/>
    </row>
    <row r="7" spans="1:24" x14ac:dyDescent="0.2">
      <c r="A7" s="151">
        <v>1</v>
      </c>
      <c r="B7" s="145" t="s">
        <v>39</v>
      </c>
      <c r="E7" s="74">
        <f>'FUN-3 (Functional COS)'!H226</f>
        <v>49373225.030000001</v>
      </c>
      <c r="F7" s="2">
        <f>'FUN-3 (Functional COS)'!I226</f>
        <v>955508.4686087874</v>
      </c>
      <c r="G7" s="2">
        <f>'FUN-3 (Functional COS)'!J226</f>
        <v>3399158.2422374371</v>
      </c>
      <c r="H7" s="2">
        <f>'FUN-3 (Functional COS)'!K226</f>
        <v>8124308.8777647391</v>
      </c>
      <c r="I7" s="2">
        <f>'FUN-3 (Functional COS)'!L226</f>
        <v>8532924.48286945</v>
      </c>
      <c r="J7" s="2">
        <f>'FUN-3 (Functional COS)'!M226</f>
        <v>3357994.6832100614</v>
      </c>
      <c r="K7" s="2">
        <f>'FUN-3 (Functional COS)'!N226</f>
        <v>416008.96835822513</v>
      </c>
      <c r="L7" s="2">
        <f>'FUN-3 (Functional COS)'!O226</f>
        <v>21996.974610936719</v>
      </c>
      <c r="M7" s="2">
        <f>'FUN-3 (Functional COS)'!P226</f>
        <v>4922694.5822542077</v>
      </c>
      <c r="N7" s="2">
        <f>'FUN-3 (Functional COS)'!Q226</f>
        <v>108685.50646150867</v>
      </c>
      <c r="O7" s="2">
        <f>'FUN-3 (Functional COS)'!R226</f>
        <v>110933.85240451709</v>
      </c>
      <c r="P7" s="2">
        <f>'FUN-3 (Functional COS)'!S226</f>
        <v>19423010.110248577</v>
      </c>
      <c r="Q7" s="2">
        <f>E7-SUM(F7:P7)</f>
        <v>0.28097155690193176</v>
      </c>
      <c r="R7" s="2"/>
      <c r="S7" s="145" t="s">
        <v>40</v>
      </c>
    </row>
    <row r="8" spans="1:24" x14ac:dyDescent="0.2">
      <c r="A8" s="151"/>
      <c r="E8" s="152"/>
    </row>
    <row r="9" spans="1:24" x14ac:dyDescent="0.2">
      <c r="A9" s="151"/>
      <c r="B9" s="145" t="s">
        <v>41</v>
      </c>
      <c r="E9" s="2"/>
    </row>
    <row r="10" spans="1:24" x14ac:dyDescent="0.2">
      <c r="A10" s="151">
        <f>+A7+1</f>
        <v>2</v>
      </c>
      <c r="C10" s="145" t="s">
        <v>42</v>
      </c>
      <c r="E10" s="2">
        <f>'FUN-3 (Functional COS)'!H188</f>
        <v>32827854.489999983</v>
      </c>
      <c r="F10" s="2">
        <f>'FUN-3 (Functional COS)'!I188</f>
        <v>493125.90051269165</v>
      </c>
      <c r="G10" s="74">
        <f>'FUN-3 (Functional COS)'!J188</f>
        <v>1110714.2995003008</v>
      </c>
      <c r="H10" s="74">
        <f>'FUN-3 (Functional COS)'!K188</f>
        <v>2654711.9613209846</v>
      </c>
      <c r="I10" s="74">
        <f>'FUN-3 (Functional COS)'!L188</f>
        <v>3338999.5993526713</v>
      </c>
      <c r="J10" s="74">
        <f>'FUN-3 (Functional COS)'!M188</f>
        <v>1283961.9471248083</v>
      </c>
      <c r="K10" s="74">
        <f>'FUN-3 (Functional COS)'!N188</f>
        <v>102819.10850066064</v>
      </c>
      <c r="L10" s="74">
        <f>'FUN-3 (Functional COS)'!O188</f>
        <v>3396.0690385788125</v>
      </c>
      <c r="M10" s="2">
        <f>'FUN-3 (Functional COS)'!P188</f>
        <v>4235686.7192257009</v>
      </c>
      <c r="N10" s="2">
        <f>'FUN-3 (Functional COS)'!Q188</f>
        <v>93048.075400990492</v>
      </c>
      <c r="O10" s="2">
        <f>'FUN-3 (Functional COS)'!R188</f>
        <v>94972.934286445001</v>
      </c>
      <c r="P10" s="2">
        <f>'FUN-3 (Functional COS)'!S188</f>
        <v>19416417.875736155</v>
      </c>
      <c r="Q10" s="2">
        <f>E10-SUM(F10:P10)</f>
        <v>0</v>
      </c>
      <c r="R10" s="2"/>
      <c r="S10" s="145" t="s">
        <v>43</v>
      </c>
    </row>
    <row r="11" spans="1:24" x14ac:dyDescent="0.2">
      <c r="A11" s="151">
        <f>+A10+1</f>
        <v>3</v>
      </c>
      <c r="C11" s="145" t="s">
        <v>44</v>
      </c>
      <c r="E11" s="2">
        <f>'FUN-3 (Functional COS)'!H253</f>
        <v>626173.45310818311</v>
      </c>
      <c r="F11" s="2">
        <f>'FUN-3 (Functional COS)'!I253</f>
        <v>24696.688881335336</v>
      </c>
      <c r="G11" s="2">
        <f>'FUN-3 (Functional COS)'!J253</f>
        <v>89312.488024533668</v>
      </c>
      <c r="H11" s="2">
        <f>'FUN-3 (Functional COS)'!K253</f>
        <v>213465.27217731418</v>
      </c>
      <c r="I11" s="2">
        <f>'FUN-3 (Functional COS)'!L253</f>
        <v>199414.56794649296</v>
      </c>
      <c r="J11" s="2">
        <f>'FUN-3 (Functional COS)'!M253</f>
        <v>81162.333247761708</v>
      </c>
      <c r="K11" s="2">
        <f>'FUN-3 (Functional COS)'!N253</f>
        <v>12670.981154366506</v>
      </c>
      <c r="L11" s="2">
        <f>'FUN-3 (Functional COS)'!O253</f>
        <v>772.96512527375512</v>
      </c>
      <c r="M11" s="2">
        <f>'FUN-3 (Functional COS)'!P253</f>
        <v>12361.337019904644</v>
      </c>
      <c r="N11" s="2">
        <f>'FUN-3 (Functional COS)'!Q253</f>
        <v>450.4748596974332</v>
      </c>
      <c r="O11" s="2">
        <f>'FUN-3 (Functional COS)'!R253</f>
        <v>459.79370409723208</v>
      </c>
      <c r="P11" s="2">
        <f>'FUN-3 (Functional COS)'!S253</f>
        <v>-8593.7300041564595</v>
      </c>
      <c r="Q11" s="2">
        <f>ROUND(E11-SUM(F11:P11),5)</f>
        <v>0.28097</v>
      </c>
      <c r="R11" s="2"/>
      <c r="S11" s="145" t="s">
        <v>45</v>
      </c>
    </row>
    <row r="12" spans="1:24" x14ac:dyDescent="0.2">
      <c r="A12" s="149">
        <f>+A11+1</f>
        <v>4</v>
      </c>
      <c r="B12" s="147"/>
      <c r="C12" s="147" t="s">
        <v>46</v>
      </c>
      <c r="D12" s="147"/>
      <c r="E12" s="36">
        <f>'FUN-3 (Functional COS)'!H208</f>
        <v>9866607.9036159776</v>
      </c>
      <c r="F12" s="36">
        <f>'FUN-3 (Functional COS)'!I208</f>
        <v>274086.00707948435</v>
      </c>
      <c r="G12" s="36">
        <f>'FUN-3 (Functional COS)'!J208</f>
        <v>1337589.8293375061</v>
      </c>
      <c r="H12" s="36">
        <f>'FUN-3 (Functional COS)'!K208</f>
        <v>3196965.8812181442</v>
      </c>
      <c r="I12" s="36">
        <f>'FUN-3 (Functional COS)'!L208</f>
        <v>3063551.4875872969</v>
      </c>
      <c r="J12" s="36">
        <f>'FUN-3 (Functional COS)'!M208</f>
        <v>1225510.5557861864</v>
      </c>
      <c r="K12" s="36">
        <f>'FUN-3 (Functional COS)'!N208</f>
        <v>181378.35944826045</v>
      </c>
      <c r="L12" s="36">
        <f>'FUN-3 (Functional COS)'!O208</f>
        <v>10588.339331405554</v>
      </c>
      <c r="M12" s="36">
        <f>'FUN-3 (Functional COS)'!P208</f>
        <v>513722.87058012444</v>
      </c>
      <c r="N12" s="36">
        <f>'FUN-3 (Functional COS)'!Q208</f>
        <v>10589.028482125885</v>
      </c>
      <c r="O12" s="36">
        <f>'FUN-3 (Functional COS)'!R208</f>
        <v>10808.080681478887</v>
      </c>
      <c r="P12" s="36">
        <f>'FUN-3 (Functional COS)'!S208</f>
        <v>41817.464083964827</v>
      </c>
      <c r="Q12" s="36">
        <f>E12-SUM(F12:P12)</f>
        <v>0</v>
      </c>
      <c r="R12" s="36"/>
      <c r="S12" s="147" t="s">
        <v>47</v>
      </c>
      <c r="T12" s="147"/>
      <c r="U12" s="147"/>
      <c r="V12" s="147"/>
      <c r="W12" s="147"/>
      <c r="X12" s="147"/>
    </row>
    <row r="13" spans="1:24" x14ac:dyDescent="0.2">
      <c r="A13" s="151">
        <f>+A12+1</f>
        <v>5</v>
      </c>
      <c r="C13" s="145" t="s">
        <v>48</v>
      </c>
      <c r="E13" s="74">
        <f t="shared" ref="E13:P13" si="0">SUM(E10:E12)</f>
        <v>43320635.846724145</v>
      </c>
      <c r="F13" s="2">
        <f t="shared" si="0"/>
        <v>791908.59647351131</v>
      </c>
      <c r="G13" s="2">
        <f t="shared" si="0"/>
        <v>2537616.6168623408</v>
      </c>
      <c r="H13" s="2">
        <f t="shared" si="0"/>
        <v>6065143.1147164432</v>
      </c>
      <c r="I13" s="2">
        <f t="shared" si="0"/>
        <v>6601965.6548864618</v>
      </c>
      <c r="J13" s="2">
        <f t="shared" si="0"/>
        <v>2590634.8361587562</v>
      </c>
      <c r="K13" s="2">
        <f t="shared" si="0"/>
        <v>296868.4491032876</v>
      </c>
      <c r="L13" s="2">
        <f t="shared" si="0"/>
        <v>14757.373495258122</v>
      </c>
      <c r="M13" s="2">
        <f t="shared" si="0"/>
        <v>4761770.9268257301</v>
      </c>
      <c r="N13" s="2">
        <f t="shared" ref="N13:O13" si="1">SUM(N10:N12)</f>
        <v>104087.57874281381</v>
      </c>
      <c r="O13" s="2">
        <f t="shared" si="1"/>
        <v>106240.80867202111</v>
      </c>
      <c r="P13" s="2">
        <f t="shared" si="0"/>
        <v>19449641.609815963</v>
      </c>
      <c r="Q13" s="2">
        <f>E13-SUM(F13:P13)</f>
        <v>0.28097155690193176</v>
      </c>
      <c r="R13" s="2"/>
      <c r="S13" s="145" t="s">
        <v>49</v>
      </c>
    </row>
    <row r="14" spans="1:24" x14ac:dyDescent="0.2">
      <c r="A14" s="151"/>
      <c r="E14" s="152"/>
    </row>
    <row r="15" spans="1:24" x14ac:dyDescent="0.2">
      <c r="A15" s="151">
        <f>+A13+1</f>
        <v>6</v>
      </c>
      <c r="B15" s="4" t="s">
        <v>50</v>
      </c>
      <c r="C15" s="4"/>
      <c r="D15" s="4"/>
      <c r="E15" s="3">
        <f>E7-E13</f>
        <v>6052589.1832758561</v>
      </c>
      <c r="F15" s="3">
        <f t="shared" ref="F15:P15" si="2">F7-F13</f>
        <v>163599.87213527609</v>
      </c>
      <c r="G15" s="3">
        <f t="shared" si="2"/>
        <v>861541.62537509622</v>
      </c>
      <c r="H15" s="3">
        <f t="shared" si="2"/>
        <v>2059165.7630482959</v>
      </c>
      <c r="I15" s="3">
        <f t="shared" si="2"/>
        <v>1930958.8279829882</v>
      </c>
      <c r="J15" s="3">
        <f t="shared" si="2"/>
        <v>767359.84705130523</v>
      </c>
      <c r="K15" s="3">
        <f t="shared" si="2"/>
        <v>119140.51925493754</v>
      </c>
      <c r="L15" s="3">
        <f t="shared" si="2"/>
        <v>7239.6011156785971</v>
      </c>
      <c r="M15" s="3">
        <f t="shared" si="2"/>
        <v>160923.65542847756</v>
      </c>
      <c r="N15" s="3">
        <f t="shared" ref="N15:O15" si="3">N7-N13</f>
        <v>4597.9277186948602</v>
      </c>
      <c r="O15" s="3">
        <f t="shared" si="3"/>
        <v>4693.0437324959785</v>
      </c>
      <c r="P15" s="3">
        <f t="shared" si="2"/>
        <v>-26631.499567385763</v>
      </c>
      <c r="Q15" s="3">
        <f>E15-SUM(F15:P15)</f>
        <v>0</v>
      </c>
      <c r="R15" s="3"/>
      <c r="S15" s="145" t="s">
        <v>51</v>
      </c>
    </row>
    <row r="16" spans="1:24" x14ac:dyDescent="0.2">
      <c r="A16" s="151"/>
      <c r="E16" s="7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24" x14ac:dyDescent="0.2">
      <c r="A17" s="151">
        <f>+A15+1</f>
        <v>7</v>
      </c>
      <c r="B17" s="145" t="s">
        <v>52</v>
      </c>
      <c r="E17" s="74">
        <f>'FUN-3 (Functional COS)'!H86</f>
        <v>152184860.11532155</v>
      </c>
      <c r="F17" s="2">
        <f>'FUN-3 (Functional COS)'!I86</f>
        <v>4113516.1997425025</v>
      </c>
      <c r="G17" s="2">
        <f>'FUN-3 (Functional COS)'!J86</f>
        <v>21662397.326341067</v>
      </c>
      <c r="H17" s="2">
        <f>'FUN-3 (Functional COS)'!K86</f>
        <v>51775173.254722081</v>
      </c>
      <c r="I17" s="2">
        <f>'FUN-3 (Functional COS)'!L86</f>
        <v>48551568.630664676</v>
      </c>
      <c r="J17" s="2">
        <f>'FUN-3 (Functional COS)'!M86</f>
        <v>19294313.135326974</v>
      </c>
      <c r="K17" s="2">
        <f>'FUN-3 (Functional COS)'!N86</f>
        <v>2995640.8254138529</v>
      </c>
      <c r="L17" s="2">
        <f>'FUN-3 (Functional COS)'!O86</f>
        <v>182030.80528323023</v>
      </c>
      <c r="M17" s="2">
        <f>'FUN-3 (Functional COS)'!P86</f>
        <v>4046226.044599006</v>
      </c>
      <c r="N17" s="2">
        <f>'FUN-3 (Functional COS)'!Q86</f>
        <v>115609.19889018798</v>
      </c>
      <c r="O17" s="2">
        <f>'FUN-3 (Functional COS)'!R86</f>
        <v>118000.77327541902</v>
      </c>
      <c r="P17" s="2">
        <f>'FUN-3 (Functional COS)'!S86</f>
        <v>-669616.07893738779</v>
      </c>
      <c r="Q17" s="2">
        <f>E17-SUM(F17:P17)</f>
        <v>0</v>
      </c>
      <c r="R17" s="2"/>
      <c r="S17" s="145" t="s">
        <v>53</v>
      </c>
    </row>
    <row r="18" spans="1:24" x14ac:dyDescent="0.2">
      <c r="A18" s="151"/>
      <c r="E18" s="15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24" x14ac:dyDescent="0.2">
      <c r="A19" s="151">
        <f>+A17+1</f>
        <v>8</v>
      </c>
      <c r="B19" s="4" t="s">
        <v>54</v>
      </c>
      <c r="C19" s="4"/>
      <c r="D19" s="4"/>
      <c r="E19" s="91">
        <f t="shared" ref="E19:M19" si="4">E15/E17</f>
        <v>3.9771296426526062E-2</v>
      </c>
      <c r="F19" s="7">
        <f t="shared" si="4"/>
        <v>3.9771296426526069E-2</v>
      </c>
      <c r="G19" s="7">
        <f t="shared" si="4"/>
        <v>3.9771296426526062E-2</v>
      </c>
      <c r="H19" s="7">
        <f t="shared" si="4"/>
        <v>3.9771296426526055E-2</v>
      </c>
      <c r="I19" s="7">
        <f t="shared" si="4"/>
        <v>3.9771296426526048E-2</v>
      </c>
      <c r="J19" s="7">
        <f t="shared" si="4"/>
        <v>3.9771296426526097E-2</v>
      </c>
      <c r="K19" s="7">
        <f t="shared" si="4"/>
        <v>3.9771296426526055E-2</v>
      </c>
      <c r="L19" s="7">
        <f t="shared" si="4"/>
        <v>3.9771296426526069E-2</v>
      </c>
      <c r="M19" s="7">
        <f t="shared" si="4"/>
        <v>3.9771296426526166E-2</v>
      </c>
      <c r="N19" s="7">
        <f t="shared" ref="N19:O19" si="5">N15/N17</f>
        <v>3.9771296426525944E-2</v>
      </c>
      <c r="O19" s="7">
        <f t="shared" si="5"/>
        <v>3.9771296426526014E-2</v>
      </c>
      <c r="P19" s="7">
        <f>P15/P17</f>
        <v>3.9771296426524327E-2</v>
      </c>
      <c r="Q19" s="7"/>
      <c r="R19" s="7"/>
      <c r="S19" s="145" t="s">
        <v>55</v>
      </c>
    </row>
    <row r="20" spans="1:24" x14ac:dyDescent="0.2">
      <c r="A20" s="151"/>
      <c r="E20" s="152"/>
    </row>
    <row r="21" spans="1:24" x14ac:dyDescent="0.2">
      <c r="A21" s="151"/>
      <c r="B21" s="145" t="s">
        <v>56</v>
      </c>
      <c r="E21" s="152"/>
    </row>
    <row r="22" spans="1:24" x14ac:dyDescent="0.2">
      <c r="A22" s="151">
        <f>+A19+1</f>
        <v>9</v>
      </c>
      <c r="C22" s="145" t="s">
        <v>57</v>
      </c>
      <c r="E22" s="152">
        <f>E13</f>
        <v>43320635.846724145</v>
      </c>
      <c r="F22" s="152">
        <f t="shared" ref="F22:P22" si="6">F13</f>
        <v>791908.59647351131</v>
      </c>
      <c r="G22" s="152">
        <f t="shared" si="6"/>
        <v>2537616.6168623408</v>
      </c>
      <c r="H22" s="152">
        <f t="shared" si="6"/>
        <v>6065143.1147164432</v>
      </c>
      <c r="I22" s="152">
        <f t="shared" si="6"/>
        <v>6601965.6548864618</v>
      </c>
      <c r="J22" s="152">
        <f t="shared" si="6"/>
        <v>2590634.8361587562</v>
      </c>
      <c r="K22" s="152">
        <f t="shared" si="6"/>
        <v>296868.4491032876</v>
      </c>
      <c r="L22" s="152">
        <f t="shared" si="6"/>
        <v>14757.373495258122</v>
      </c>
      <c r="M22" s="152">
        <f t="shared" si="6"/>
        <v>4761770.9268257301</v>
      </c>
      <c r="N22" s="152">
        <f t="shared" ref="N22:O22" si="7">N13</f>
        <v>104087.57874281381</v>
      </c>
      <c r="O22" s="152">
        <f t="shared" si="7"/>
        <v>106240.80867202111</v>
      </c>
      <c r="P22" s="152">
        <f t="shared" si="6"/>
        <v>19449641.609815963</v>
      </c>
      <c r="Q22" s="152">
        <f>E22-SUM(F22:P22)</f>
        <v>0.28097155690193176</v>
      </c>
      <c r="R22" s="152"/>
      <c r="S22" s="145" t="s">
        <v>58</v>
      </c>
    </row>
    <row r="23" spans="1:24" x14ac:dyDescent="0.2">
      <c r="A23" s="151">
        <f>+A22+1</f>
        <v>10</v>
      </c>
      <c r="C23" s="145" t="s">
        <v>50</v>
      </c>
      <c r="E23" s="152">
        <f t="shared" ref="E23:P23" si="8">E15</f>
        <v>6052589.1832758561</v>
      </c>
      <c r="F23" s="152">
        <f t="shared" si="8"/>
        <v>163599.87213527609</v>
      </c>
      <c r="G23" s="152">
        <f t="shared" si="8"/>
        <v>861541.62537509622</v>
      </c>
      <c r="H23" s="152">
        <f t="shared" si="8"/>
        <v>2059165.7630482959</v>
      </c>
      <c r="I23" s="152">
        <f t="shared" si="8"/>
        <v>1930958.8279829882</v>
      </c>
      <c r="J23" s="152">
        <f t="shared" si="8"/>
        <v>767359.84705130523</v>
      </c>
      <c r="K23" s="152">
        <f t="shared" si="8"/>
        <v>119140.51925493754</v>
      </c>
      <c r="L23" s="152">
        <f t="shared" si="8"/>
        <v>7239.6011156785971</v>
      </c>
      <c r="M23" s="152">
        <f t="shared" si="8"/>
        <v>160923.65542847756</v>
      </c>
      <c r="N23" s="152">
        <f t="shared" ref="N23:O23" si="9">N15</f>
        <v>4597.9277186948602</v>
      </c>
      <c r="O23" s="152">
        <f t="shared" si="9"/>
        <v>4693.0437324959785</v>
      </c>
      <c r="P23" s="152">
        <f t="shared" si="8"/>
        <v>-26631.499567385763</v>
      </c>
      <c r="Q23" s="152">
        <f>E23-SUM(F23:P23)</f>
        <v>0</v>
      </c>
      <c r="R23" s="152"/>
      <c r="S23" s="145" t="s">
        <v>59</v>
      </c>
    </row>
    <row r="24" spans="1:24" x14ac:dyDescent="0.2">
      <c r="A24" s="149">
        <f>+A23+1</f>
        <v>11</v>
      </c>
      <c r="B24" s="147"/>
      <c r="C24" s="147" t="s">
        <v>60</v>
      </c>
      <c r="D24" s="147"/>
      <c r="E24" s="89">
        <f>'FUN-3 (Functional COS)'!H224*-1</f>
        <v>-19330222.359999999</v>
      </c>
      <c r="F24" s="36">
        <f>'FUN-3 (Functional COS)'!I224*-1</f>
        <v>-21.183031879661225</v>
      </c>
      <c r="G24" s="36">
        <f>'FUN-3 (Functional COS)'!J224*-1</f>
        <v>-118.42444631151341</v>
      </c>
      <c r="H24" s="36">
        <f>'FUN-3 (Functional COS)'!K224*-1</f>
        <v>-283.04559892442819</v>
      </c>
      <c r="I24" s="36">
        <f>'FUN-3 (Functional COS)'!L224*-1</f>
        <v>-266.35359164284631</v>
      </c>
      <c r="J24" s="36">
        <f>'FUN-3 (Functional COS)'!M224*-1</f>
        <v>-104.20151127912401</v>
      </c>
      <c r="K24" s="36">
        <f>'FUN-3 (Functional COS)'!N224*-1</f>
        <v>-16.087454400070001</v>
      </c>
      <c r="L24" s="36">
        <f>'FUN-3 (Functional COS)'!O224*-1</f>
        <v>-0.97414855736629824</v>
      </c>
      <c r="M24" s="36">
        <f>'FUN-3 (Functional COS)'!P224*-1</f>
        <v>-74153.981346048182</v>
      </c>
      <c r="N24" s="36">
        <f>'FUN-3 (Functional COS)'!Q224*-1</f>
        <v>-24354.207945454535</v>
      </c>
      <c r="O24" s="36">
        <f>'FUN-3 (Functional COS)'!R224*-1</f>
        <v>-24858.016469811344</v>
      </c>
      <c r="P24" s="36">
        <f>'FUN-3 (Functional COS)'!S224*-1</f>
        <v>-19206045.884455692</v>
      </c>
      <c r="Q24" s="36">
        <f>E24-SUM(F24:P24)</f>
        <v>0</v>
      </c>
      <c r="R24" s="36"/>
      <c r="S24" s="147" t="s">
        <v>61</v>
      </c>
      <c r="T24" s="147"/>
      <c r="U24" s="147"/>
      <c r="V24" s="147"/>
      <c r="W24" s="147"/>
      <c r="X24" s="147"/>
    </row>
    <row r="25" spans="1:24" x14ac:dyDescent="0.2">
      <c r="A25" s="151">
        <f>+A24+1</f>
        <v>12</v>
      </c>
      <c r="B25" s="4" t="s">
        <v>62</v>
      </c>
      <c r="C25" s="4"/>
      <c r="D25" s="4"/>
      <c r="E25" s="6">
        <f>SUM(E22:E24)</f>
        <v>30043002.670000002</v>
      </c>
      <c r="F25" s="6">
        <f t="shared" ref="F25:P25" si="10">SUM(F22:F24)</f>
        <v>955487.28557690769</v>
      </c>
      <c r="G25" s="6">
        <f t="shared" si="10"/>
        <v>3399039.8177911257</v>
      </c>
      <c r="H25" s="6">
        <f t="shared" si="10"/>
        <v>8124025.8321658149</v>
      </c>
      <c r="I25" s="6">
        <f t="shared" si="10"/>
        <v>8532658.1292778067</v>
      </c>
      <c r="J25" s="6">
        <f t="shared" si="10"/>
        <v>3357890.4816987822</v>
      </c>
      <c r="K25" s="6">
        <f t="shared" si="10"/>
        <v>415992.88090382505</v>
      </c>
      <c r="L25" s="6">
        <f t="shared" si="10"/>
        <v>21996.000462379354</v>
      </c>
      <c r="M25" s="6">
        <f t="shared" si="10"/>
        <v>4848540.6009081593</v>
      </c>
      <c r="N25" s="6">
        <f t="shared" ref="N25:O25" si="11">SUM(N22:N24)</f>
        <v>84331.298516054143</v>
      </c>
      <c r="O25" s="6">
        <f t="shared" si="11"/>
        <v>86075.835934705741</v>
      </c>
      <c r="P25" s="6">
        <f t="shared" si="10"/>
        <v>216964.22579288483</v>
      </c>
      <c r="Q25" s="6">
        <f>E25-SUM(F25:P25)</f>
        <v>0.28097155690193176</v>
      </c>
      <c r="R25" s="6"/>
      <c r="S25" s="145" t="s">
        <v>63</v>
      </c>
    </row>
    <row r="26" spans="1:24" x14ac:dyDescent="0.2">
      <c r="A26" s="151"/>
      <c r="E26" s="152"/>
    </row>
    <row r="27" spans="1:24" x14ac:dyDescent="0.2">
      <c r="A27" s="151">
        <f>+A25+1</f>
        <v>13</v>
      </c>
      <c r="B27" s="4" t="s">
        <v>64</v>
      </c>
      <c r="C27" s="4"/>
      <c r="D27" s="4"/>
      <c r="E27" s="91">
        <f>E29/E17</f>
        <v>7.6040000000000052E-2</v>
      </c>
      <c r="F27" s="153">
        <v>7.6039999999999996E-2</v>
      </c>
      <c r="G27" s="153">
        <f>$F27</f>
        <v>7.6039999999999996E-2</v>
      </c>
      <c r="H27" s="153">
        <f t="shared" ref="H27:P27" si="12">$F27</f>
        <v>7.6039999999999996E-2</v>
      </c>
      <c r="I27" s="153">
        <f t="shared" si="12"/>
        <v>7.6039999999999996E-2</v>
      </c>
      <c r="J27" s="153">
        <f t="shared" si="12"/>
        <v>7.6039999999999996E-2</v>
      </c>
      <c r="K27" s="153">
        <f t="shared" si="12"/>
        <v>7.6039999999999996E-2</v>
      </c>
      <c r="L27" s="153">
        <f t="shared" si="12"/>
        <v>7.6039999999999996E-2</v>
      </c>
      <c r="M27" s="153">
        <f t="shared" si="12"/>
        <v>7.6039999999999996E-2</v>
      </c>
      <c r="N27" s="153">
        <f t="shared" si="12"/>
        <v>7.6039999999999996E-2</v>
      </c>
      <c r="O27" s="153">
        <f t="shared" si="12"/>
        <v>7.6039999999999996E-2</v>
      </c>
      <c r="P27" s="153">
        <f t="shared" si="12"/>
        <v>7.6039999999999996E-2</v>
      </c>
      <c r="Q27" s="7"/>
      <c r="R27" s="7"/>
      <c r="S27" s="145" t="s">
        <v>65</v>
      </c>
    </row>
    <row r="28" spans="1:24" x14ac:dyDescent="0.2">
      <c r="A28" s="151"/>
    </row>
    <row r="29" spans="1:24" x14ac:dyDescent="0.2">
      <c r="A29" s="151">
        <f>+A27+1</f>
        <v>14</v>
      </c>
      <c r="B29" s="145" t="s">
        <v>66</v>
      </c>
      <c r="E29" s="74">
        <f>SUM(F29:P29)</f>
        <v>11572136.763169058</v>
      </c>
      <c r="F29" s="2">
        <f>F17*F27</f>
        <v>312791.77182841988</v>
      </c>
      <c r="G29" s="2">
        <f t="shared" ref="G29:P29" si="13">G17*G27</f>
        <v>1647208.6926949746</v>
      </c>
      <c r="H29" s="2">
        <f>H17*H27</f>
        <v>3936984.1742890668</v>
      </c>
      <c r="I29" s="2">
        <f t="shared" si="13"/>
        <v>3691861.278675742</v>
      </c>
      <c r="J29" s="2">
        <f t="shared" si="13"/>
        <v>1467139.570810263</v>
      </c>
      <c r="K29" s="2">
        <f t="shared" si="13"/>
        <v>227788.52836446936</v>
      </c>
      <c r="L29" s="2">
        <f t="shared" si="13"/>
        <v>13841.622433736826</v>
      </c>
      <c r="M29" s="2">
        <f t="shared" si="13"/>
        <v>307675.0284313084</v>
      </c>
      <c r="N29" s="2">
        <f>N17*N27</f>
        <v>8790.9234836098931</v>
      </c>
      <c r="O29" s="2">
        <f t="shared" ref="O29" si="14">O17*O27</f>
        <v>8972.7787998628628</v>
      </c>
      <c r="P29" s="2">
        <f t="shared" si="13"/>
        <v>-50917.606642398969</v>
      </c>
      <c r="Q29" s="2">
        <f>E29-SUM(F29:P29)</f>
        <v>0</v>
      </c>
      <c r="R29" s="2"/>
      <c r="S29" s="145" t="s">
        <v>67</v>
      </c>
    </row>
    <row r="30" spans="1:24" x14ac:dyDescent="0.2">
      <c r="A30" s="151"/>
      <c r="E30" s="7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24" x14ac:dyDescent="0.2">
      <c r="A31" s="151">
        <f>+A29+1</f>
        <v>15</v>
      </c>
      <c r="B31" s="4" t="s">
        <v>68</v>
      </c>
      <c r="C31" s="4"/>
      <c r="D31" s="4"/>
      <c r="E31" s="15">
        <f>SUM(F31:P31)</f>
        <v>37029771.477500841</v>
      </c>
      <c r="F31" s="3">
        <f>F25+((F29-F23)/(1-$E$40))</f>
        <v>1144337.791517596</v>
      </c>
      <c r="G31" s="3">
        <f t="shared" ref="G31:N31" si="15">G25+((G29-G23)/(1-$E$40))</f>
        <v>4393555.0928795794</v>
      </c>
      <c r="H31" s="3">
        <f t="shared" si="15"/>
        <v>10501011.162850335</v>
      </c>
      <c r="I31" s="3">
        <f t="shared" si="15"/>
        <v>10761648.573192686</v>
      </c>
      <c r="J31" s="3">
        <f t="shared" si="15"/>
        <v>4243687.6003810074</v>
      </c>
      <c r="K31" s="3">
        <f t="shared" si="15"/>
        <v>553522.00635892863</v>
      </c>
      <c r="L31" s="3">
        <f t="shared" si="15"/>
        <v>30352.98947257964</v>
      </c>
      <c r="M31" s="3">
        <f t="shared" si="15"/>
        <v>5034301.8325573122</v>
      </c>
      <c r="N31" s="3">
        <f t="shared" si="15"/>
        <v>89638.888091895962</v>
      </c>
      <c r="O31" s="3">
        <f t="shared" ref="O31" si="16">O25+((O29-O23)/(1-$E$40))</f>
        <v>91493.222095929639</v>
      </c>
      <c r="P31" s="3">
        <f>P25+((P29-P23)/(1-$E$40))</f>
        <v>186222.3181029947</v>
      </c>
      <c r="Q31" s="3">
        <f>E31-SUM(F31:P31)</f>
        <v>0</v>
      </c>
      <c r="R31" s="3"/>
      <c r="S31" s="145" t="s">
        <v>69</v>
      </c>
    </row>
    <row r="32" spans="1:24" x14ac:dyDescent="0.2">
      <c r="A32" s="151">
        <f>+A31+1</f>
        <v>16</v>
      </c>
      <c r="B32" s="4" t="s">
        <v>70</v>
      </c>
      <c r="C32" s="4"/>
      <c r="D32" s="4"/>
      <c r="E32" s="104">
        <f>SUM(F32:P32)</f>
        <v>1</v>
      </c>
      <c r="F32" s="105">
        <f t="shared" ref="F32:P32" si="17">F31/$E31</f>
        <v>3.0903182651637252E-2</v>
      </c>
      <c r="G32" s="105">
        <f t="shared" si="17"/>
        <v>0.11864926294641294</v>
      </c>
      <c r="H32" s="105">
        <f t="shared" si="17"/>
        <v>0.28358293189118688</v>
      </c>
      <c r="I32" s="105">
        <f t="shared" si="17"/>
        <v>0.29062152273155201</v>
      </c>
      <c r="J32" s="105">
        <f t="shared" si="17"/>
        <v>0.11460204670610666</v>
      </c>
      <c r="K32" s="105">
        <f t="shared" si="17"/>
        <v>1.4948026527661577E-2</v>
      </c>
      <c r="L32" s="105">
        <f t="shared" si="17"/>
        <v>8.196915147321935E-4</v>
      </c>
      <c r="M32" s="105">
        <f t="shared" si="17"/>
        <v>0.13595281935823278</v>
      </c>
      <c r="N32" s="105">
        <f t="shared" ref="N32:O32" si="18">N31/$E31</f>
        <v>2.4207248523356465E-3</v>
      </c>
      <c r="O32" s="105">
        <f t="shared" si="18"/>
        <v>2.4708016940239719E-3</v>
      </c>
      <c r="P32" s="105">
        <f t="shared" si="17"/>
        <v>5.0289891261182298E-3</v>
      </c>
      <c r="Q32" s="5"/>
      <c r="R32" s="5"/>
      <c r="S32" s="145" t="s">
        <v>71</v>
      </c>
    </row>
    <row r="33" spans="1:19" x14ac:dyDescent="0.2">
      <c r="A33" s="151"/>
      <c r="B33" s="4"/>
      <c r="C33" s="4"/>
      <c r="D33" s="4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9" x14ac:dyDescent="0.2">
      <c r="A34" s="151">
        <f>+A32+1</f>
        <v>17</v>
      </c>
      <c r="B34" s="4" t="s">
        <v>72</v>
      </c>
      <c r="E34" s="15">
        <v>50399.05</v>
      </c>
      <c r="F34" s="152">
        <f>(F31-F25)/($E31-$E25)*$E$34</f>
        <v>1362.2729409926742</v>
      </c>
      <c r="G34" s="152">
        <f t="shared" ref="G34:P34" si="19">(G31-G25)/($E31-$E25)*$E$34</f>
        <v>7173.9349699300483</v>
      </c>
      <c r="H34" s="152">
        <f t="shared" si="19"/>
        <v>17146.381371861542</v>
      </c>
      <c r="I34" s="152">
        <f t="shared" si="19"/>
        <v>16078.820400037217</v>
      </c>
      <c r="J34" s="152">
        <f t="shared" si="19"/>
        <v>6389.6966543952794</v>
      </c>
      <c r="K34" s="152">
        <f t="shared" si="19"/>
        <v>992.06621275727753</v>
      </c>
      <c r="L34" s="152">
        <f t="shared" si="19"/>
        <v>60.283132099971688</v>
      </c>
      <c r="M34" s="152">
        <f t="shared" si="19"/>
        <v>1339.9884638942401</v>
      </c>
      <c r="N34" s="152">
        <f t="shared" ref="N34:O34" si="20">(N31-N25)/($E31-$E25)*$E$34</f>
        <v>38.286292245014799</v>
      </c>
      <c r="O34" s="152">
        <f t="shared" si="20"/>
        <v>39.078309806918355</v>
      </c>
      <c r="P34" s="152">
        <f t="shared" si="19"/>
        <v>-221.75672123210882</v>
      </c>
      <c r="Q34" s="2">
        <f>E34-SUM(F34:P34)</f>
        <v>-2.0267880681785755E-3</v>
      </c>
      <c r="R34" s="2"/>
      <c r="S34" s="145" t="s">
        <v>73</v>
      </c>
    </row>
    <row r="35" spans="1:19" x14ac:dyDescent="0.2">
      <c r="A35" s="151"/>
      <c r="E35" s="1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9" x14ac:dyDescent="0.2">
      <c r="A36" s="151">
        <f>+A34+1</f>
        <v>18</v>
      </c>
      <c r="B36" s="4" t="s">
        <v>74</v>
      </c>
      <c r="E36" s="15">
        <f>SUM(F36:P36)</f>
        <v>37080170.529527627</v>
      </c>
      <c r="F36" s="3">
        <f>F31+F34</f>
        <v>1145700.0644585886</v>
      </c>
      <c r="G36" s="3">
        <f t="shared" ref="G36:P36" si="21">G31+G34</f>
        <v>4400729.0278495094</v>
      </c>
      <c r="H36" s="3">
        <f t="shared" si="21"/>
        <v>10518157.544222197</v>
      </c>
      <c r="I36" s="3">
        <f t="shared" si="21"/>
        <v>10777727.393592723</v>
      </c>
      <c r="J36" s="3">
        <f t="shared" si="21"/>
        <v>4250077.2970354026</v>
      </c>
      <c r="K36" s="3">
        <f t="shared" si="21"/>
        <v>554514.07257168589</v>
      </c>
      <c r="L36" s="3">
        <f t="shared" si="21"/>
        <v>30413.272604679612</v>
      </c>
      <c r="M36" s="3">
        <f t="shared" si="21"/>
        <v>5035641.8210212067</v>
      </c>
      <c r="N36" s="3">
        <f t="shared" si="21"/>
        <v>89677.174384140977</v>
      </c>
      <c r="O36" s="3">
        <f t="shared" ref="O36" si="22">O31+O34</f>
        <v>91532.300405736562</v>
      </c>
      <c r="P36" s="3">
        <f t="shared" si="21"/>
        <v>186000.56138176259</v>
      </c>
      <c r="Q36" s="3">
        <f>E36-SUM(F36:P36)</f>
        <v>0</v>
      </c>
      <c r="R36" s="3"/>
      <c r="S36" s="145" t="s">
        <v>75</v>
      </c>
    </row>
    <row r="37" spans="1:19" x14ac:dyDescent="0.2">
      <c r="A37" s="151"/>
      <c r="E37" s="152"/>
      <c r="F37" s="7"/>
    </row>
    <row r="38" spans="1:19" x14ac:dyDescent="0.2">
      <c r="A38" s="151">
        <f>+A36+1</f>
        <v>19</v>
      </c>
      <c r="B38" s="4" t="s">
        <v>76</v>
      </c>
      <c r="C38" s="4"/>
      <c r="D38" s="4"/>
      <c r="E38" s="15">
        <f>E25-E36</f>
        <v>-7037167.8595276251</v>
      </c>
      <c r="F38" s="3">
        <f t="shared" ref="F38:N38" si="23">F25-F36</f>
        <v>-190212.77888168092</v>
      </c>
      <c r="G38" s="3">
        <f t="shared" si="23"/>
        <v>-1001689.2100583836</v>
      </c>
      <c r="H38" s="3">
        <f t="shared" si="23"/>
        <v>-2394131.7120563816</v>
      </c>
      <c r="I38" s="3">
        <f t="shared" si="23"/>
        <v>-2245069.264314916</v>
      </c>
      <c r="J38" s="3">
        <f t="shared" si="23"/>
        <v>-892186.81533662044</v>
      </c>
      <c r="K38" s="3">
        <f t="shared" si="23"/>
        <v>-138521.19166786084</v>
      </c>
      <c r="L38" s="3">
        <f t="shared" si="23"/>
        <v>-8417.2721423002586</v>
      </c>
      <c r="M38" s="3">
        <f t="shared" si="23"/>
        <v>-187101.2201130474</v>
      </c>
      <c r="N38" s="3">
        <f t="shared" si="23"/>
        <v>-5345.8758680868341</v>
      </c>
      <c r="O38" s="3">
        <f>O25-O36</f>
        <v>-5456.4644710308203</v>
      </c>
      <c r="P38" s="3">
        <f>P25-P36</f>
        <v>30963.664411122241</v>
      </c>
      <c r="Q38" s="3">
        <f>E38-SUM(F38:P38)</f>
        <v>0.28097156248986721</v>
      </c>
      <c r="R38" s="3"/>
      <c r="S38" s="145" t="s">
        <v>77</v>
      </c>
    </row>
    <row r="39" spans="1:19" x14ac:dyDescent="0.2">
      <c r="A39" s="151"/>
      <c r="E39" s="9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9" x14ac:dyDescent="0.2">
      <c r="A40" s="151">
        <f>+A38+1</f>
        <v>20</v>
      </c>
      <c r="B40" s="145" t="s">
        <v>78</v>
      </c>
      <c r="E40" s="154">
        <v>0.21</v>
      </c>
      <c r="F40" s="34"/>
      <c r="G40" s="34"/>
      <c r="H40" s="155"/>
      <c r="I40" s="153"/>
      <c r="J40" s="153"/>
      <c r="K40" s="153"/>
      <c r="L40" s="153"/>
      <c r="M40" s="153"/>
      <c r="N40" s="153"/>
      <c r="O40" s="153"/>
      <c r="P40" s="153"/>
    </row>
    <row r="41" spans="1:19" x14ac:dyDescent="0.2">
      <c r="E41" s="156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9" x14ac:dyDescent="0.2">
      <c r="D42" s="152"/>
      <c r="E42" s="145" t="s">
        <v>79</v>
      </c>
    </row>
    <row r="43" spans="1:19" x14ac:dyDescent="0.2">
      <c r="E43" s="145" t="s">
        <v>80</v>
      </c>
    </row>
    <row r="44" spans="1:19" x14ac:dyDescent="0.2">
      <c r="D44" s="152"/>
    </row>
    <row r="45" spans="1:19" x14ac:dyDescent="0.2">
      <c r="E45" s="145" t="s">
        <v>81</v>
      </c>
    </row>
    <row r="46" spans="1:19" x14ac:dyDescent="0.2">
      <c r="E46" s="145" t="s">
        <v>82</v>
      </c>
    </row>
    <row r="47" spans="1:19" x14ac:dyDescent="0.2">
      <c r="K47" s="146"/>
      <c r="L47" s="146"/>
    </row>
    <row r="48" spans="1:19" x14ac:dyDescent="0.2">
      <c r="E48" s="145" t="s">
        <v>83</v>
      </c>
    </row>
    <row r="49" spans="5:5" x14ac:dyDescent="0.2">
      <c r="E49" s="157" t="s">
        <v>84</v>
      </c>
    </row>
  </sheetData>
  <pageMargins left="0.7" right="0.7" top="1.36" bottom="0.75" header="0.3" footer="0.3"/>
  <pageSetup scale="68" fitToWidth="2" orientation="landscape" useFirstPageNumber="1" horizontalDpi="4294967292" r:id="rId1"/>
  <headerFooter alignWithMargins="0">
    <oddHeader>&amp;CRULE 20:10:13:98
STATEMENT O - Tab &amp;A
Functional Cost of Service Results
Test Year Ending December 31, 2021
Utility: MidAmerican Energy Company
Docket No. NG22-___
Individual Responsible: Amanda Hosch</oddHeader>
    <oddFooter>&amp;C20:10:13:98
Statement O Workpaper - Tab &amp;A
&amp;P of &amp;N</oddFooter>
  </headerFooter>
  <colBreaks count="1" manualBreakCount="1">
    <brk id="12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50"/>
  </sheetPr>
  <dimension ref="A1:X50"/>
  <sheetViews>
    <sheetView view="pageLayout" zoomScale="85" zoomScaleNormal="100" zoomScalePageLayoutView="85" workbookViewId="0">
      <selection activeCell="A7" sqref="A7"/>
    </sheetView>
  </sheetViews>
  <sheetFormatPr defaultColWidth="9.140625" defaultRowHeight="12.75" x14ac:dyDescent="0.2"/>
  <cols>
    <col min="1" max="1" width="9.140625" style="32"/>
    <col min="2" max="2" width="4.5703125" style="32" customWidth="1"/>
    <col min="3" max="3" width="9" style="32" bestFit="1" customWidth="1"/>
    <col min="4" max="4" width="26" style="32" bestFit="1" customWidth="1"/>
    <col min="5" max="5" width="11.85546875" style="52" customWidth="1"/>
    <col min="6" max="6" width="12.5703125" style="52" customWidth="1"/>
    <col min="7" max="7" width="12.28515625" style="32" customWidth="1"/>
    <col min="8" max="8" width="17.42578125" style="32" customWidth="1"/>
    <col min="9" max="9" width="11.42578125" style="32" customWidth="1"/>
    <col min="10" max="10" width="12" style="32" customWidth="1"/>
    <col min="11" max="11" width="12.5703125" style="32" customWidth="1"/>
    <col min="12" max="12" width="11.28515625" style="32" bestFit="1" customWidth="1"/>
    <col min="13" max="13" width="9.140625" style="32"/>
    <col min="14" max="14" width="16.28515625" style="32" customWidth="1"/>
    <col min="15" max="15" width="11.28515625" style="32" bestFit="1" customWidth="1"/>
    <col min="16" max="17" width="9.140625" style="32"/>
    <col min="18" max="18" width="18.7109375" style="32" customWidth="1"/>
    <col min="19" max="19" width="11.140625" style="32" customWidth="1"/>
    <col min="20" max="20" width="11.85546875" style="32" customWidth="1"/>
    <col min="21" max="16384" width="9.140625" style="32"/>
  </cols>
  <sheetData>
    <row r="1" spans="1:10" x14ac:dyDescent="0.2">
      <c r="A1" s="37" t="s">
        <v>615</v>
      </c>
      <c r="G1" s="265"/>
    </row>
    <row r="2" spans="1:10" x14ac:dyDescent="0.2">
      <c r="A2" s="37" t="s">
        <v>739</v>
      </c>
    </row>
    <row r="3" spans="1:10" x14ac:dyDescent="0.2">
      <c r="A3" s="37" t="s">
        <v>617</v>
      </c>
    </row>
    <row r="5" spans="1:10" x14ac:dyDescent="0.2">
      <c r="A5" s="37" t="s">
        <v>10</v>
      </c>
      <c r="E5" s="42" t="s">
        <v>618</v>
      </c>
      <c r="F5" s="42"/>
      <c r="G5" s="42" t="s">
        <v>740</v>
      </c>
      <c r="H5" s="52"/>
    </row>
    <row r="6" spans="1:10" x14ac:dyDescent="0.2">
      <c r="A6" s="40" t="s">
        <v>1098</v>
      </c>
      <c r="B6" s="38" t="s">
        <v>623</v>
      </c>
      <c r="C6" s="38" t="s">
        <v>624</v>
      </c>
      <c r="D6" s="38" t="s">
        <v>625</v>
      </c>
      <c r="E6" s="38" t="s">
        <v>349</v>
      </c>
      <c r="F6" s="38" t="s">
        <v>626</v>
      </c>
      <c r="G6" s="39" t="s">
        <v>741</v>
      </c>
      <c r="H6" s="67" t="s">
        <v>387</v>
      </c>
    </row>
    <row r="7" spans="1:10" x14ac:dyDescent="0.2">
      <c r="A7" s="214"/>
      <c r="B7" s="52" t="s">
        <v>24</v>
      </c>
      <c r="C7" s="52" t="s">
        <v>25</v>
      </c>
      <c r="D7" s="52" t="s">
        <v>26</v>
      </c>
      <c r="E7" s="52" t="s">
        <v>27</v>
      </c>
      <c r="F7" s="52" t="s">
        <v>28</v>
      </c>
      <c r="G7" s="52" t="s">
        <v>29</v>
      </c>
      <c r="H7" s="52" t="s">
        <v>30</v>
      </c>
    </row>
    <row r="8" spans="1:10" x14ac:dyDescent="0.2">
      <c r="A8" s="214"/>
      <c r="B8" s="37"/>
      <c r="G8" s="220"/>
    </row>
    <row r="9" spans="1:10" x14ac:dyDescent="0.2">
      <c r="A9" s="214">
        <v>1</v>
      </c>
      <c r="B9" s="259">
        <v>400</v>
      </c>
      <c r="C9" s="259">
        <v>480091</v>
      </c>
      <c r="D9" s="259" t="s">
        <v>742</v>
      </c>
      <c r="E9" s="178" t="s">
        <v>631</v>
      </c>
      <c r="F9" s="178">
        <v>1</v>
      </c>
      <c r="G9" s="266">
        <v>1820</v>
      </c>
      <c r="H9" s="189">
        <f>SUM(G9:G9)</f>
        <v>1820</v>
      </c>
      <c r="J9" s="220"/>
    </row>
    <row r="10" spans="1:10" x14ac:dyDescent="0.2">
      <c r="A10" s="214">
        <f>+A9+1</f>
        <v>2</v>
      </c>
      <c r="B10" s="259">
        <v>400</v>
      </c>
      <c r="C10" s="259">
        <v>480091</v>
      </c>
      <c r="D10" s="259" t="s">
        <v>742</v>
      </c>
      <c r="E10" s="178" t="s">
        <v>632</v>
      </c>
      <c r="F10" s="178">
        <v>1</v>
      </c>
      <c r="G10" s="266">
        <v>1118667</v>
      </c>
      <c r="H10" s="189">
        <f t="shared" ref="H10:H26" si="0">SUM(G10:G10)</f>
        <v>1118667</v>
      </c>
    </row>
    <row r="11" spans="1:10" x14ac:dyDescent="0.2">
      <c r="A11" s="214">
        <f t="shared" ref="A11:A26" si="1">A10+1</f>
        <v>3</v>
      </c>
      <c r="B11" s="259">
        <v>400</v>
      </c>
      <c r="C11" s="259">
        <v>481091</v>
      </c>
      <c r="D11" s="259" t="s">
        <v>743</v>
      </c>
      <c r="E11" s="178" t="s">
        <v>635</v>
      </c>
      <c r="F11" s="178">
        <v>3</v>
      </c>
      <c r="G11" s="266">
        <v>12</v>
      </c>
      <c r="H11" s="189">
        <f t="shared" si="0"/>
        <v>12</v>
      </c>
    </row>
    <row r="12" spans="1:10" x14ac:dyDescent="0.2">
      <c r="A12" s="214">
        <f t="shared" si="1"/>
        <v>4</v>
      </c>
      <c r="B12" s="259">
        <v>400</v>
      </c>
      <c r="C12" s="259">
        <v>481091</v>
      </c>
      <c r="D12" s="259" t="s">
        <v>743</v>
      </c>
      <c r="E12" s="178" t="s">
        <v>636</v>
      </c>
      <c r="F12" s="178">
        <v>2</v>
      </c>
      <c r="G12" s="266">
        <v>17264</v>
      </c>
      <c r="H12" s="189">
        <f t="shared" si="0"/>
        <v>17264</v>
      </c>
      <c r="I12" s="220"/>
    </row>
    <row r="13" spans="1:10" x14ac:dyDescent="0.2">
      <c r="A13" s="214">
        <f t="shared" si="1"/>
        <v>5</v>
      </c>
      <c r="B13" s="259">
        <v>400</v>
      </c>
      <c r="C13" s="259">
        <v>481091</v>
      </c>
      <c r="D13" s="259" t="s">
        <v>743</v>
      </c>
      <c r="E13" s="178" t="s">
        <v>631</v>
      </c>
      <c r="F13" s="178">
        <v>1</v>
      </c>
      <c r="G13" s="266">
        <v>103</v>
      </c>
      <c r="H13" s="189">
        <f t="shared" si="0"/>
        <v>103</v>
      </c>
      <c r="J13" s="220"/>
    </row>
    <row r="14" spans="1:10" x14ac:dyDescent="0.2">
      <c r="A14" s="214">
        <f t="shared" si="1"/>
        <v>6</v>
      </c>
      <c r="B14" s="259">
        <v>400</v>
      </c>
      <c r="C14" s="259">
        <v>481091</v>
      </c>
      <c r="D14" s="259" t="s">
        <v>743</v>
      </c>
      <c r="E14" s="178" t="s">
        <v>637</v>
      </c>
      <c r="F14" s="178">
        <v>1</v>
      </c>
      <c r="G14" s="266">
        <v>24</v>
      </c>
      <c r="H14" s="189">
        <f t="shared" si="0"/>
        <v>24</v>
      </c>
    </row>
    <row r="15" spans="1:10" x14ac:dyDescent="0.2">
      <c r="A15" s="214">
        <f t="shared" si="1"/>
        <v>7</v>
      </c>
      <c r="B15" s="259">
        <v>400</v>
      </c>
      <c r="C15" s="259">
        <v>481091</v>
      </c>
      <c r="D15" s="259" t="s">
        <v>743</v>
      </c>
      <c r="E15" s="178" t="s">
        <v>638</v>
      </c>
      <c r="F15" s="178">
        <v>1</v>
      </c>
      <c r="G15" s="266">
        <v>39</v>
      </c>
      <c r="H15" s="189">
        <f t="shared" si="0"/>
        <v>39</v>
      </c>
    </row>
    <row r="16" spans="1:10" x14ac:dyDescent="0.2">
      <c r="A16" s="214">
        <f t="shared" si="1"/>
        <v>8</v>
      </c>
      <c r="B16" s="259">
        <v>400</v>
      </c>
      <c r="C16" s="259">
        <v>481091</v>
      </c>
      <c r="D16" s="259" t="s">
        <v>743</v>
      </c>
      <c r="E16" s="178" t="s">
        <v>632</v>
      </c>
      <c r="F16" s="178">
        <v>1</v>
      </c>
      <c r="G16" s="266">
        <v>105919</v>
      </c>
      <c r="H16" s="189">
        <f t="shared" si="0"/>
        <v>105919</v>
      </c>
    </row>
    <row r="17" spans="1:24" x14ac:dyDescent="0.2">
      <c r="A17" s="214">
        <f t="shared" si="1"/>
        <v>9</v>
      </c>
      <c r="B17" s="259">
        <v>400</v>
      </c>
      <c r="C17" s="259">
        <v>481291</v>
      </c>
      <c r="D17" s="259" t="s">
        <v>744</v>
      </c>
      <c r="E17" s="178" t="s">
        <v>636</v>
      </c>
      <c r="F17" s="178">
        <v>2</v>
      </c>
      <c r="G17" s="266">
        <v>333</v>
      </c>
      <c r="H17" s="189">
        <f t="shared" si="0"/>
        <v>333</v>
      </c>
    </row>
    <row r="18" spans="1:24" x14ac:dyDescent="0.2">
      <c r="A18" s="214">
        <f t="shared" si="1"/>
        <v>10</v>
      </c>
      <c r="B18" s="259">
        <v>400</v>
      </c>
      <c r="C18" s="259">
        <v>481291</v>
      </c>
      <c r="D18" s="259" t="s">
        <v>744</v>
      </c>
      <c r="E18" s="178" t="s">
        <v>638</v>
      </c>
      <c r="F18" s="178">
        <v>1</v>
      </c>
      <c r="G18" s="266">
        <v>36</v>
      </c>
      <c r="H18" s="189">
        <f t="shared" si="0"/>
        <v>36</v>
      </c>
    </row>
    <row r="19" spans="1:24" x14ac:dyDescent="0.2">
      <c r="A19" s="214">
        <f t="shared" si="1"/>
        <v>11</v>
      </c>
      <c r="B19" s="259">
        <v>400</v>
      </c>
      <c r="C19" s="259">
        <v>481291</v>
      </c>
      <c r="D19" s="259" t="s">
        <v>744</v>
      </c>
      <c r="E19" s="178" t="s">
        <v>632</v>
      </c>
      <c r="F19" s="178">
        <v>1</v>
      </c>
      <c r="G19" s="266">
        <v>248</v>
      </c>
      <c r="H19" s="189">
        <f t="shared" si="0"/>
        <v>248</v>
      </c>
    </row>
    <row r="20" spans="1:24" x14ac:dyDescent="0.2">
      <c r="A20" s="214">
        <f t="shared" si="1"/>
        <v>12</v>
      </c>
      <c r="B20" s="259">
        <v>400</v>
      </c>
      <c r="C20" s="259">
        <v>489091</v>
      </c>
      <c r="D20" s="259" t="s">
        <v>745</v>
      </c>
      <c r="E20" s="178"/>
      <c r="F20" s="178"/>
      <c r="G20" s="266">
        <v>-8</v>
      </c>
      <c r="H20" s="189">
        <f t="shared" si="0"/>
        <v>-8</v>
      </c>
    </row>
    <row r="21" spans="1:24" x14ac:dyDescent="0.2">
      <c r="A21" s="214">
        <f>A20+1</f>
        <v>13</v>
      </c>
      <c r="B21" s="259">
        <v>400</v>
      </c>
      <c r="C21" s="259">
        <v>489091</v>
      </c>
      <c r="D21" s="259" t="s">
        <v>745</v>
      </c>
      <c r="E21" s="178" t="s">
        <v>643</v>
      </c>
      <c r="F21" s="178">
        <v>3</v>
      </c>
      <c r="G21" s="266">
        <v>6</v>
      </c>
      <c r="H21" s="189">
        <f t="shared" si="0"/>
        <v>6</v>
      </c>
    </row>
    <row r="22" spans="1:24" x14ac:dyDescent="0.2">
      <c r="A22" s="214">
        <f t="shared" si="1"/>
        <v>14</v>
      </c>
      <c r="B22" s="259">
        <v>400</v>
      </c>
      <c r="C22" s="259">
        <v>489091</v>
      </c>
      <c r="D22" s="259" t="s">
        <v>745</v>
      </c>
      <c r="E22" s="178" t="s">
        <v>644</v>
      </c>
      <c r="F22" s="178">
        <v>3</v>
      </c>
      <c r="G22" s="266">
        <v>306</v>
      </c>
      <c r="H22" s="189">
        <f t="shared" si="0"/>
        <v>306</v>
      </c>
    </row>
    <row r="23" spans="1:24" x14ac:dyDescent="0.2">
      <c r="A23" s="214">
        <f t="shared" si="1"/>
        <v>15</v>
      </c>
      <c r="B23" s="259">
        <v>400</v>
      </c>
      <c r="C23" s="259">
        <v>489091</v>
      </c>
      <c r="D23" s="259" t="s">
        <v>745</v>
      </c>
      <c r="E23" s="178" t="s">
        <v>645</v>
      </c>
      <c r="F23" s="178">
        <v>2</v>
      </c>
      <c r="G23" s="266">
        <v>3453</v>
      </c>
      <c r="H23" s="189">
        <f t="shared" si="0"/>
        <v>3453</v>
      </c>
    </row>
    <row r="24" spans="1:24" x14ac:dyDescent="0.2">
      <c r="A24" s="214">
        <f t="shared" si="1"/>
        <v>16</v>
      </c>
      <c r="B24" s="259">
        <v>400</v>
      </c>
      <c r="C24" s="259">
        <v>489091</v>
      </c>
      <c r="D24" s="259" t="s">
        <v>745</v>
      </c>
      <c r="E24" s="178" t="s">
        <v>646</v>
      </c>
      <c r="F24" s="178">
        <v>2</v>
      </c>
      <c r="G24" s="266">
        <v>1241</v>
      </c>
      <c r="H24" s="189">
        <f t="shared" si="0"/>
        <v>1241</v>
      </c>
    </row>
    <row r="25" spans="1:24" x14ac:dyDescent="0.2">
      <c r="A25" s="214">
        <f t="shared" si="1"/>
        <v>17</v>
      </c>
      <c r="B25" s="259">
        <v>400</v>
      </c>
      <c r="C25" s="259">
        <v>489091</v>
      </c>
      <c r="D25" s="259" t="s">
        <v>745</v>
      </c>
      <c r="E25" s="178" t="s">
        <v>647</v>
      </c>
      <c r="F25" s="178">
        <v>1</v>
      </c>
      <c r="G25" s="266">
        <v>1333</v>
      </c>
      <c r="H25" s="189">
        <f t="shared" si="0"/>
        <v>1333</v>
      </c>
    </row>
    <row r="26" spans="1:24" x14ac:dyDescent="0.2">
      <c r="A26" s="214">
        <f t="shared" si="1"/>
        <v>18</v>
      </c>
      <c r="B26" s="259">
        <v>400</v>
      </c>
      <c r="C26" s="259">
        <v>489091</v>
      </c>
      <c r="D26" s="259" t="s">
        <v>745</v>
      </c>
      <c r="E26" s="178" t="s">
        <v>648</v>
      </c>
      <c r="F26" s="178">
        <v>1</v>
      </c>
      <c r="G26" s="266">
        <v>10</v>
      </c>
      <c r="H26" s="189">
        <f t="shared" si="0"/>
        <v>10</v>
      </c>
    </row>
    <row r="27" spans="1:24" x14ac:dyDescent="0.2">
      <c r="A27" s="214"/>
      <c r="B27" s="259"/>
      <c r="C27" s="259"/>
      <c r="D27" s="259"/>
      <c r="E27" s="185"/>
      <c r="F27" s="185"/>
      <c r="G27" s="267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3.5" thickBot="1" x14ac:dyDescent="0.25">
      <c r="A28" s="214">
        <f>+A26+1</f>
        <v>19</v>
      </c>
      <c r="D28" s="32" t="s">
        <v>746</v>
      </c>
      <c r="G28" s="268">
        <f>+SUM(G9:G27)</f>
        <v>1250806</v>
      </c>
      <c r="H28" s="268">
        <f>+SUM(H9:H27)</f>
        <v>1250806</v>
      </c>
      <c r="I28" s="189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</row>
    <row r="29" spans="1:24" ht="13.5" thickTop="1" x14ac:dyDescent="0.2">
      <c r="A29" s="214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</row>
    <row r="30" spans="1:24" x14ac:dyDescent="0.2">
      <c r="A30" s="77" t="s">
        <v>10</v>
      </c>
      <c r="B30" s="31"/>
      <c r="C30" s="31"/>
      <c r="D30" s="67" t="s">
        <v>650</v>
      </c>
      <c r="E30" s="67" t="s">
        <v>501</v>
      </c>
      <c r="F30" s="67" t="s">
        <v>502</v>
      </c>
      <c r="G30" s="67" t="s">
        <v>503</v>
      </c>
      <c r="H30" s="67" t="s">
        <v>387</v>
      </c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</row>
    <row r="31" spans="1:24" x14ac:dyDescent="0.2">
      <c r="A31" s="214"/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</row>
    <row r="32" spans="1:24" x14ac:dyDescent="0.2">
      <c r="A32" s="214"/>
      <c r="D32" s="52"/>
      <c r="G32" s="52"/>
      <c r="H32" s="52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</row>
    <row r="33" spans="1:24" x14ac:dyDescent="0.2">
      <c r="A33" s="214">
        <f>+A28+1</f>
        <v>20</v>
      </c>
      <c r="D33" s="32" t="s">
        <v>746</v>
      </c>
      <c r="E33" s="269">
        <f>SUMIF($F$9:$F$26,1,$H$9:$H$26)</f>
        <v>1228199</v>
      </c>
      <c r="F33" s="269">
        <f>SUMIF($F$9:$F$26,2,$H$9:$H$26)</f>
        <v>22291</v>
      </c>
      <c r="G33" s="269">
        <f>SUMIF($F$9:$F$26,3,$H$9:$H$26)</f>
        <v>324</v>
      </c>
      <c r="H33" s="189">
        <f>SUM(E33:G33)</f>
        <v>1250814</v>
      </c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24" x14ac:dyDescent="0.2">
      <c r="A34" s="214">
        <f>+A33+1</f>
        <v>21</v>
      </c>
      <c r="D34" s="32" t="s">
        <v>747</v>
      </c>
      <c r="E34" s="269">
        <f>SUMIF($F$17:$F$19,1,$H$17:$H$19)</f>
        <v>284</v>
      </c>
      <c r="F34" s="269">
        <f>SUMIF($F$17:$F$19,2,$H$17:$H$19)</f>
        <v>333</v>
      </c>
      <c r="G34" s="269">
        <f>SUMIF($F$17:$F$19,3,$H$17:$H$19)</f>
        <v>0</v>
      </c>
      <c r="H34" s="189">
        <f t="shared" ref="H34:H36" si="2">SUM(E34:G34)</f>
        <v>617</v>
      </c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  <row r="35" spans="1:24" x14ac:dyDescent="0.2">
      <c r="A35" s="214">
        <f t="shared" ref="A35:A36" si="3">+A34+1</f>
        <v>22</v>
      </c>
      <c r="D35" s="32" t="s">
        <v>748</v>
      </c>
      <c r="E35" s="269">
        <f>SUMIF($F$20:$F$26,1,$H$20:$H$26)-H25</f>
        <v>10</v>
      </c>
      <c r="F35" s="269">
        <f>SUMIF($F$20:$F$26,2,$H$20:$H$26)-F36</f>
        <v>1241</v>
      </c>
      <c r="G35" s="269">
        <f>SUMIF($F$20:$F$26,3,$H$20:$H$26)-G36</f>
        <v>312</v>
      </c>
      <c r="H35" s="189">
        <f t="shared" si="2"/>
        <v>1563</v>
      </c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</row>
    <row r="36" spans="1:24" x14ac:dyDescent="0.2">
      <c r="A36" s="214">
        <f t="shared" si="3"/>
        <v>23</v>
      </c>
      <c r="D36" s="32" t="s">
        <v>749</v>
      </c>
      <c r="E36" s="269">
        <f>H25</f>
        <v>1333</v>
      </c>
      <c r="F36" s="269">
        <f>H23</f>
        <v>3453</v>
      </c>
      <c r="G36" s="269">
        <v>0</v>
      </c>
      <c r="H36" s="189">
        <f t="shared" si="2"/>
        <v>4786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</row>
    <row r="37" spans="1:24" x14ac:dyDescent="0.2">
      <c r="E37" s="270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</row>
    <row r="38" spans="1:24" x14ac:dyDescent="0.2">
      <c r="A38" s="32" t="s">
        <v>652</v>
      </c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x14ac:dyDescent="0.2">
      <c r="A39" s="32" t="s">
        <v>653</v>
      </c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ht="14.25" customHeight="1" x14ac:dyDescent="0.2">
      <c r="A40" s="32" t="s">
        <v>654</v>
      </c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</row>
    <row r="41" spans="1:24" ht="14.25" customHeight="1" x14ac:dyDescent="0.2"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</row>
    <row r="42" spans="1:24" ht="15" customHeight="1" x14ac:dyDescent="0.2">
      <c r="A42" s="32" t="s">
        <v>750</v>
      </c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</row>
    <row r="43" spans="1:24" x14ac:dyDescent="0.2"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</row>
    <row r="44" spans="1:24" x14ac:dyDescent="0.2"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</row>
    <row r="45" spans="1:24" x14ac:dyDescent="0.2"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</row>
    <row r="46" spans="1:24" x14ac:dyDescent="0.2"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</row>
    <row r="47" spans="1:24" x14ac:dyDescent="0.2"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</row>
    <row r="48" spans="1:24" x14ac:dyDescent="0.2"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</row>
    <row r="49" spans="10:24" x14ac:dyDescent="0.2"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</row>
    <row r="50" spans="10:24" x14ac:dyDescent="0.2"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</row>
  </sheetData>
  <pageMargins left="0.7" right="0.7" top="1.5306249999999999" bottom="0.75" header="0.3" footer="0.3"/>
  <pageSetup scale="79" fitToHeight="3" orientation="landscape" useFirstPageNumber="1" r:id="rId1"/>
  <headerFooter alignWithMargins="0">
    <oddHeader>&amp;CRULE 20:10:13:98
STATEMENT O WORKPAPER - Tab &amp;A
South Dakota Jurisdictional Customers by Rate Code
Test Year Ending December 31, 2021
Utility: MidAmerican Energy Company
Docket No. NG22-___
Individual Responsible: Amanda Hosch</oddHeader>
    <oddFooter>&amp;C20:10:13:98
Statement O Workpaper - Tab &amp;A
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50"/>
  </sheetPr>
  <dimension ref="A1:X45"/>
  <sheetViews>
    <sheetView view="pageLayout" zoomScale="85" zoomScaleNormal="100" zoomScaleSheetLayoutView="40" zoomScalePageLayoutView="85" workbookViewId="0">
      <selection activeCell="C13" sqref="C13"/>
    </sheetView>
  </sheetViews>
  <sheetFormatPr defaultColWidth="9.140625" defaultRowHeight="15" customHeight="1" x14ac:dyDescent="0.2"/>
  <cols>
    <col min="1" max="1" width="9.140625" style="257"/>
    <col min="2" max="2" width="11.42578125" style="257" customWidth="1"/>
    <col min="3" max="3" width="14" style="257" customWidth="1"/>
    <col min="4" max="4" width="25.5703125" style="257" customWidth="1"/>
    <col min="5" max="6" width="10.7109375" style="257" customWidth="1"/>
    <col min="7" max="7" width="16.140625" style="257" customWidth="1"/>
    <col min="8" max="8" width="16.7109375" style="257" customWidth="1"/>
    <col min="9" max="20" width="18.140625" style="257" customWidth="1"/>
    <col min="21" max="21" width="17.5703125" style="257" customWidth="1"/>
    <col min="22" max="22" width="16.5703125" style="257" customWidth="1"/>
    <col min="23" max="16384" width="9.140625" style="257"/>
  </cols>
  <sheetData>
    <row r="1" spans="1:22" ht="15" customHeight="1" x14ac:dyDescent="0.2">
      <c r="A1" s="257" t="s">
        <v>751</v>
      </c>
    </row>
    <row r="2" spans="1:22" ht="12.75" customHeight="1" x14ac:dyDescent="0.2">
      <c r="A2" s="322" t="s">
        <v>10</v>
      </c>
    </row>
    <row r="3" spans="1:22" ht="12.75" customHeight="1" x14ac:dyDescent="0.2">
      <c r="A3" s="321" t="s">
        <v>1098</v>
      </c>
      <c r="B3" s="45" t="s">
        <v>623</v>
      </c>
      <c r="C3" s="45" t="s">
        <v>624</v>
      </c>
      <c r="D3" s="45" t="s">
        <v>625</v>
      </c>
      <c r="E3" s="45" t="s">
        <v>349</v>
      </c>
      <c r="F3" s="45" t="s">
        <v>626</v>
      </c>
      <c r="G3" s="45" t="s">
        <v>23</v>
      </c>
      <c r="H3" s="44" t="s">
        <v>387</v>
      </c>
      <c r="I3" s="44" t="s">
        <v>752</v>
      </c>
      <c r="J3" s="44" t="s">
        <v>753</v>
      </c>
      <c r="K3" s="44" t="s">
        <v>754</v>
      </c>
      <c r="L3" s="44" t="s">
        <v>755</v>
      </c>
      <c r="M3" s="44" t="s">
        <v>756</v>
      </c>
      <c r="N3" s="44" t="s">
        <v>757</v>
      </c>
      <c r="O3" s="44" t="s">
        <v>758</v>
      </c>
      <c r="P3" s="44" t="s">
        <v>759</v>
      </c>
      <c r="Q3" s="44" t="s">
        <v>760</v>
      </c>
      <c r="R3" s="44" t="s">
        <v>761</v>
      </c>
      <c r="S3" s="44" t="s">
        <v>762</v>
      </c>
      <c r="T3" s="44" t="s">
        <v>763</v>
      </c>
      <c r="U3" s="44" t="s">
        <v>764</v>
      </c>
      <c r="V3" s="44" t="s">
        <v>765</v>
      </c>
    </row>
    <row r="4" spans="1:22" ht="12.75" customHeight="1" x14ac:dyDescent="0.2">
      <c r="B4" s="222" t="s">
        <v>24</v>
      </c>
      <c r="C4" s="222" t="s">
        <v>25</v>
      </c>
      <c r="D4" s="222" t="s">
        <v>26</v>
      </c>
      <c r="E4" s="222" t="s">
        <v>27</v>
      </c>
      <c r="F4" s="222" t="s">
        <v>28</v>
      </c>
      <c r="G4" s="222" t="s">
        <v>29</v>
      </c>
      <c r="H4" s="222" t="s">
        <v>30</v>
      </c>
      <c r="I4" s="222" t="s">
        <v>31</v>
      </c>
      <c r="J4" s="222" t="s">
        <v>32</v>
      </c>
      <c r="K4" s="222" t="s">
        <v>33</v>
      </c>
      <c r="L4" s="222" t="s">
        <v>34</v>
      </c>
      <c r="M4" s="222" t="s">
        <v>35</v>
      </c>
      <c r="N4" s="222" t="s">
        <v>36</v>
      </c>
      <c r="O4" s="222" t="s">
        <v>37</v>
      </c>
      <c r="P4" s="222" t="s">
        <v>38</v>
      </c>
      <c r="Q4" s="222" t="s">
        <v>152</v>
      </c>
      <c r="R4" s="222" t="s">
        <v>153</v>
      </c>
      <c r="S4" s="222" t="s">
        <v>154</v>
      </c>
      <c r="T4" s="222" t="s">
        <v>155</v>
      </c>
      <c r="U4" s="222" t="s">
        <v>156</v>
      </c>
      <c r="V4" s="222" t="s">
        <v>157</v>
      </c>
    </row>
    <row r="5" spans="1:22" ht="12.75" customHeight="1" x14ac:dyDescent="0.2">
      <c r="B5" s="43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spans="1:22" ht="12.75" customHeight="1" x14ac:dyDescent="0.2">
      <c r="A6" s="222">
        <v>1</v>
      </c>
      <c r="B6" s="259">
        <v>400</v>
      </c>
      <c r="C6" s="259">
        <v>480061</v>
      </c>
      <c r="D6" s="259" t="s">
        <v>629</v>
      </c>
      <c r="E6" s="178"/>
      <c r="F6" s="185"/>
      <c r="G6" s="259" t="s">
        <v>766</v>
      </c>
      <c r="H6" s="260">
        <f t="shared" ref="H6:H27" si="0">+SUM(I6:T6)</f>
        <v>965668</v>
      </c>
      <c r="I6" s="261">
        <v>595435</v>
      </c>
      <c r="J6" s="261">
        <v>-1537061</v>
      </c>
      <c r="K6" s="261">
        <v>4076928</v>
      </c>
      <c r="L6" s="261">
        <v>985620</v>
      </c>
      <c r="M6" s="261">
        <v>354917</v>
      </c>
      <c r="N6" s="261">
        <v>715863</v>
      </c>
      <c r="O6" s="261">
        <v>8342</v>
      </c>
      <c r="P6" s="261">
        <v>72362</v>
      </c>
      <c r="Q6" s="261">
        <v>-103365</v>
      </c>
      <c r="R6" s="261">
        <v>-1113899</v>
      </c>
      <c r="S6" s="261">
        <v>-2211095</v>
      </c>
      <c r="T6" s="261">
        <v>-878379</v>
      </c>
      <c r="U6" s="262"/>
      <c r="V6" s="262"/>
    </row>
    <row r="7" spans="1:22" ht="12.75" customHeight="1" x14ac:dyDescent="0.2">
      <c r="A7" s="222">
        <f t="shared" ref="A7:A27" si="1">A6+1</f>
        <v>2</v>
      </c>
      <c r="B7" s="259">
        <v>400</v>
      </c>
      <c r="C7" s="259">
        <v>480081</v>
      </c>
      <c r="D7" s="259" t="s">
        <v>630</v>
      </c>
      <c r="E7" s="178" t="s">
        <v>631</v>
      </c>
      <c r="F7" s="185">
        <v>1</v>
      </c>
      <c r="G7" s="259" t="s">
        <v>7</v>
      </c>
      <c r="H7" s="260">
        <f>+SUM(I7:T7)</f>
        <v>-204141</v>
      </c>
      <c r="I7" s="261">
        <v>-35481</v>
      </c>
      <c r="J7" s="261">
        <v>-45256</v>
      </c>
      <c r="K7" s="261">
        <v>-25208</v>
      </c>
      <c r="L7" s="261">
        <v>-18975</v>
      </c>
      <c r="M7" s="261">
        <v>-11399</v>
      </c>
      <c r="N7" s="261">
        <v>-2311</v>
      </c>
      <c r="O7" s="261">
        <v>-1705</v>
      </c>
      <c r="P7" s="261">
        <v>-1843</v>
      </c>
      <c r="Q7" s="261">
        <v>-1805</v>
      </c>
      <c r="R7" s="261">
        <v>-6480</v>
      </c>
      <c r="S7" s="261">
        <v>-28396</v>
      </c>
      <c r="T7" s="261">
        <v>-25282</v>
      </c>
      <c r="U7" s="263">
        <v>-22702.76</v>
      </c>
      <c r="V7" s="263">
        <v>-38066.81</v>
      </c>
    </row>
    <row r="8" spans="1:22" ht="12.75" customHeight="1" x14ac:dyDescent="0.2">
      <c r="A8" s="222">
        <f t="shared" si="1"/>
        <v>3</v>
      </c>
      <c r="B8" s="259">
        <v>400</v>
      </c>
      <c r="C8" s="259">
        <v>480081</v>
      </c>
      <c r="D8" s="259" t="s">
        <v>630</v>
      </c>
      <c r="E8" s="178" t="s">
        <v>632</v>
      </c>
      <c r="F8" s="185">
        <v>1</v>
      </c>
      <c r="G8" s="259" t="s">
        <v>7</v>
      </c>
      <c r="H8" s="260">
        <f t="shared" si="0"/>
        <v>-58167188</v>
      </c>
      <c r="I8" s="261">
        <v>-9883275</v>
      </c>
      <c r="J8" s="261">
        <v>-11251815</v>
      </c>
      <c r="K8" s="261">
        <v>-10648173</v>
      </c>
      <c r="L8" s="261">
        <v>-5147708</v>
      </c>
      <c r="M8" s="261">
        <v>-3214153</v>
      </c>
      <c r="N8" s="261">
        <v>-1598972</v>
      </c>
      <c r="O8" s="261">
        <v>-1049459</v>
      </c>
      <c r="P8" s="261">
        <v>-1020502</v>
      </c>
      <c r="Q8" s="261">
        <v>-1002068</v>
      </c>
      <c r="R8" s="261">
        <v>-1335633</v>
      </c>
      <c r="S8" s="261">
        <v>-3943157</v>
      </c>
      <c r="T8" s="261">
        <v>-8072273</v>
      </c>
      <c r="U8" s="263">
        <v>-6040147.9900000002</v>
      </c>
      <c r="V8" s="263">
        <v>-11863474.369999999</v>
      </c>
    </row>
    <row r="9" spans="1:22" ht="12.75" customHeight="1" x14ac:dyDescent="0.2">
      <c r="A9" s="222">
        <f t="shared" si="1"/>
        <v>4</v>
      </c>
      <c r="B9" s="259">
        <v>400</v>
      </c>
      <c r="C9" s="259">
        <v>481061</v>
      </c>
      <c r="D9" s="259" t="s">
        <v>633</v>
      </c>
      <c r="E9" s="178"/>
      <c r="F9" s="185"/>
      <c r="G9" s="259" t="s">
        <v>766</v>
      </c>
      <c r="H9" s="260">
        <f t="shared" si="0"/>
        <v>817716</v>
      </c>
      <c r="I9" s="261">
        <v>499307</v>
      </c>
      <c r="J9" s="261">
        <v>-590363</v>
      </c>
      <c r="K9" s="261">
        <v>2399200</v>
      </c>
      <c r="L9" s="261">
        <v>540910</v>
      </c>
      <c r="M9" s="261">
        <v>293669</v>
      </c>
      <c r="N9" s="261">
        <v>412324</v>
      </c>
      <c r="O9" s="261">
        <v>-83307</v>
      </c>
      <c r="P9" s="261">
        <v>82078</v>
      </c>
      <c r="Q9" s="261">
        <v>-89331</v>
      </c>
      <c r="R9" s="261">
        <v>-999976</v>
      </c>
      <c r="S9" s="261">
        <v>-1303956</v>
      </c>
      <c r="T9" s="261">
        <v>-342839</v>
      </c>
      <c r="U9" s="262"/>
      <c r="V9" s="262"/>
    </row>
    <row r="10" spans="1:22" ht="12.75" customHeight="1" x14ac:dyDescent="0.2">
      <c r="A10" s="222">
        <f t="shared" si="1"/>
        <v>5</v>
      </c>
      <c r="B10" s="259">
        <v>400</v>
      </c>
      <c r="C10" s="259">
        <v>481081</v>
      </c>
      <c r="D10" s="259" t="s">
        <v>634</v>
      </c>
      <c r="E10" s="178" t="s">
        <v>635</v>
      </c>
      <c r="F10" s="185">
        <v>3</v>
      </c>
      <c r="G10" s="259" t="s">
        <v>7</v>
      </c>
      <c r="H10" s="260">
        <f t="shared" si="0"/>
        <v>-788247</v>
      </c>
      <c r="I10" s="261">
        <v>-98934</v>
      </c>
      <c r="J10" s="261">
        <v>-99668</v>
      </c>
      <c r="K10" s="261">
        <v>-82402</v>
      </c>
      <c r="L10" s="261">
        <v>-78781</v>
      </c>
      <c r="M10" s="261">
        <v>-65573</v>
      </c>
      <c r="N10" s="261">
        <v>-51651</v>
      </c>
      <c r="O10" s="261">
        <v>-37967</v>
      </c>
      <c r="P10" s="261">
        <v>-40122</v>
      </c>
      <c r="Q10" s="261">
        <v>-40249</v>
      </c>
      <c r="R10" s="261">
        <v>-47135</v>
      </c>
      <c r="S10" s="261">
        <v>-61449</v>
      </c>
      <c r="T10" s="261">
        <v>-84316</v>
      </c>
      <c r="U10" s="263">
        <v>-30686.86</v>
      </c>
      <c r="V10" s="263">
        <v>-45753.41</v>
      </c>
    </row>
    <row r="11" spans="1:22" ht="12.75" customHeight="1" x14ac:dyDescent="0.2">
      <c r="A11" s="222">
        <f t="shared" si="1"/>
        <v>6</v>
      </c>
      <c r="B11" s="259">
        <v>400</v>
      </c>
      <c r="C11" s="259">
        <v>481081</v>
      </c>
      <c r="D11" s="259" t="s">
        <v>634</v>
      </c>
      <c r="E11" s="178" t="s">
        <v>636</v>
      </c>
      <c r="F11" s="185">
        <v>2</v>
      </c>
      <c r="G11" s="259" t="s">
        <v>7</v>
      </c>
      <c r="H11" s="260">
        <f t="shared" si="0"/>
        <v>-22496491</v>
      </c>
      <c r="I11" s="261">
        <v>-3792256</v>
      </c>
      <c r="J11" s="261">
        <v>-3646387</v>
      </c>
      <c r="K11" s="261">
        <v>-3705146</v>
      </c>
      <c r="L11" s="261">
        <v>-2156993</v>
      </c>
      <c r="M11" s="261">
        <v>-1304637</v>
      </c>
      <c r="N11" s="261">
        <v>-800562</v>
      </c>
      <c r="O11" s="261">
        <v>-644548</v>
      </c>
      <c r="P11" s="261">
        <v>-596713</v>
      </c>
      <c r="Q11" s="261">
        <v>-595647</v>
      </c>
      <c r="R11" s="261">
        <v>-761979</v>
      </c>
      <c r="S11" s="261">
        <v>-1685897</v>
      </c>
      <c r="T11" s="261">
        <v>-2805726</v>
      </c>
      <c r="U11" s="263">
        <v>-1718521.85</v>
      </c>
      <c r="V11" s="263">
        <v>-3629628.95</v>
      </c>
    </row>
    <row r="12" spans="1:22" ht="12.75" customHeight="1" x14ac:dyDescent="0.2">
      <c r="A12" s="222">
        <f t="shared" si="1"/>
        <v>7</v>
      </c>
      <c r="B12" s="259">
        <v>400</v>
      </c>
      <c r="C12" s="259">
        <v>481081</v>
      </c>
      <c r="D12" s="259" t="s">
        <v>634</v>
      </c>
      <c r="E12" s="178" t="s">
        <v>631</v>
      </c>
      <c r="F12" s="185">
        <v>1</v>
      </c>
      <c r="G12" s="259" t="s">
        <v>7</v>
      </c>
      <c r="H12" s="260">
        <f t="shared" si="0"/>
        <v>-28630</v>
      </c>
      <c r="I12" s="261">
        <v>-2650</v>
      </c>
      <c r="J12" s="261">
        <v>-3559</v>
      </c>
      <c r="K12" s="261">
        <v>-1992</v>
      </c>
      <c r="L12" s="261">
        <v>-989</v>
      </c>
      <c r="M12" s="261">
        <v>-753</v>
      </c>
      <c r="N12" s="261">
        <v>-1839</v>
      </c>
      <c r="O12" s="261">
        <v>-2876</v>
      </c>
      <c r="P12" s="261">
        <v>-6069</v>
      </c>
      <c r="Q12" s="261">
        <v>-3061</v>
      </c>
      <c r="R12" s="261">
        <v>-1204</v>
      </c>
      <c r="S12" s="261">
        <v>-1240</v>
      </c>
      <c r="T12" s="261">
        <v>-2398</v>
      </c>
      <c r="U12" s="263">
        <v>-1674.5</v>
      </c>
      <c r="V12" s="263">
        <v>-3539.44</v>
      </c>
    </row>
    <row r="13" spans="1:22" ht="12.75" customHeight="1" x14ac:dyDescent="0.2">
      <c r="A13" s="222">
        <f t="shared" si="1"/>
        <v>8</v>
      </c>
      <c r="B13" s="259">
        <v>400</v>
      </c>
      <c r="C13" s="259">
        <v>481081</v>
      </c>
      <c r="D13" s="259" t="s">
        <v>634</v>
      </c>
      <c r="E13" s="178" t="s">
        <v>637</v>
      </c>
      <c r="F13" s="185">
        <v>1</v>
      </c>
      <c r="G13" s="259" t="s">
        <v>7</v>
      </c>
      <c r="H13" s="260">
        <f t="shared" si="0"/>
        <v>-17993</v>
      </c>
      <c r="I13" s="261"/>
      <c r="J13" s="261"/>
      <c r="K13" s="261"/>
      <c r="L13" s="261"/>
      <c r="M13" s="261">
        <v>-2117</v>
      </c>
      <c r="N13" s="261">
        <v>-4231</v>
      </c>
      <c r="O13" s="261">
        <v>-3541</v>
      </c>
      <c r="P13" s="261">
        <v>-3195</v>
      </c>
      <c r="Q13" s="261">
        <v>-1976</v>
      </c>
      <c r="R13" s="261">
        <v>-2104</v>
      </c>
      <c r="S13" s="261">
        <v>-2176</v>
      </c>
      <c r="T13" s="261">
        <v>1347</v>
      </c>
      <c r="U13" s="263">
        <v>-100</v>
      </c>
      <c r="V13" s="263">
        <v>1562.09</v>
      </c>
    </row>
    <row r="14" spans="1:22" ht="12.75" customHeight="1" x14ac:dyDescent="0.2">
      <c r="A14" s="222">
        <f t="shared" si="1"/>
        <v>9</v>
      </c>
      <c r="B14" s="259">
        <v>400</v>
      </c>
      <c r="C14" s="259">
        <v>481081</v>
      </c>
      <c r="D14" s="259" t="s">
        <v>634</v>
      </c>
      <c r="E14" s="178" t="s">
        <v>638</v>
      </c>
      <c r="F14" s="185">
        <v>1</v>
      </c>
      <c r="G14" s="259" t="s">
        <v>7</v>
      </c>
      <c r="H14" s="260">
        <f t="shared" si="0"/>
        <v>-120038</v>
      </c>
      <c r="I14" s="261">
        <v>-757</v>
      </c>
      <c r="J14" s="261">
        <v>-307</v>
      </c>
      <c r="K14" s="261">
        <v>-74</v>
      </c>
      <c r="L14" s="261"/>
      <c r="M14" s="261"/>
      <c r="N14" s="261"/>
      <c r="O14" s="261"/>
      <c r="P14" s="261"/>
      <c r="Q14" s="261">
        <v>-14</v>
      </c>
      <c r="R14" s="261">
        <v>-90050</v>
      </c>
      <c r="S14" s="261">
        <v>-21895</v>
      </c>
      <c r="T14" s="261">
        <v>-6941</v>
      </c>
      <c r="U14" s="263">
        <v>-577.19000000000005</v>
      </c>
      <c r="V14" s="263">
        <v>-4509.71</v>
      </c>
    </row>
    <row r="15" spans="1:22" ht="12.75" customHeight="1" x14ac:dyDescent="0.2">
      <c r="A15" s="222">
        <f t="shared" si="1"/>
        <v>10</v>
      </c>
      <c r="B15" s="259">
        <v>400</v>
      </c>
      <c r="C15" s="259">
        <v>481081</v>
      </c>
      <c r="D15" s="259" t="s">
        <v>634</v>
      </c>
      <c r="E15" s="178" t="s">
        <v>632</v>
      </c>
      <c r="F15" s="185">
        <v>1</v>
      </c>
      <c r="G15" s="259" t="s">
        <v>7</v>
      </c>
      <c r="H15" s="260">
        <f t="shared" si="0"/>
        <v>-15827794</v>
      </c>
      <c r="I15" s="261">
        <v>-2785382</v>
      </c>
      <c r="J15" s="261">
        <v>-3107271</v>
      </c>
      <c r="K15" s="261">
        <v>-2997109</v>
      </c>
      <c r="L15" s="261">
        <v>-1320785</v>
      </c>
      <c r="M15" s="261">
        <v>-723018</v>
      </c>
      <c r="N15" s="261">
        <v>-334213</v>
      </c>
      <c r="O15" s="261">
        <v>-265293</v>
      </c>
      <c r="P15" s="261">
        <v>-246810</v>
      </c>
      <c r="Q15" s="261">
        <v>-234189</v>
      </c>
      <c r="R15" s="261">
        <v>-290445</v>
      </c>
      <c r="S15" s="261">
        <v>-1084780</v>
      </c>
      <c r="T15" s="261">
        <v>-2438499</v>
      </c>
      <c r="U15" s="263">
        <v>-1509520.36</v>
      </c>
      <c r="V15" s="263">
        <v>-3378026.78</v>
      </c>
    </row>
    <row r="16" spans="1:22" ht="12.75" customHeight="1" x14ac:dyDescent="0.2">
      <c r="A16" s="222">
        <f t="shared" si="1"/>
        <v>11</v>
      </c>
      <c r="B16" s="259">
        <v>400</v>
      </c>
      <c r="C16" s="259">
        <v>481261</v>
      </c>
      <c r="D16" s="259" t="s">
        <v>639</v>
      </c>
      <c r="E16" s="178"/>
      <c r="F16" s="185"/>
      <c r="G16" s="259" t="s">
        <v>766</v>
      </c>
      <c r="H16" s="260">
        <f t="shared" si="0"/>
        <v>5528</v>
      </c>
      <c r="I16" s="261">
        <v>51522</v>
      </c>
      <c r="J16" s="261">
        <v>-45178</v>
      </c>
      <c r="K16" s="261">
        <v>70242</v>
      </c>
      <c r="L16" s="261">
        <v>15818</v>
      </c>
      <c r="M16" s="261">
        <v>3919</v>
      </c>
      <c r="N16" s="261">
        <v>13109</v>
      </c>
      <c r="O16" s="261">
        <v>867</v>
      </c>
      <c r="P16" s="261">
        <v>1075</v>
      </c>
      <c r="Q16" s="261">
        <v>-5706</v>
      </c>
      <c r="R16" s="261">
        <v>-51216</v>
      </c>
      <c r="S16" s="261">
        <v>-16235</v>
      </c>
      <c r="T16" s="261">
        <v>-32689</v>
      </c>
      <c r="U16" s="262"/>
      <c r="V16" s="262"/>
    </row>
    <row r="17" spans="1:24" ht="12.75" customHeight="1" x14ac:dyDescent="0.2">
      <c r="A17" s="222">
        <f t="shared" si="1"/>
        <v>12</v>
      </c>
      <c r="B17" s="259">
        <v>400</v>
      </c>
      <c r="C17" s="259">
        <v>481281</v>
      </c>
      <c r="D17" s="259" t="s">
        <v>640</v>
      </c>
      <c r="E17" s="178" t="s">
        <v>636</v>
      </c>
      <c r="F17" s="185">
        <v>2</v>
      </c>
      <c r="G17" s="259" t="s">
        <v>7</v>
      </c>
      <c r="H17" s="260">
        <f t="shared" si="0"/>
        <v>-1041719</v>
      </c>
      <c r="I17" s="261">
        <v>-117580</v>
      </c>
      <c r="J17" s="261">
        <v>-175862</v>
      </c>
      <c r="K17" s="261">
        <v>-171343</v>
      </c>
      <c r="L17" s="261">
        <v>-123059</v>
      </c>
      <c r="M17" s="261">
        <v>-63377</v>
      </c>
      <c r="N17" s="261">
        <v>-38297</v>
      </c>
      <c r="O17" s="261">
        <v>-20466</v>
      </c>
      <c r="P17" s="261">
        <v>-23112</v>
      </c>
      <c r="Q17" s="261">
        <v>-24753</v>
      </c>
      <c r="R17" s="261">
        <v>-42708</v>
      </c>
      <c r="S17" s="261">
        <v>-64030</v>
      </c>
      <c r="T17" s="261">
        <v>-177132</v>
      </c>
      <c r="U17" s="263">
        <v>-52400.13</v>
      </c>
      <c r="V17" s="263">
        <v>-226164.76</v>
      </c>
    </row>
    <row r="18" spans="1:24" ht="12.75" customHeight="1" x14ac:dyDescent="0.2">
      <c r="A18" s="222">
        <f t="shared" si="1"/>
        <v>13</v>
      </c>
      <c r="B18" s="259">
        <v>400</v>
      </c>
      <c r="C18" s="259">
        <v>481281</v>
      </c>
      <c r="D18" s="259" t="s">
        <v>640</v>
      </c>
      <c r="E18" s="178" t="s">
        <v>638</v>
      </c>
      <c r="F18" s="185">
        <v>1</v>
      </c>
      <c r="G18" s="259" t="s">
        <v>7</v>
      </c>
      <c r="H18" s="260">
        <f t="shared" si="0"/>
        <v>-137619</v>
      </c>
      <c r="I18" s="261">
        <v>-6600</v>
      </c>
      <c r="J18" s="261">
        <v>-5863</v>
      </c>
      <c r="K18" s="261">
        <v>-9042</v>
      </c>
      <c r="L18" s="261">
        <v>-10552</v>
      </c>
      <c r="M18" s="261">
        <v>-11737</v>
      </c>
      <c r="N18" s="261">
        <v>-11033</v>
      </c>
      <c r="O18" s="261">
        <v>-10793</v>
      </c>
      <c r="P18" s="261">
        <v>-9528</v>
      </c>
      <c r="Q18" s="261">
        <v>-11477</v>
      </c>
      <c r="R18" s="261">
        <v>-14193</v>
      </c>
      <c r="S18" s="261">
        <v>-21020</v>
      </c>
      <c r="T18" s="261">
        <v>-15781</v>
      </c>
      <c r="U18" s="263">
        <v>-2631.74</v>
      </c>
      <c r="V18" s="263">
        <v>-9663.9500000000007</v>
      </c>
    </row>
    <row r="19" spans="1:24" ht="12.75" customHeight="1" x14ac:dyDescent="0.2">
      <c r="A19" s="222">
        <f t="shared" si="1"/>
        <v>14</v>
      </c>
      <c r="B19" s="259">
        <v>400</v>
      </c>
      <c r="C19" s="259">
        <v>481281</v>
      </c>
      <c r="D19" s="259" t="s">
        <v>640</v>
      </c>
      <c r="E19" s="178" t="s">
        <v>632</v>
      </c>
      <c r="F19" s="185">
        <v>1</v>
      </c>
      <c r="G19" s="259" t="s">
        <v>7</v>
      </c>
      <c r="H19" s="260">
        <f t="shared" si="0"/>
        <v>-63437</v>
      </c>
      <c r="I19" s="261">
        <v>-20642</v>
      </c>
      <c r="J19" s="261">
        <v>-21611</v>
      </c>
      <c r="K19" s="261">
        <v>-24541</v>
      </c>
      <c r="L19" s="261">
        <v>24554</v>
      </c>
      <c r="M19" s="261">
        <v>-2020</v>
      </c>
      <c r="N19" s="261">
        <v>-483</v>
      </c>
      <c r="O19" s="261">
        <v>-278</v>
      </c>
      <c r="P19" s="261">
        <v>-382</v>
      </c>
      <c r="Q19" s="261">
        <v>-293</v>
      </c>
      <c r="R19" s="261">
        <v>-398</v>
      </c>
      <c r="S19" s="261">
        <v>-5012</v>
      </c>
      <c r="T19" s="261">
        <v>-12331</v>
      </c>
      <c r="U19" s="263">
        <v>-10381.52</v>
      </c>
      <c r="V19" s="263">
        <v>-16811.55</v>
      </c>
    </row>
    <row r="20" spans="1:24" ht="12.75" customHeight="1" x14ac:dyDescent="0.2">
      <c r="A20" s="222">
        <f t="shared" si="1"/>
        <v>15</v>
      </c>
      <c r="B20" s="259">
        <v>400</v>
      </c>
      <c r="C20" s="259">
        <v>481282</v>
      </c>
      <c r="D20" s="259" t="s">
        <v>641</v>
      </c>
      <c r="E20" s="178"/>
      <c r="F20" s="185"/>
      <c r="G20" s="259" t="s">
        <v>766</v>
      </c>
      <c r="H20" s="260">
        <f t="shared" si="0"/>
        <v>-4658818</v>
      </c>
      <c r="I20" s="261">
        <v>-458858</v>
      </c>
      <c r="J20" s="261">
        <v>-326212</v>
      </c>
      <c r="K20" s="261">
        <v>-129184</v>
      </c>
      <c r="L20" s="261">
        <v>-361923</v>
      </c>
      <c r="M20" s="261">
        <v>-485864</v>
      </c>
      <c r="N20" s="261">
        <v>-324768</v>
      </c>
      <c r="O20" s="261">
        <v>-390106</v>
      </c>
      <c r="P20" s="261">
        <v>-463530</v>
      </c>
      <c r="Q20" s="261">
        <v>-407613</v>
      </c>
      <c r="R20" s="261">
        <v>-318036</v>
      </c>
      <c r="S20" s="261">
        <v>-469035</v>
      </c>
      <c r="T20" s="261">
        <v>-523689</v>
      </c>
      <c r="U20" s="262"/>
      <c r="V20" s="262"/>
    </row>
    <row r="21" spans="1:24" ht="12.75" customHeight="1" x14ac:dyDescent="0.2">
      <c r="A21" s="222">
        <f t="shared" si="1"/>
        <v>16</v>
      </c>
      <c r="B21" s="259">
        <v>400</v>
      </c>
      <c r="C21" s="259">
        <v>489081</v>
      </c>
      <c r="D21" s="259" t="s">
        <v>642</v>
      </c>
      <c r="E21" s="178"/>
      <c r="F21" s="185"/>
      <c r="G21" s="259" t="s">
        <v>766</v>
      </c>
      <c r="H21" s="260">
        <f t="shared" si="0"/>
        <v>-588840</v>
      </c>
      <c r="I21" s="261">
        <v>-214213</v>
      </c>
      <c r="J21" s="261">
        <v>-176061</v>
      </c>
      <c r="K21" s="261">
        <v>1241721</v>
      </c>
      <c r="L21" s="261">
        <v>583771</v>
      </c>
      <c r="M21" s="261">
        <v>753184</v>
      </c>
      <c r="N21" s="261">
        <v>440845</v>
      </c>
      <c r="O21" s="261">
        <v>20519</v>
      </c>
      <c r="P21" s="261">
        <v>-187736</v>
      </c>
      <c r="Q21" s="261">
        <v>-107951</v>
      </c>
      <c r="R21" s="261">
        <v>-686526</v>
      </c>
      <c r="S21" s="261">
        <v>-969342</v>
      </c>
      <c r="T21" s="261">
        <v>-1287051</v>
      </c>
      <c r="U21" s="262"/>
      <c r="V21" s="262"/>
    </row>
    <row r="22" spans="1:24" ht="12.75" customHeight="1" x14ac:dyDescent="0.2">
      <c r="A22" s="222">
        <f t="shared" si="1"/>
        <v>17</v>
      </c>
      <c r="B22" s="259">
        <v>400</v>
      </c>
      <c r="C22" s="259">
        <v>489081</v>
      </c>
      <c r="D22" s="259" t="s">
        <v>642</v>
      </c>
      <c r="E22" s="178" t="s">
        <v>643</v>
      </c>
      <c r="F22" s="185">
        <v>3</v>
      </c>
      <c r="G22" s="259" t="s">
        <v>7</v>
      </c>
      <c r="H22" s="260">
        <f t="shared" si="0"/>
        <v>-665633</v>
      </c>
      <c r="I22" s="261">
        <v>-148544</v>
      </c>
      <c r="J22" s="261">
        <v>-160837</v>
      </c>
      <c r="K22" s="261">
        <v>-176172</v>
      </c>
      <c r="L22" s="261">
        <v>-109488</v>
      </c>
      <c r="M22" s="261">
        <v>-66035</v>
      </c>
      <c r="N22" s="261">
        <v>-4557</v>
      </c>
      <c r="O22" s="261"/>
      <c r="P22" s="261"/>
      <c r="Q22" s="261"/>
      <c r="R22" s="261"/>
      <c r="S22" s="261"/>
      <c r="T22" s="261"/>
      <c r="U22" s="261">
        <v>-148544</v>
      </c>
      <c r="V22" s="262"/>
      <c r="X22" s="145"/>
    </row>
    <row r="23" spans="1:24" ht="12.75" customHeight="1" x14ac:dyDescent="0.2">
      <c r="A23" s="222">
        <f t="shared" si="1"/>
        <v>18</v>
      </c>
      <c r="B23" s="259">
        <v>400</v>
      </c>
      <c r="C23" s="259">
        <v>489081</v>
      </c>
      <c r="D23" s="259" t="s">
        <v>642</v>
      </c>
      <c r="E23" s="178" t="s">
        <v>644</v>
      </c>
      <c r="F23" s="185">
        <v>3</v>
      </c>
      <c r="G23" s="259" t="s">
        <v>7</v>
      </c>
      <c r="H23" s="260">
        <f t="shared" si="0"/>
        <v>-31214361</v>
      </c>
      <c r="I23" s="261">
        <v>-3169513</v>
      </c>
      <c r="J23" s="261">
        <v>-3268066</v>
      </c>
      <c r="K23" s="261">
        <v>-3112756</v>
      </c>
      <c r="L23" s="261">
        <v>-2881364</v>
      </c>
      <c r="M23" s="261">
        <v>-2660930</v>
      </c>
      <c r="N23" s="261">
        <v>-2318583</v>
      </c>
      <c r="O23" s="261">
        <v>-2061525</v>
      </c>
      <c r="P23" s="261">
        <v>-2075024</v>
      </c>
      <c r="Q23" s="261">
        <v>-2172268</v>
      </c>
      <c r="R23" s="261">
        <v>-2225038</v>
      </c>
      <c r="S23" s="261">
        <v>-2529625</v>
      </c>
      <c r="T23" s="261">
        <v>-2739669</v>
      </c>
      <c r="U23" s="263">
        <v>-119205.38</v>
      </c>
      <c r="V23" s="263">
        <v>-103038.95</v>
      </c>
      <c r="X23" s="145"/>
    </row>
    <row r="24" spans="1:24" ht="12.75" customHeight="1" x14ac:dyDescent="0.2">
      <c r="A24" s="222">
        <f t="shared" si="1"/>
        <v>19</v>
      </c>
      <c r="B24" s="259">
        <v>400</v>
      </c>
      <c r="C24" s="259">
        <v>489081</v>
      </c>
      <c r="D24" s="259" t="s">
        <v>642</v>
      </c>
      <c r="E24" s="178" t="s">
        <v>645</v>
      </c>
      <c r="F24" s="185">
        <v>2</v>
      </c>
      <c r="G24" s="259" t="s">
        <v>7</v>
      </c>
      <c r="H24" s="260">
        <f t="shared" si="0"/>
        <v>-8353639</v>
      </c>
      <c r="I24" s="261">
        <v>-1093544</v>
      </c>
      <c r="J24" s="261">
        <v>-1164794</v>
      </c>
      <c r="K24" s="261">
        <v>-1243832</v>
      </c>
      <c r="L24" s="261">
        <v>-719533</v>
      </c>
      <c r="M24" s="261">
        <v>-457493</v>
      </c>
      <c r="N24" s="261">
        <v>-321252</v>
      </c>
      <c r="O24" s="261">
        <v>-282753</v>
      </c>
      <c r="P24" s="261">
        <v>-284260</v>
      </c>
      <c r="Q24" s="261">
        <v>-324066</v>
      </c>
      <c r="R24" s="261">
        <v>-373177</v>
      </c>
      <c r="S24" s="261">
        <v>-772706</v>
      </c>
      <c r="T24" s="261">
        <v>-1316229</v>
      </c>
      <c r="U24" s="263">
        <v>-108863.21</v>
      </c>
      <c r="V24" s="263">
        <v>-138233.23000000001</v>
      </c>
      <c r="X24" s="145"/>
    </row>
    <row r="25" spans="1:24" ht="12.75" customHeight="1" x14ac:dyDescent="0.2">
      <c r="A25" s="222">
        <f t="shared" si="1"/>
        <v>20</v>
      </c>
      <c r="B25" s="259">
        <v>400</v>
      </c>
      <c r="C25" s="259">
        <v>489081</v>
      </c>
      <c r="D25" s="259" t="s">
        <v>642</v>
      </c>
      <c r="E25" s="178" t="s">
        <v>646</v>
      </c>
      <c r="F25" s="185">
        <v>2</v>
      </c>
      <c r="G25" s="259" t="s">
        <v>7</v>
      </c>
      <c r="H25" s="260">
        <f t="shared" si="0"/>
        <v>-8400354</v>
      </c>
      <c r="I25" s="261">
        <v>-1076809</v>
      </c>
      <c r="J25" s="261">
        <v>-1107191</v>
      </c>
      <c r="K25" s="261">
        <v>-1240397</v>
      </c>
      <c r="L25" s="261">
        <v>-812845</v>
      </c>
      <c r="M25" s="261">
        <v>-652566</v>
      </c>
      <c r="N25" s="261">
        <v>-483486</v>
      </c>
      <c r="O25" s="261">
        <v>-372632</v>
      </c>
      <c r="P25" s="261">
        <v>-360112</v>
      </c>
      <c r="Q25" s="261">
        <v>-413904</v>
      </c>
      <c r="R25" s="261">
        <v>-432611</v>
      </c>
      <c r="S25" s="261">
        <v>-593929</v>
      </c>
      <c r="T25" s="261">
        <v>-853872</v>
      </c>
      <c r="U25" s="263">
        <v>-80383.72</v>
      </c>
      <c r="V25" s="263">
        <v>-63741.51</v>
      </c>
      <c r="X25" s="145"/>
    </row>
    <row r="26" spans="1:24" ht="12.75" customHeight="1" x14ac:dyDescent="0.2">
      <c r="A26" s="222">
        <f t="shared" si="1"/>
        <v>21</v>
      </c>
      <c r="B26" s="259">
        <v>400</v>
      </c>
      <c r="C26" s="259">
        <v>489081</v>
      </c>
      <c r="D26" s="259" t="s">
        <v>642</v>
      </c>
      <c r="E26" s="178" t="s">
        <v>647</v>
      </c>
      <c r="F26" s="185">
        <v>1</v>
      </c>
      <c r="G26" s="259" t="s">
        <v>7</v>
      </c>
      <c r="H26" s="260">
        <f t="shared" si="0"/>
        <v>-479741</v>
      </c>
      <c r="I26" s="261">
        <v>-65629</v>
      </c>
      <c r="J26" s="261">
        <v>-64793</v>
      </c>
      <c r="K26" s="261">
        <v>-74248</v>
      </c>
      <c r="L26" s="261">
        <v>-30143</v>
      </c>
      <c r="M26" s="261">
        <v>-23132</v>
      </c>
      <c r="N26" s="261">
        <v>-29760</v>
      </c>
      <c r="O26" s="261">
        <v>-21221</v>
      </c>
      <c r="P26" s="261">
        <v>-11307</v>
      </c>
      <c r="Q26" s="261">
        <v>-16658</v>
      </c>
      <c r="R26" s="261">
        <v>-23733</v>
      </c>
      <c r="S26" s="261">
        <v>-38825</v>
      </c>
      <c r="T26" s="261">
        <v>-80292</v>
      </c>
      <c r="U26" s="263">
        <v>-13050.3</v>
      </c>
      <c r="V26" s="263">
        <v>-15586</v>
      </c>
      <c r="X26" s="145"/>
    </row>
    <row r="27" spans="1:24" ht="12.75" customHeight="1" x14ac:dyDescent="0.2">
      <c r="A27" s="222">
        <f t="shared" si="1"/>
        <v>22</v>
      </c>
      <c r="B27" s="259">
        <v>400</v>
      </c>
      <c r="C27" s="259">
        <v>489081</v>
      </c>
      <c r="D27" s="259" t="s">
        <v>642</v>
      </c>
      <c r="E27" s="178" t="s">
        <v>648</v>
      </c>
      <c r="F27" s="185">
        <v>1</v>
      </c>
      <c r="G27" s="259" t="s">
        <v>7</v>
      </c>
      <c r="H27" s="260">
        <f t="shared" si="0"/>
        <v>-12325</v>
      </c>
      <c r="I27" s="261">
        <v>-2075</v>
      </c>
      <c r="J27" s="261">
        <v>-2198</v>
      </c>
      <c r="K27" s="261">
        <v>-2386</v>
      </c>
      <c r="L27" s="261">
        <v>-1248</v>
      </c>
      <c r="M27" s="261">
        <v>-1311</v>
      </c>
      <c r="N27" s="261">
        <v>-587</v>
      </c>
      <c r="O27" s="261">
        <v>-395</v>
      </c>
      <c r="P27" s="261">
        <v>-455</v>
      </c>
      <c r="Q27" s="261">
        <v>-467</v>
      </c>
      <c r="R27" s="261">
        <v>-507</v>
      </c>
      <c r="S27" s="261">
        <v>-696</v>
      </c>
      <c r="T27" s="261"/>
      <c r="U27" s="263">
        <v>-290.94</v>
      </c>
      <c r="V27" s="262">
        <v>0</v>
      </c>
      <c r="X27" s="145"/>
    </row>
    <row r="28" spans="1:24" ht="12.75" customHeight="1" x14ac:dyDescent="0.2"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X28" s="145"/>
    </row>
    <row r="29" spans="1:24" ht="12.75" customHeight="1" x14ac:dyDescent="0.2">
      <c r="A29" s="222">
        <f>A27+1</f>
        <v>23</v>
      </c>
      <c r="D29" s="257" t="s">
        <v>767</v>
      </c>
      <c r="F29" s="185">
        <v>1</v>
      </c>
      <c r="I29" s="9">
        <f t="shared" ref="I29:T31" si="2">-SUMIF($F$6:$F$27,$F29,I$6:I$27)</f>
        <v>12802491</v>
      </c>
      <c r="J29" s="9">
        <f t="shared" si="2"/>
        <v>14502673</v>
      </c>
      <c r="K29" s="9">
        <f t="shared" si="2"/>
        <v>13782773</v>
      </c>
      <c r="L29" s="9">
        <f t="shared" si="2"/>
        <v>6505846</v>
      </c>
      <c r="M29" s="9">
        <f t="shared" si="2"/>
        <v>3989640</v>
      </c>
      <c r="N29" s="9">
        <f t="shared" si="2"/>
        <v>1983429</v>
      </c>
      <c r="O29" s="9">
        <f t="shared" si="2"/>
        <v>1355561</v>
      </c>
      <c r="P29" s="9">
        <f t="shared" si="2"/>
        <v>1300091</v>
      </c>
      <c r="Q29" s="9">
        <f t="shared" si="2"/>
        <v>1272008</v>
      </c>
      <c r="R29" s="9">
        <f t="shared" si="2"/>
        <v>1764747</v>
      </c>
      <c r="S29" s="9">
        <f t="shared" si="2"/>
        <v>5147197</v>
      </c>
      <c r="T29" s="9">
        <f t="shared" si="2"/>
        <v>10652450</v>
      </c>
      <c r="X29" s="145"/>
    </row>
    <row r="30" spans="1:24" ht="12.75" customHeight="1" x14ac:dyDescent="0.2">
      <c r="A30" s="222">
        <f>A29+1</f>
        <v>24</v>
      </c>
      <c r="D30" s="257" t="s">
        <v>768</v>
      </c>
      <c r="F30" s="185">
        <v>2</v>
      </c>
      <c r="I30" s="9">
        <f t="shared" si="2"/>
        <v>6080189</v>
      </c>
      <c r="J30" s="9">
        <f t="shared" si="2"/>
        <v>6094234</v>
      </c>
      <c r="K30" s="9">
        <f t="shared" si="2"/>
        <v>6360718</v>
      </c>
      <c r="L30" s="9">
        <f t="shared" si="2"/>
        <v>3812430</v>
      </c>
      <c r="M30" s="9">
        <f t="shared" si="2"/>
        <v>2478073</v>
      </c>
      <c r="N30" s="9">
        <f t="shared" si="2"/>
        <v>1643597</v>
      </c>
      <c r="O30" s="9">
        <f t="shared" si="2"/>
        <v>1320399</v>
      </c>
      <c r="P30" s="9">
        <f t="shared" si="2"/>
        <v>1264197</v>
      </c>
      <c r="Q30" s="9">
        <f t="shared" si="2"/>
        <v>1358370</v>
      </c>
      <c r="R30" s="9">
        <f t="shared" si="2"/>
        <v>1610475</v>
      </c>
      <c r="S30" s="9">
        <f t="shared" si="2"/>
        <v>3116562</v>
      </c>
      <c r="T30" s="9">
        <f t="shared" si="2"/>
        <v>5152959</v>
      </c>
      <c r="X30" s="145"/>
    </row>
    <row r="31" spans="1:24" ht="12.75" customHeight="1" x14ac:dyDescent="0.2">
      <c r="A31" s="222">
        <f>A30+1</f>
        <v>25</v>
      </c>
      <c r="D31" s="257" t="s">
        <v>769</v>
      </c>
      <c r="F31" s="185">
        <v>3</v>
      </c>
      <c r="I31" s="9">
        <f t="shared" si="2"/>
        <v>3416991</v>
      </c>
      <c r="J31" s="9">
        <f t="shared" si="2"/>
        <v>3528571</v>
      </c>
      <c r="K31" s="9">
        <f t="shared" si="2"/>
        <v>3371330</v>
      </c>
      <c r="L31" s="9">
        <f t="shared" si="2"/>
        <v>3069633</v>
      </c>
      <c r="M31" s="9">
        <f t="shared" si="2"/>
        <v>2792538</v>
      </c>
      <c r="N31" s="9">
        <f t="shared" si="2"/>
        <v>2374791</v>
      </c>
      <c r="O31" s="9">
        <f t="shared" si="2"/>
        <v>2099492</v>
      </c>
      <c r="P31" s="9">
        <f t="shared" si="2"/>
        <v>2115146</v>
      </c>
      <c r="Q31" s="9">
        <f t="shared" si="2"/>
        <v>2212517</v>
      </c>
      <c r="R31" s="9">
        <f t="shared" si="2"/>
        <v>2272173</v>
      </c>
      <c r="S31" s="9">
        <f t="shared" si="2"/>
        <v>2591074</v>
      </c>
      <c r="T31" s="9">
        <f t="shared" si="2"/>
        <v>2823985</v>
      </c>
      <c r="X31" s="145"/>
    </row>
    <row r="32" spans="1:24" ht="12.75" customHeight="1" x14ac:dyDescent="0.2">
      <c r="X32" s="145"/>
    </row>
    <row r="33" spans="1:20" ht="12.75" customHeight="1" x14ac:dyDescent="0.2">
      <c r="A33" s="222">
        <f>A31+1</f>
        <v>26</v>
      </c>
      <c r="D33" s="257" t="s">
        <v>770</v>
      </c>
      <c r="F33" s="185">
        <v>1</v>
      </c>
      <c r="I33" s="9">
        <f t="shared" ref="I33:T35" si="3">-SUMIF($F$6:$F$19,$F33,I$6:I$19)</f>
        <v>12734787</v>
      </c>
      <c r="J33" s="9">
        <f t="shared" si="3"/>
        <v>14435682</v>
      </c>
      <c r="K33" s="9">
        <f t="shared" si="3"/>
        <v>13706139</v>
      </c>
      <c r="L33" s="9">
        <f t="shared" si="3"/>
        <v>6474455</v>
      </c>
      <c r="M33" s="9">
        <f t="shared" si="3"/>
        <v>3965197</v>
      </c>
      <c r="N33" s="9">
        <f t="shared" si="3"/>
        <v>1953082</v>
      </c>
      <c r="O33" s="9">
        <f t="shared" si="3"/>
        <v>1333945</v>
      </c>
      <c r="P33" s="9">
        <f t="shared" si="3"/>
        <v>1288329</v>
      </c>
      <c r="Q33" s="9">
        <f t="shared" si="3"/>
        <v>1254883</v>
      </c>
      <c r="R33" s="9">
        <f t="shared" si="3"/>
        <v>1740507</v>
      </c>
      <c r="S33" s="9">
        <f t="shared" si="3"/>
        <v>5107676</v>
      </c>
      <c r="T33" s="9">
        <f t="shared" si="3"/>
        <v>10572158</v>
      </c>
    </row>
    <row r="34" spans="1:20" ht="12.75" customHeight="1" x14ac:dyDescent="0.2">
      <c r="A34" s="222">
        <f>A33+1</f>
        <v>27</v>
      </c>
      <c r="D34" s="257" t="s">
        <v>771</v>
      </c>
      <c r="F34" s="185">
        <v>2</v>
      </c>
      <c r="I34" s="9">
        <f t="shared" si="3"/>
        <v>3909836</v>
      </c>
      <c r="J34" s="9">
        <f t="shared" si="3"/>
        <v>3822249</v>
      </c>
      <c r="K34" s="9">
        <f t="shared" si="3"/>
        <v>3876489</v>
      </c>
      <c r="L34" s="9">
        <f t="shared" si="3"/>
        <v>2280052</v>
      </c>
      <c r="M34" s="9">
        <f t="shared" si="3"/>
        <v>1368014</v>
      </c>
      <c r="N34" s="9">
        <f t="shared" si="3"/>
        <v>838859</v>
      </c>
      <c r="O34" s="9">
        <f t="shared" si="3"/>
        <v>665014</v>
      </c>
      <c r="P34" s="9">
        <f t="shared" si="3"/>
        <v>619825</v>
      </c>
      <c r="Q34" s="9">
        <f t="shared" si="3"/>
        <v>620400</v>
      </c>
      <c r="R34" s="9">
        <f t="shared" si="3"/>
        <v>804687</v>
      </c>
      <c r="S34" s="9">
        <f t="shared" si="3"/>
        <v>1749927</v>
      </c>
      <c r="T34" s="9">
        <f t="shared" si="3"/>
        <v>2982858</v>
      </c>
    </row>
    <row r="35" spans="1:20" ht="12.75" customHeight="1" x14ac:dyDescent="0.2">
      <c r="A35" s="222">
        <f>A34+1</f>
        <v>28</v>
      </c>
      <c r="D35" s="257" t="s">
        <v>772</v>
      </c>
      <c r="F35" s="185">
        <v>3</v>
      </c>
      <c r="I35" s="9">
        <f t="shared" si="3"/>
        <v>98934</v>
      </c>
      <c r="J35" s="9">
        <f t="shared" si="3"/>
        <v>99668</v>
      </c>
      <c r="K35" s="9">
        <f t="shared" si="3"/>
        <v>82402</v>
      </c>
      <c r="L35" s="9">
        <f t="shared" si="3"/>
        <v>78781</v>
      </c>
      <c r="M35" s="9">
        <f t="shared" si="3"/>
        <v>65573</v>
      </c>
      <c r="N35" s="9">
        <f t="shared" si="3"/>
        <v>51651</v>
      </c>
      <c r="O35" s="9">
        <f t="shared" si="3"/>
        <v>37967</v>
      </c>
      <c r="P35" s="9">
        <f t="shared" si="3"/>
        <v>40122</v>
      </c>
      <c r="Q35" s="9">
        <f t="shared" si="3"/>
        <v>40249</v>
      </c>
      <c r="R35" s="9">
        <f t="shared" si="3"/>
        <v>47135</v>
      </c>
      <c r="S35" s="9">
        <f t="shared" si="3"/>
        <v>61449</v>
      </c>
      <c r="T35" s="9">
        <f t="shared" si="3"/>
        <v>84316</v>
      </c>
    </row>
    <row r="36" spans="1:20" ht="12.75" customHeight="1" x14ac:dyDescent="0.2"/>
    <row r="37" spans="1:20" ht="12.75" customHeight="1" x14ac:dyDescent="0.2">
      <c r="A37" s="32" t="s">
        <v>652</v>
      </c>
    </row>
    <row r="38" spans="1:20" ht="12.75" customHeight="1" x14ac:dyDescent="0.2">
      <c r="A38" s="32" t="s">
        <v>653</v>
      </c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</row>
    <row r="39" spans="1:20" ht="12.75" customHeight="1" x14ac:dyDescent="0.2">
      <c r="A39" s="32" t="s">
        <v>654</v>
      </c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</row>
    <row r="40" spans="1:20" ht="12.75" customHeight="1" x14ac:dyDescent="0.2"/>
    <row r="41" spans="1:20" ht="12.75" customHeight="1" x14ac:dyDescent="0.2">
      <c r="A41" s="32" t="s">
        <v>83</v>
      </c>
    </row>
    <row r="42" spans="1:20" ht="12.75" customHeight="1" x14ac:dyDescent="0.2">
      <c r="A42" s="32" t="s">
        <v>773</v>
      </c>
    </row>
    <row r="43" spans="1:20" ht="12.75" customHeight="1" x14ac:dyDescent="0.2">
      <c r="A43" s="32" t="s">
        <v>774</v>
      </c>
    </row>
    <row r="44" spans="1:20" ht="15" customHeight="1" x14ac:dyDescent="0.2">
      <c r="A44" s="257" t="s">
        <v>775</v>
      </c>
    </row>
    <row r="45" spans="1:20" ht="15" customHeight="1" x14ac:dyDescent="0.2">
      <c r="A45" s="257" t="s">
        <v>776</v>
      </c>
    </row>
  </sheetData>
  <pageMargins left="0.7" right="0.7" top="1.5083333333333333" bottom="0.75" header="0.3" footer="0.3"/>
  <pageSetup scale="69" fitToWidth="3" fitToHeight="3" pageOrder="overThenDown" orientation="landscape" useFirstPageNumber="1" r:id="rId1"/>
  <headerFooter alignWithMargins="0">
    <oddHeader>&amp;CRULE 20:10:13:98
STATEMENT O WORKPAPER - Tab &amp;A
South Dakota Monthly Sales by Rate Code
Test Year Ending December 31, 2021
Utility: MidAmerican Energy Company
Docket No. NG22-___
Individual Responsible: Amanda Hosch</oddHeader>
    <oddFooter>&amp;C20:10:13:98
Statement O Workpaper - Tab &amp;A
&amp;P of &amp;N</oddFooter>
  </headerFooter>
  <colBreaks count="2" manualBreakCount="2">
    <brk id="10" max="1048575" man="1"/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FF00"/>
  </sheetPr>
  <dimension ref="A1:L54"/>
  <sheetViews>
    <sheetView view="pageLayout" zoomScale="70" zoomScaleNormal="100" zoomScalePageLayoutView="70" workbookViewId="0">
      <selection activeCell="A4" sqref="A4"/>
    </sheetView>
  </sheetViews>
  <sheetFormatPr defaultColWidth="9.140625" defaultRowHeight="14.25" x14ac:dyDescent="0.2"/>
  <cols>
    <col min="1" max="1" width="6.42578125" style="247" customWidth="1"/>
    <col min="2" max="2" width="14.42578125" style="247" customWidth="1"/>
    <col min="3" max="3" width="14.140625" style="247" customWidth="1"/>
    <col min="4" max="4" width="13.85546875" style="247" customWidth="1"/>
    <col min="5" max="5" width="13.7109375" style="247" customWidth="1"/>
    <col min="6" max="6" width="13.5703125" style="247" customWidth="1"/>
    <col min="7" max="8" width="14.42578125" style="247" customWidth="1"/>
    <col min="9" max="9" width="13.85546875" style="247" customWidth="1"/>
    <col min="10" max="10" width="14.140625" style="247" customWidth="1"/>
    <col min="11" max="11" width="13.140625" style="247" customWidth="1"/>
    <col min="12" max="12" width="11.85546875" style="247" customWidth="1"/>
    <col min="13" max="16384" width="9.140625" style="247"/>
  </cols>
  <sheetData>
    <row r="1" spans="1:12" ht="18" x14ac:dyDescent="0.25">
      <c r="A1" s="246" t="s">
        <v>777</v>
      </c>
    </row>
    <row r="3" spans="1:12" x14ac:dyDescent="0.2">
      <c r="C3" s="248" t="s">
        <v>501</v>
      </c>
      <c r="D3" s="248" t="s">
        <v>502</v>
      </c>
      <c r="E3" s="248" t="s">
        <v>503</v>
      </c>
      <c r="F3" s="248"/>
      <c r="G3" s="248" t="s">
        <v>501</v>
      </c>
      <c r="H3" s="248" t="s">
        <v>502</v>
      </c>
      <c r="I3" s="248" t="s">
        <v>503</v>
      </c>
      <c r="J3" s="248"/>
      <c r="K3" s="248"/>
    </row>
    <row r="4" spans="1:12" x14ac:dyDescent="0.2">
      <c r="A4" s="320" t="s">
        <v>10</v>
      </c>
      <c r="B4" s="249"/>
      <c r="C4" s="248" t="s">
        <v>504</v>
      </c>
      <c r="D4" s="248" t="s">
        <v>504</v>
      </c>
      <c r="E4" s="248" t="s">
        <v>504</v>
      </c>
      <c r="F4" s="248" t="s">
        <v>778</v>
      </c>
      <c r="G4" s="248" t="s">
        <v>504</v>
      </c>
      <c r="H4" s="248" t="s">
        <v>504</v>
      </c>
      <c r="I4" s="248" t="s">
        <v>504</v>
      </c>
      <c r="J4" s="248" t="s">
        <v>778</v>
      </c>
      <c r="K4" s="248" t="s">
        <v>779</v>
      </c>
      <c r="L4" s="248" t="s">
        <v>780</v>
      </c>
    </row>
    <row r="5" spans="1:12" x14ac:dyDescent="0.2">
      <c r="A5" s="250" t="s">
        <v>1098</v>
      </c>
      <c r="B5" s="251" t="s">
        <v>781</v>
      </c>
      <c r="C5" s="251" t="s">
        <v>387</v>
      </c>
      <c r="D5" s="251" t="s">
        <v>387</v>
      </c>
      <c r="E5" s="251" t="s">
        <v>387</v>
      </c>
      <c r="F5" s="251" t="s">
        <v>387</v>
      </c>
      <c r="G5" s="251" t="s">
        <v>651</v>
      </c>
      <c r="H5" s="251" t="s">
        <v>651</v>
      </c>
      <c r="I5" s="251" t="s">
        <v>651</v>
      </c>
      <c r="J5" s="251" t="s">
        <v>651</v>
      </c>
      <c r="K5" s="251" t="s">
        <v>782</v>
      </c>
      <c r="L5" s="251" t="s">
        <v>782</v>
      </c>
    </row>
    <row r="6" spans="1:12" x14ac:dyDescent="0.2">
      <c r="A6" s="252"/>
      <c r="B6" s="222" t="s">
        <v>24</v>
      </c>
      <c r="C6" s="222" t="s">
        <v>25</v>
      </c>
      <c r="D6" s="222" t="s">
        <v>26</v>
      </c>
      <c r="E6" s="222" t="s">
        <v>27</v>
      </c>
      <c r="F6" s="222" t="s">
        <v>28</v>
      </c>
      <c r="G6" s="222" t="s">
        <v>29</v>
      </c>
      <c r="H6" s="222" t="s">
        <v>30</v>
      </c>
      <c r="I6" s="222" t="s">
        <v>31</v>
      </c>
      <c r="J6" s="222" t="s">
        <v>32</v>
      </c>
      <c r="K6" s="222" t="s">
        <v>33</v>
      </c>
      <c r="L6" s="253" t="s">
        <v>34</v>
      </c>
    </row>
    <row r="7" spans="1:12" x14ac:dyDescent="0.2">
      <c r="A7" s="252"/>
      <c r="B7" s="222"/>
      <c r="C7" s="222"/>
      <c r="D7" s="222"/>
      <c r="E7" s="222"/>
      <c r="F7" s="222"/>
      <c r="G7" s="222"/>
      <c r="H7" s="222"/>
      <c r="I7" s="222"/>
      <c r="J7" s="222"/>
      <c r="K7" s="222"/>
    </row>
    <row r="8" spans="1:12" x14ac:dyDescent="0.2">
      <c r="A8" s="252">
        <v>1</v>
      </c>
      <c r="B8" s="248">
        <v>0</v>
      </c>
      <c r="C8" s="248"/>
      <c r="D8" s="248"/>
      <c r="E8" s="248"/>
      <c r="F8" s="248"/>
      <c r="G8" s="248"/>
      <c r="H8" s="248"/>
      <c r="I8" s="248"/>
      <c r="J8" s="248"/>
      <c r="K8" s="115">
        <v>1161</v>
      </c>
      <c r="L8" s="254"/>
    </row>
    <row r="9" spans="1:12" x14ac:dyDescent="0.2">
      <c r="A9" s="252">
        <v>2</v>
      </c>
      <c r="B9" s="249">
        <v>1</v>
      </c>
      <c r="C9" s="9">
        <f>'SRC-5 (Monthly Sales)'!$I$29</f>
        <v>12802491</v>
      </c>
      <c r="D9" s="9">
        <f>'SRC-5 (Monthly Sales)'!$I$30</f>
        <v>6080189</v>
      </c>
      <c r="E9" s="9">
        <f>'SRC-5 (Monthly Sales)'!$I$31</f>
        <v>3416991</v>
      </c>
      <c r="F9" s="9">
        <f>SUM(C9:E9)</f>
        <v>22299671</v>
      </c>
      <c r="G9" s="9">
        <f>'SRC-5 (Monthly Sales)'!$I$33</f>
        <v>12734787</v>
      </c>
      <c r="H9" s="9">
        <f>'SRC-5 (Monthly Sales)'!$I$34</f>
        <v>3909836</v>
      </c>
      <c r="I9" s="9">
        <f>'SRC-5 (Monthly Sales)'!$I$35</f>
        <v>98934</v>
      </c>
      <c r="J9" s="9">
        <f>SUM(G9:I9)</f>
        <v>16743557</v>
      </c>
      <c r="K9" s="115">
        <v>1214</v>
      </c>
      <c r="L9" s="9">
        <f>AVERAGE(K8:K9)</f>
        <v>1187.5</v>
      </c>
    </row>
    <row r="10" spans="1:12" x14ac:dyDescent="0.2">
      <c r="A10" s="252">
        <v>3</v>
      </c>
      <c r="B10" s="249">
        <v>2</v>
      </c>
      <c r="C10" s="9">
        <f>'SRC-5 (Monthly Sales)'!$J$29</f>
        <v>14502673</v>
      </c>
      <c r="D10" s="9">
        <f>'SRC-5 (Monthly Sales)'!$J$30</f>
        <v>6094234</v>
      </c>
      <c r="E10" s="9">
        <f>'SRC-5 (Monthly Sales)'!$J$31</f>
        <v>3528571</v>
      </c>
      <c r="F10" s="9">
        <f t="shared" ref="F10:F20" si="0">SUM(C10:E10)</f>
        <v>24125478</v>
      </c>
      <c r="G10" s="9">
        <f>'SRC-5 (Monthly Sales)'!$J$33</f>
        <v>14435682</v>
      </c>
      <c r="H10" s="9">
        <f>'SRC-5 (Monthly Sales)'!$J$34</f>
        <v>3822249</v>
      </c>
      <c r="I10" s="9">
        <f>'SRC-5 (Monthly Sales)'!$J$35</f>
        <v>99668</v>
      </c>
      <c r="J10" s="9">
        <f t="shared" ref="J10:J20" si="1">SUM(G10:I10)</f>
        <v>18357599</v>
      </c>
      <c r="K10" s="115">
        <v>1456</v>
      </c>
      <c r="L10" s="9">
        <f t="shared" ref="L10:L20" si="2">AVERAGE(K9:K10)</f>
        <v>1335</v>
      </c>
    </row>
    <row r="11" spans="1:12" x14ac:dyDescent="0.2">
      <c r="A11" s="252">
        <v>4</v>
      </c>
      <c r="B11" s="249">
        <v>3</v>
      </c>
      <c r="C11" s="9">
        <f>'SRC-5 (Monthly Sales)'!$K$29</f>
        <v>13782773</v>
      </c>
      <c r="D11" s="9">
        <f>'SRC-5 (Monthly Sales)'!$K$30</f>
        <v>6360718</v>
      </c>
      <c r="E11" s="9">
        <f>'SRC-5 (Monthly Sales)'!$K$31</f>
        <v>3371330</v>
      </c>
      <c r="F11" s="9">
        <f t="shared" si="0"/>
        <v>23514821</v>
      </c>
      <c r="G11" s="9">
        <f>'SRC-5 (Monthly Sales)'!$K$33</f>
        <v>13706139</v>
      </c>
      <c r="H11" s="9">
        <f>'SRC-5 (Monthly Sales)'!$K$34</f>
        <v>3876489</v>
      </c>
      <c r="I11" s="9">
        <f>'SRC-5 (Monthly Sales)'!$K$35</f>
        <v>82402</v>
      </c>
      <c r="J11" s="9">
        <f t="shared" si="1"/>
        <v>17665030</v>
      </c>
      <c r="K11" s="115">
        <v>746</v>
      </c>
      <c r="L11" s="9">
        <f t="shared" si="2"/>
        <v>1101</v>
      </c>
    </row>
    <row r="12" spans="1:12" x14ac:dyDescent="0.2">
      <c r="A12" s="252">
        <v>5</v>
      </c>
      <c r="B12" s="249">
        <v>4</v>
      </c>
      <c r="C12" s="9">
        <f>'SRC-5 (Monthly Sales)'!$L$29</f>
        <v>6505846</v>
      </c>
      <c r="D12" s="9">
        <f>'SRC-5 (Monthly Sales)'!$L$30</f>
        <v>3812430</v>
      </c>
      <c r="E12" s="9">
        <f>'SRC-5 (Monthly Sales)'!$L$31</f>
        <v>3069633</v>
      </c>
      <c r="F12" s="9">
        <f t="shared" si="0"/>
        <v>13387909</v>
      </c>
      <c r="G12" s="9">
        <f>'SRC-5 (Monthly Sales)'!$L$33</f>
        <v>6474455</v>
      </c>
      <c r="H12" s="9">
        <f>'SRC-5 (Monthly Sales)'!$L$34</f>
        <v>2280052</v>
      </c>
      <c r="I12" s="9">
        <f>'SRC-5 (Monthly Sales)'!$L$35</f>
        <v>78781</v>
      </c>
      <c r="J12" s="9">
        <f t="shared" si="1"/>
        <v>8833288</v>
      </c>
      <c r="K12" s="115">
        <v>501</v>
      </c>
      <c r="L12" s="9">
        <f t="shared" si="2"/>
        <v>623.5</v>
      </c>
    </row>
    <row r="13" spans="1:12" x14ac:dyDescent="0.2">
      <c r="A13" s="252">
        <v>6</v>
      </c>
      <c r="B13" s="249">
        <v>5</v>
      </c>
      <c r="C13" s="9">
        <f>'SRC-5 (Monthly Sales)'!$M$29</f>
        <v>3989640</v>
      </c>
      <c r="D13" s="9">
        <f>'SRC-5 (Monthly Sales)'!$M$30</f>
        <v>2478073</v>
      </c>
      <c r="E13" s="9">
        <f>'SRC-5 (Monthly Sales)'!$M$31</f>
        <v>2792538</v>
      </c>
      <c r="F13" s="9">
        <f t="shared" si="0"/>
        <v>9260251</v>
      </c>
      <c r="G13" s="9">
        <f>'SRC-5 (Monthly Sales)'!$M$33</f>
        <v>3965197</v>
      </c>
      <c r="H13" s="9">
        <f>'SRC-5 (Monthly Sales)'!$M$34</f>
        <v>1368014</v>
      </c>
      <c r="I13" s="9">
        <f>'SRC-5 (Monthly Sales)'!$M$35</f>
        <v>65573</v>
      </c>
      <c r="J13" s="9">
        <f t="shared" si="1"/>
        <v>5398784</v>
      </c>
      <c r="K13" s="115">
        <v>235</v>
      </c>
      <c r="L13" s="9">
        <f t="shared" si="2"/>
        <v>368</v>
      </c>
    </row>
    <row r="14" spans="1:12" x14ac:dyDescent="0.2">
      <c r="A14" s="252">
        <v>7</v>
      </c>
      <c r="B14" s="249">
        <v>6</v>
      </c>
      <c r="C14" s="9">
        <f>'SRC-5 (Monthly Sales)'!$N$29</f>
        <v>1983429</v>
      </c>
      <c r="D14" s="9">
        <f>'SRC-5 (Monthly Sales)'!$N$30</f>
        <v>1643597</v>
      </c>
      <c r="E14" s="9">
        <f>'SRC-5 (Monthly Sales)'!$N$31</f>
        <v>2374791</v>
      </c>
      <c r="F14" s="9">
        <f t="shared" si="0"/>
        <v>6001817</v>
      </c>
      <c r="G14" s="9">
        <f>'SRC-5 (Monthly Sales)'!$N$33</f>
        <v>1953082</v>
      </c>
      <c r="H14" s="9">
        <f>'SRC-5 (Monthly Sales)'!$N$34</f>
        <v>838859</v>
      </c>
      <c r="I14" s="9">
        <f>'SRC-5 (Monthly Sales)'!$N$35</f>
        <v>51651</v>
      </c>
      <c r="J14" s="9">
        <f t="shared" si="1"/>
        <v>2843592</v>
      </c>
      <c r="K14" s="115">
        <v>5</v>
      </c>
      <c r="L14" s="9">
        <f t="shared" si="2"/>
        <v>120</v>
      </c>
    </row>
    <row r="15" spans="1:12" x14ac:dyDescent="0.2">
      <c r="A15" s="252">
        <v>8</v>
      </c>
      <c r="B15" s="249">
        <v>7</v>
      </c>
      <c r="C15" s="9">
        <f>'SRC-5 (Monthly Sales)'!$O$29</f>
        <v>1355561</v>
      </c>
      <c r="D15" s="9">
        <f>'SRC-5 (Monthly Sales)'!$O$30</f>
        <v>1320399</v>
      </c>
      <c r="E15" s="9">
        <f>'SRC-5 (Monthly Sales)'!$O$31</f>
        <v>2099492</v>
      </c>
      <c r="F15" s="9">
        <f t="shared" si="0"/>
        <v>4775452</v>
      </c>
      <c r="G15" s="9">
        <f>'SRC-5 (Monthly Sales)'!$O$33</f>
        <v>1333945</v>
      </c>
      <c r="H15" s="9">
        <f>'SRC-5 (Monthly Sales)'!$O$34</f>
        <v>665014</v>
      </c>
      <c r="I15" s="9">
        <f>'SRC-5 (Monthly Sales)'!$O$35</f>
        <v>37967</v>
      </c>
      <c r="J15" s="9">
        <f t="shared" si="1"/>
        <v>2036926</v>
      </c>
      <c r="K15" s="115">
        <v>0</v>
      </c>
      <c r="L15" s="9">
        <f>AVERAGE(K14:K15)</f>
        <v>2.5</v>
      </c>
    </row>
    <row r="16" spans="1:12" x14ac:dyDescent="0.2">
      <c r="A16" s="252">
        <v>9</v>
      </c>
      <c r="B16" s="249">
        <v>8</v>
      </c>
      <c r="C16" s="9">
        <f>'SRC-5 (Monthly Sales)'!$P$29</f>
        <v>1300091</v>
      </c>
      <c r="D16" s="9">
        <f>'SRC-5 (Monthly Sales)'!$P$30</f>
        <v>1264197</v>
      </c>
      <c r="E16" s="9">
        <f>'SRC-5 (Monthly Sales)'!$P$31</f>
        <v>2115146</v>
      </c>
      <c r="F16" s="9">
        <f t="shared" si="0"/>
        <v>4679434</v>
      </c>
      <c r="G16" s="9">
        <f>'SRC-5 (Monthly Sales)'!$P$33</f>
        <v>1288329</v>
      </c>
      <c r="H16" s="9">
        <f>'SRC-5 (Monthly Sales)'!$P$34</f>
        <v>619825</v>
      </c>
      <c r="I16" s="9">
        <f>'SRC-5 (Monthly Sales)'!$P$35</f>
        <v>40122</v>
      </c>
      <c r="J16" s="9">
        <f t="shared" si="1"/>
        <v>1948276</v>
      </c>
      <c r="K16" s="115">
        <v>0</v>
      </c>
      <c r="L16" s="9">
        <f t="shared" si="2"/>
        <v>0</v>
      </c>
    </row>
    <row r="17" spans="1:12" x14ac:dyDescent="0.2">
      <c r="A17" s="252">
        <v>10</v>
      </c>
      <c r="B17" s="249">
        <v>9</v>
      </c>
      <c r="C17" s="9">
        <f>'SRC-5 (Monthly Sales)'!$Q$29</f>
        <v>1272008</v>
      </c>
      <c r="D17" s="9">
        <f>'SRC-5 (Monthly Sales)'!$Q$30</f>
        <v>1358370</v>
      </c>
      <c r="E17" s="9">
        <f>'SRC-5 (Monthly Sales)'!$Q$31</f>
        <v>2212517</v>
      </c>
      <c r="F17" s="9">
        <f t="shared" si="0"/>
        <v>4842895</v>
      </c>
      <c r="G17" s="9">
        <f>'SRC-5 (Monthly Sales)'!$Q$33</f>
        <v>1254883</v>
      </c>
      <c r="H17" s="9">
        <f>'SRC-5 (Monthly Sales)'!$Q$34</f>
        <v>620400</v>
      </c>
      <c r="I17" s="9">
        <f>'SRC-5 (Monthly Sales)'!$Q$35</f>
        <v>40249</v>
      </c>
      <c r="J17" s="9">
        <f t="shared" si="1"/>
        <v>1915532</v>
      </c>
      <c r="K17" s="115">
        <v>40</v>
      </c>
      <c r="L17" s="9">
        <f t="shared" si="2"/>
        <v>20</v>
      </c>
    </row>
    <row r="18" spans="1:12" x14ac:dyDescent="0.2">
      <c r="A18" s="252">
        <v>11</v>
      </c>
      <c r="B18" s="249">
        <v>10</v>
      </c>
      <c r="C18" s="9">
        <f>'SRC-5 (Monthly Sales)'!$R$29</f>
        <v>1764747</v>
      </c>
      <c r="D18" s="9">
        <f>'SRC-5 (Monthly Sales)'!$R$30</f>
        <v>1610475</v>
      </c>
      <c r="E18" s="9">
        <f>'SRC-5 (Monthly Sales)'!$R$31</f>
        <v>2272173</v>
      </c>
      <c r="F18" s="9">
        <f t="shared" si="0"/>
        <v>5647395</v>
      </c>
      <c r="G18" s="9">
        <f>'SRC-5 (Monthly Sales)'!$R$33</f>
        <v>1740507</v>
      </c>
      <c r="H18" s="9">
        <f>'SRC-5 (Monthly Sales)'!$R$34</f>
        <v>804687</v>
      </c>
      <c r="I18" s="9">
        <f>'SRC-5 (Monthly Sales)'!$R$35</f>
        <v>47135</v>
      </c>
      <c r="J18" s="9">
        <f t="shared" si="1"/>
        <v>2592329</v>
      </c>
      <c r="K18" s="115">
        <v>355</v>
      </c>
      <c r="L18" s="9">
        <f t="shared" si="2"/>
        <v>197.5</v>
      </c>
    </row>
    <row r="19" spans="1:12" x14ac:dyDescent="0.2">
      <c r="A19" s="252">
        <v>12</v>
      </c>
      <c r="B19" s="249">
        <v>11</v>
      </c>
      <c r="C19" s="9">
        <f>'SRC-5 (Monthly Sales)'!$S$29</f>
        <v>5147197</v>
      </c>
      <c r="D19" s="9">
        <f>'SRC-5 (Monthly Sales)'!$S$30</f>
        <v>3116562</v>
      </c>
      <c r="E19" s="9">
        <f>'SRC-5 (Monthly Sales)'!$S$31</f>
        <v>2591074</v>
      </c>
      <c r="F19" s="9">
        <f t="shared" si="0"/>
        <v>10854833</v>
      </c>
      <c r="G19" s="9">
        <f>'SRC-5 (Monthly Sales)'!$S$33</f>
        <v>5107676</v>
      </c>
      <c r="H19" s="9">
        <f>'SRC-5 (Monthly Sales)'!$S$34</f>
        <v>1749927</v>
      </c>
      <c r="I19" s="9">
        <f>'SRC-5 (Monthly Sales)'!$S$35</f>
        <v>61449</v>
      </c>
      <c r="J19" s="9">
        <f t="shared" si="1"/>
        <v>6919052</v>
      </c>
      <c r="K19" s="115">
        <v>787</v>
      </c>
      <c r="L19" s="9">
        <f t="shared" si="2"/>
        <v>571</v>
      </c>
    </row>
    <row r="20" spans="1:12" x14ac:dyDescent="0.2">
      <c r="A20" s="252">
        <v>13</v>
      </c>
      <c r="B20" s="249">
        <v>12</v>
      </c>
      <c r="C20" s="9">
        <f>'SRC-5 (Monthly Sales)'!$T$29</f>
        <v>10652450</v>
      </c>
      <c r="D20" s="9">
        <f>'SRC-5 (Monthly Sales)'!$T$30</f>
        <v>5152959</v>
      </c>
      <c r="E20" s="9">
        <f>'SRC-5 (Monthly Sales)'!$T$31</f>
        <v>2823985</v>
      </c>
      <c r="F20" s="9">
        <f t="shared" si="0"/>
        <v>18629394</v>
      </c>
      <c r="G20" s="9">
        <f>'SRC-5 (Monthly Sales)'!$T$33</f>
        <v>10572158</v>
      </c>
      <c r="H20" s="9">
        <f>'SRC-5 (Monthly Sales)'!$T$34</f>
        <v>2982858</v>
      </c>
      <c r="I20" s="9">
        <f>'SRC-5 (Monthly Sales)'!$T$35</f>
        <v>84316</v>
      </c>
      <c r="J20" s="9">
        <f t="shared" si="1"/>
        <v>13639332</v>
      </c>
      <c r="K20" s="115">
        <v>1114</v>
      </c>
      <c r="L20" s="9">
        <f t="shared" si="2"/>
        <v>950.5</v>
      </c>
    </row>
    <row r="22" spans="1:12" x14ac:dyDescent="0.2">
      <c r="C22" s="248" t="s">
        <v>501</v>
      </c>
      <c r="D22" s="248" t="s">
        <v>502</v>
      </c>
      <c r="E22" s="248" t="s">
        <v>503</v>
      </c>
      <c r="F22" s="248"/>
      <c r="G22" s="248" t="s">
        <v>501</v>
      </c>
      <c r="H22" s="248" t="s">
        <v>502</v>
      </c>
      <c r="I22" s="248" t="s">
        <v>503</v>
      </c>
      <c r="J22" s="248"/>
      <c r="K22" s="248"/>
      <c r="L22" s="248"/>
    </row>
    <row r="23" spans="1:12" x14ac:dyDescent="0.2">
      <c r="B23" s="249"/>
      <c r="C23" s="248" t="s">
        <v>504</v>
      </c>
      <c r="D23" s="248" t="s">
        <v>504</v>
      </c>
      <c r="E23" s="248" t="s">
        <v>504</v>
      </c>
      <c r="F23" s="248" t="s">
        <v>778</v>
      </c>
      <c r="G23" s="248" t="s">
        <v>504</v>
      </c>
      <c r="H23" s="248" t="s">
        <v>504</v>
      </c>
      <c r="I23" s="248" t="s">
        <v>504</v>
      </c>
      <c r="J23" s="248" t="s">
        <v>778</v>
      </c>
      <c r="K23" s="248"/>
      <c r="L23" s="248"/>
    </row>
    <row r="24" spans="1:12" x14ac:dyDescent="0.2">
      <c r="A24" s="250" t="s">
        <v>10</v>
      </c>
      <c r="B24" s="251" t="s">
        <v>781</v>
      </c>
      <c r="C24" s="251" t="s">
        <v>387</v>
      </c>
      <c r="D24" s="251" t="s">
        <v>387</v>
      </c>
      <c r="E24" s="251" t="s">
        <v>387</v>
      </c>
      <c r="F24" s="251" t="s">
        <v>387</v>
      </c>
      <c r="G24" s="251" t="s">
        <v>651</v>
      </c>
      <c r="H24" s="251" t="s">
        <v>651</v>
      </c>
      <c r="I24" s="251" t="s">
        <v>651</v>
      </c>
      <c r="J24" s="251" t="s">
        <v>651</v>
      </c>
      <c r="K24" s="250" t="s">
        <v>23</v>
      </c>
      <c r="L24" s="248"/>
    </row>
    <row r="25" spans="1:12" x14ac:dyDescent="0.2">
      <c r="A25" s="252"/>
      <c r="B25" s="222" t="s">
        <v>24</v>
      </c>
      <c r="C25" s="222" t="s">
        <v>25</v>
      </c>
      <c r="D25" s="222" t="s">
        <v>26</v>
      </c>
      <c r="E25" s="222" t="s">
        <v>27</v>
      </c>
      <c r="F25" s="222" t="s">
        <v>28</v>
      </c>
      <c r="G25" s="222" t="s">
        <v>29</v>
      </c>
      <c r="H25" s="222" t="s">
        <v>30</v>
      </c>
      <c r="I25" s="222" t="s">
        <v>31</v>
      </c>
      <c r="J25" s="222" t="s">
        <v>32</v>
      </c>
      <c r="K25" s="248"/>
      <c r="L25" s="248"/>
    </row>
    <row r="26" spans="1:12" x14ac:dyDescent="0.2">
      <c r="A26" s="252"/>
      <c r="B26" s="222"/>
      <c r="C26" s="222"/>
      <c r="D26" s="222"/>
      <c r="E26" s="222"/>
      <c r="F26" s="222"/>
      <c r="G26" s="222"/>
      <c r="H26" s="222"/>
      <c r="I26" s="222"/>
      <c r="J26" s="222"/>
      <c r="K26" s="248"/>
      <c r="L26" s="248"/>
    </row>
    <row r="27" spans="1:12" x14ac:dyDescent="0.2">
      <c r="A27" s="252">
        <v>14</v>
      </c>
      <c r="B27" s="248" t="s">
        <v>783</v>
      </c>
      <c r="C27" s="9">
        <f>SLOPE(C9:C20,$L9:$L20)</f>
        <v>10466.27210621351</v>
      </c>
      <c r="D27" s="9">
        <f t="shared" ref="D27:J27" si="3">SLOPE(D9:D20,$L9:$L20)</f>
        <v>4095.2532668269846</v>
      </c>
      <c r="E27" s="9">
        <f t="shared" si="3"/>
        <v>1007.6158782284302</v>
      </c>
      <c r="F27" s="9">
        <f t="shared" si="3"/>
        <v>15569.141251268922</v>
      </c>
      <c r="G27" s="9">
        <f t="shared" si="3"/>
        <v>10420.292413934336</v>
      </c>
      <c r="H27" s="9">
        <f t="shared" si="3"/>
        <v>2702.9681372399968</v>
      </c>
      <c r="I27" s="9">
        <f>SLOPE(I9:I20,$L9:$L20)</f>
        <v>44.440821106154679</v>
      </c>
      <c r="J27" s="9">
        <f t="shared" si="3"/>
        <v>13167.701372280488</v>
      </c>
      <c r="K27" s="249" t="s">
        <v>784</v>
      </c>
    </row>
    <row r="28" spans="1:12" x14ac:dyDescent="0.2">
      <c r="A28" s="252">
        <v>15</v>
      </c>
      <c r="B28" s="248" t="s">
        <v>785</v>
      </c>
      <c r="C28" s="73">
        <f>INTERCEPT(C9:C20,$L9:$L20)</f>
        <v>606174.5586756831</v>
      </c>
      <c r="D28" s="9">
        <f t="shared" ref="D28:J28" si="4">INTERCEPT(D9:D20,$L9:$L20)</f>
        <v>1147441.268116253</v>
      </c>
      <c r="E28" s="9">
        <f t="shared" si="4"/>
        <v>2178534.7303877976</v>
      </c>
      <c r="F28" s="9">
        <f t="shared" si="4"/>
        <v>3932150.557179736</v>
      </c>
      <c r="G28" s="9">
        <f t="shared" si="4"/>
        <v>589984.6817628555</v>
      </c>
      <c r="H28" s="9">
        <f t="shared" si="4"/>
        <v>502703.07159709651</v>
      </c>
      <c r="I28" s="9">
        <f t="shared" si="4"/>
        <v>41702.16850883243</v>
      </c>
      <c r="J28" s="9">
        <f t="shared" si="4"/>
        <v>1134389.9218687844</v>
      </c>
      <c r="K28" s="249" t="s">
        <v>786</v>
      </c>
    </row>
    <row r="29" spans="1:12" x14ac:dyDescent="0.2">
      <c r="K29" s="249"/>
    </row>
    <row r="30" spans="1:12" x14ac:dyDescent="0.2">
      <c r="A30" s="252">
        <v>16</v>
      </c>
      <c r="B30" s="248" t="s">
        <v>787</v>
      </c>
      <c r="C30" s="255">
        <f>C27*80</f>
        <v>837301.76849708077</v>
      </c>
      <c r="D30" s="255">
        <f t="shared" ref="D30:I30" si="5">D27*80</f>
        <v>327620.26134615875</v>
      </c>
      <c r="E30" s="255">
        <f t="shared" si="5"/>
        <v>80609.270258274424</v>
      </c>
      <c r="F30" s="255">
        <f t="shared" si="5"/>
        <v>1245531.3001015137</v>
      </c>
      <c r="G30" s="255">
        <f t="shared" si="5"/>
        <v>833623.3931147469</v>
      </c>
      <c r="H30" s="255">
        <f t="shared" si="5"/>
        <v>216237.45097919976</v>
      </c>
      <c r="I30" s="255">
        <f t="shared" si="5"/>
        <v>3555.2656884923745</v>
      </c>
      <c r="J30" s="255">
        <f>J27*80</f>
        <v>1053416.109782439</v>
      </c>
      <c r="K30" s="249" t="s">
        <v>788</v>
      </c>
    </row>
    <row r="31" spans="1:12" x14ac:dyDescent="0.2">
      <c r="A31" s="252">
        <v>17</v>
      </c>
      <c r="B31" s="248" t="s">
        <v>789</v>
      </c>
      <c r="C31" s="255">
        <f>C28/30.42</f>
        <v>19926.842823000759</v>
      </c>
      <c r="D31" s="255">
        <f t="shared" ref="D31:I31" si="6">D28/30.42</f>
        <v>37719.962791461308</v>
      </c>
      <c r="E31" s="255">
        <f t="shared" si="6"/>
        <v>71615.211386844094</v>
      </c>
      <c r="F31" s="255">
        <f t="shared" ref="F31" si="7">F28/30.42</f>
        <v>129262.01700130623</v>
      </c>
      <c r="G31" s="255">
        <f t="shared" si="6"/>
        <v>19394.631221658627</v>
      </c>
      <c r="H31" s="255">
        <f t="shared" si="6"/>
        <v>16525.413267491665</v>
      </c>
      <c r="I31" s="255">
        <f t="shared" si="6"/>
        <v>1370.8799641299286</v>
      </c>
      <c r="J31" s="255">
        <f t="shared" ref="J31" si="8">J28/30.42</f>
        <v>37290.924453280219</v>
      </c>
      <c r="K31" s="249" t="s">
        <v>790</v>
      </c>
    </row>
    <row r="32" spans="1:12" x14ac:dyDescent="0.2">
      <c r="A32" s="252">
        <v>18</v>
      </c>
      <c r="B32" s="248" t="s">
        <v>387</v>
      </c>
      <c r="C32" s="255">
        <f>SUM(C30:C31)</f>
        <v>857228.61132008152</v>
      </c>
      <c r="D32" s="255">
        <f t="shared" ref="D32:H32" si="9">SUM(D30:D31)</f>
        <v>365340.22413762007</v>
      </c>
      <c r="E32" s="255">
        <f t="shared" si="9"/>
        <v>152224.4816451185</v>
      </c>
      <c r="F32" s="255">
        <f>SUM(C32:E32)</f>
        <v>1374793.3171028201</v>
      </c>
      <c r="G32" s="255">
        <f t="shared" si="9"/>
        <v>853018.02433640556</v>
      </c>
      <c r="H32" s="255">
        <f t="shared" si="9"/>
        <v>232762.86424669143</v>
      </c>
      <c r="I32" s="255">
        <f>SUM(I30:I31)</f>
        <v>4926.1456526223028</v>
      </c>
      <c r="J32" s="255">
        <f>SUM(G32:I32)</f>
        <v>1090707.0342357191</v>
      </c>
      <c r="K32" s="249" t="s">
        <v>791</v>
      </c>
    </row>
    <row r="33" spans="1:11" x14ac:dyDescent="0.2">
      <c r="A33" s="252"/>
      <c r="B33" s="248"/>
      <c r="C33" s="255"/>
      <c r="D33" s="255"/>
      <c r="E33" s="255"/>
      <c r="F33" s="255"/>
      <c r="G33" s="255"/>
      <c r="H33" s="255"/>
      <c r="I33" s="255"/>
      <c r="J33" s="255"/>
      <c r="K33" s="249"/>
    </row>
    <row r="34" spans="1:11" x14ac:dyDescent="0.2">
      <c r="A34" s="252">
        <v>19</v>
      </c>
      <c r="B34" s="248" t="s">
        <v>792</v>
      </c>
      <c r="C34" s="255">
        <f>SUM(C9:C20)/365</f>
        <v>205640.83835616437</v>
      </c>
      <c r="D34" s="255">
        <f t="shared" ref="D34:E34" si="10">SUM(D9:D20)/365</f>
        <v>110389.59726027398</v>
      </c>
      <c r="E34" s="255">
        <f t="shared" si="10"/>
        <v>89502.030136986301</v>
      </c>
      <c r="F34" s="255">
        <f t="shared" ref="F34:J34" si="11">SUM(F9:F20)/365</f>
        <v>405532.46575342468</v>
      </c>
      <c r="G34" s="255">
        <f t="shared" si="11"/>
        <v>204292.71232876711</v>
      </c>
      <c r="H34" s="255">
        <f t="shared" si="11"/>
        <v>64488.246575342462</v>
      </c>
      <c r="I34" s="255">
        <f>SUM(I9:I20)/365</f>
        <v>2159.5808219178084</v>
      </c>
      <c r="J34" s="255">
        <f t="shared" si="11"/>
        <v>270940.5397260274</v>
      </c>
      <c r="K34" s="249" t="s">
        <v>793</v>
      </c>
    </row>
    <row r="35" spans="1:11" x14ac:dyDescent="0.2">
      <c r="A35" s="252">
        <v>20</v>
      </c>
      <c r="B35" s="248" t="s">
        <v>794</v>
      </c>
      <c r="C35" s="255">
        <f>C32</f>
        <v>857228.61132008152</v>
      </c>
      <c r="D35" s="255">
        <f t="shared" ref="D35:J35" si="12">D32</f>
        <v>365340.22413762007</v>
      </c>
      <c r="E35" s="255">
        <f t="shared" si="12"/>
        <v>152224.4816451185</v>
      </c>
      <c r="F35" s="255">
        <f t="shared" si="12"/>
        <v>1374793.3171028201</v>
      </c>
      <c r="G35" s="255">
        <f t="shared" si="12"/>
        <v>853018.02433640556</v>
      </c>
      <c r="H35" s="255">
        <f t="shared" si="12"/>
        <v>232762.86424669143</v>
      </c>
      <c r="I35" s="255">
        <f>I32</f>
        <v>4926.1456526223028</v>
      </c>
      <c r="J35" s="255">
        <f t="shared" si="12"/>
        <v>1090707.0342357191</v>
      </c>
      <c r="K35" s="249" t="s">
        <v>795</v>
      </c>
    </row>
    <row r="36" spans="1:11" x14ac:dyDescent="0.2">
      <c r="K36" s="249"/>
    </row>
    <row r="37" spans="1:11" x14ac:dyDescent="0.2">
      <c r="A37" s="252">
        <v>21</v>
      </c>
      <c r="B37" s="248" t="s">
        <v>796</v>
      </c>
      <c r="C37" s="27">
        <f>C32/$F32</f>
        <v>0.62353271626790263</v>
      </c>
      <c r="D37" s="27">
        <f>D32/$F32</f>
        <v>0.26574192614459474</v>
      </c>
      <c r="E37" s="27">
        <f>E32/$F32</f>
        <v>0.11072535758750252</v>
      </c>
      <c r="F37" s="256">
        <f>SUM(C37:E37)</f>
        <v>0.99999999999999978</v>
      </c>
      <c r="G37" s="27">
        <f>G32/$J32</f>
        <v>0.78207804438900763</v>
      </c>
      <c r="H37" s="27">
        <f>H32/$J32</f>
        <v>0.21340548556175137</v>
      </c>
      <c r="I37" s="27">
        <f>I32/$J32</f>
        <v>4.516470049241183E-3</v>
      </c>
      <c r="J37" s="256">
        <f>SUM(G37:I37)</f>
        <v>1.0000000000000002</v>
      </c>
      <c r="K37" s="249" t="s">
        <v>797</v>
      </c>
    </row>
    <row r="38" spans="1:11" x14ac:dyDescent="0.2">
      <c r="A38" s="252">
        <v>22</v>
      </c>
      <c r="B38" s="248" t="s">
        <v>798</v>
      </c>
      <c r="C38" s="27">
        <f>C34/C35</f>
        <v>0.23989031121988522</v>
      </c>
      <c r="D38" s="27">
        <f>D34/D35</f>
        <v>0.30215560720379725</v>
      </c>
      <c r="E38" s="27">
        <f>E34/E35</f>
        <v>0.58796081398813838</v>
      </c>
      <c r="F38" s="256"/>
      <c r="G38" s="27"/>
      <c r="H38" s="27"/>
      <c r="I38" s="27"/>
      <c r="J38" s="256"/>
      <c r="K38" s="249" t="s">
        <v>799</v>
      </c>
    </row>
    <row r="39" spans="1:11" x14ac:dyDescent="0.2">
      <c r="K39" s="249"/>
    </row>
    <row r="40" spans="1:11" x14ac:dyDescent="0.2">
      <c r="A40" s="252">
        <v>23</v>
      </c>
      <c r="E40" s="248" t="s">
        <v>800</v>
      </c>
      <c r="F40" s="255">
        <f>SUM(F9:F20)</f>
        <v>148019350</v>
      </c>
      <c r="G40" s="249" t="s">
        <v>801</v>
      </c>
      <c r="K40" s="249"/>
    </row>
    <row r="41" spans="1:11" x14ac:dyDescent="0.2">
      <c r="A41" s="252">
        <v>24</v>
      </c>
      <c r="E41" s="248" t="s">
        <v>802</v>
      </c>
      <c r="F41" s="9">
        <f>F40/365</f>
        <v>405532.46575342468</v>
      </c>
      <c r="G41" s="249" t="s">
        <v>803</v>
      </c>
      <c r="K41" s="249"/>
    </row>
    <row r="42" spans="1:11" x14ac:dyDescent="0.2">
      <c r="A42" s="252">
        <v>25</v>
      </c>
      <c r="E42" s="248" t="s">
        <v>804</v>
      </c>
      <c r="F42" s="255">
        <f>F32</f>
        <v>1374793.3171028201</v>
      </c>
      <c r="G42" s="249" t="s">
        <v>795</v>
      </c>
      <c r="K42" s="249"/>
    </row>
    <row r="43" spans="1:11" x14ac:dyDescent="0.2">
      <c r="A43" s="252">
        <v>26</v>
      </c>
      <c r="E43" s="248" t="s">
        <v>798</v>
      </c>
      <c r="F43" s="86">
        <f>F41/F42</f>
        <v>0.29497704179128992</v>
      </c>
      <c r="G43" s="249" t="s">
        <v>805</v>
      </c>
      <c r="K43" s="249"/>
    </row>
    <row r="45" spans="1:11" x14ac:dyDescent="0.2">
      <c r="A45" s="249" t="s">
        <v>342</v>
      </c>
    </row>
    <row r="46" spans="1:11" x14ac:dyDescent="0.2">
      <c r="A46" s="249" t="s">
        <v>806</v>
      </c>
    </row>
    <row r="47" spans="1:11" x14ac:dyDescent="0.2">
      <c r="A47" s="249" t="s">
        <v>807</v>
      </c>
    </row>
    <row r="48" spans="1:11" x14ac:dyDescent="0.2">
      <c r="A48" s="249" t="s">
        <v>808</v>
      </c>
    </row>
    <row r="49" spans="1:1" x14ac:dyDescent="0.2">
      <c r="A49" s="249" t="s">
        <v>809</v>
      </c>
    </row>
    <row r="50" spans="1:1" x14ac:dyDescent="0.2">
      <c r="A50" s="249" t="s">
        <v>810</v>
      </c>
    </row>
    <row r="52" spans="1:1" x14ac:dyDescent="0.2">
      <c r="A52" s="249" t="s">
        <v>811</v>
      </c>
    </row>
    <row r="53" spans="1:1" x14ac:dyDescent="0.2">
      <c r="A53" s="249" t="s">
        <v>812</v>
      </c>
    </row>
    <row r="54" spans="1:1" x14ac:dyDescent="0.2">
      <c r="A54" s="249" t="s">
        <v>813</v>
      </c>
    </row>
  </sheetData>
  <pageMargins left="0.7" right="0.7" top="1.2291666666666667" bottom="0.75" header="0.3" footer="0.3"/>
  <pageSetup scale="59" pageOrder="overThenDown" orientation="landscape" useFirstPageNumber="1" r:id="rId1"/>
  <headerFooter alignWithMargins="0">
    <oddHeader>&amp;CRULE 20:10:13:98
STATEMENT O WORKPAPER - Tab &amp;A
Design Day Peak Calculations
Test Year Ending December 31, 2021
Utility: MidAmerican Energy Company
Docket No. NG22-___
Individual Responsible: Amanda Hosch</oddHeader>
    <oddFooter>&amp;C20:10:13:98
Statement O Workpaper - Tab &amp;A
&amp;P of &amp;N</oddFooter>
  </headerFooter>
  <ignoredErrors>
    <ignoredError sqref="L9:L2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7030A0"/>
    <pageSetUpPr fitToPage="1"/>
  </sheetPr>
  <dimension ref="A1:N66"/>
  <sheetViews>
    <sheetView view="pageLayout" zoomScale="70" zoomScaleNormal="100" zoomScalePageLayoutView="70" workbookViewId="0">
      <selection activeCell="A5" sqref="A5"/>
    </sheetView>
  </sheetViews>
  <sheetFormatPr defaultColWidth="9.140625" defaultRowHeight="12.75" x14ac:dyDescent="0.2"/>
  <cols>
    <col min="1" max="1" width="9.140625" style="145"/>
    <col min="2" max="2" width="51.42578125" style="145" customWidth="1"/>
    <col min="3" max="3" width="16.85546875" style="145" customWidth="1"/>
    <col min="4" max="4" width="13.85546875" style="145" customWidth="1"/>
    <col min="5" max="5" width="14.7109375" style="145" customWidth="1"/>
    <col min="6" max="13" width="9.140625" style="145"/>
    <col min="14" max="14" width="11.28515625" style="145" bestFit="1" customWidth="1"/>
    <col min="15" max="16384" width="9.140625" style="145"/>
  </cols>
  <sheetData>
    <row r="1" spans="1:12" s="32" customFormat="1" ht="18" x14ac:dyDescent="0.25">
      <c r="A1" s="82" t="s">
        <v>814</v>
      </c>
    </row>
    <row r="2" spans="1:12" s="32" customFormat="1" ht="18" x14ac:dyDescent="0.25">
      <c r="A2" s="82" t="s">
        <v>815</v>
      </c>
    </row>
    <row r="3" spans="1:12" s="32" customFormat="1" ht="13.5" customHeight="1" x14ac:dyDescent="0.2">
      <c r="A3" s="32" t="s">
        <v>10</v>
      </c>
    </row>
    <row r="4" spans="1:12" x14ac:dyDescent="0.2">
      <c r="A4" s="147" t="s">
        <v>1098</v>
      </c>
      <c r="B4" s="147" t="s">
        <v>816</v>
      </c>
      <c r="C4" s="148" t="s">
        <v>817</v>
      </c>
      <c r="D4" s="147" t="s">
        <v>23</v>
      </c>
      <c r="E4" s="147"/>
      <c r="F4" s="147"/>
      <c r="G4" s="147"/>
      <c r="H4" s="147"/>
      <c r="I4" s="147"/>
      <c r="J4" s="147"/>
      <c r="K4" s="147"/>
      <c r="L4" s="147"/>
    </row>
    <row r="5" spans="1:12" x14ac:dyDescent="0.2">
      <c r="B5" s="145" t="s">
        <v>24</v>
      </c>
      <c r="C5" s="146" t="s">
        <v>25</v>
      </c>
      <c r="D5" s="146"/>
      <c r="E5" s="146"/>
    </row>
    <row r="6" spans="1:12" x14ac:dyDescent="0.2">
      <c r="C6" s="146"/>
      <c r="D6" s="146"/>
      <c r="E6" s="146"/>
    </row>
    <row r="7" spans="1:12" x14ac:dyDescent="0.2">
      <c r="A7" s="151">
        <v>1</v>
      </c>
      <c r="B7" s="145" t="s">
        <v>389</v>
      </c>
      <c r="C7" s="74">
        <f>'CLS1-1 (Class COS)'!D7</f>
        <v>896026.86586813291</v>
      </c>
      <c r="D7" s="145" t="s">
        <v>818</v>
      </c>
    </row>
    <row r="8" spans="1:12" x14ac:dyDescent="0.2">
      <c r="A8" s="151">
        <f>A7+1</f>
        <v>2</v>
      </c>
      <c r="B8" s="145" t="s">
        <v>506</v>
      </c>
      <c r="C8" s="74">
        <f>'CLS1-1 (Class COS)'!D8</f>
        <v>2241703.2567223003</v>
      </c>
      <c r="D8" s="145" t="s">
        <v>819</v>
      </c>
    </row>
    <row r="9" spans="1:12" x14ac:dyDescent="0.2">
      <c r="A9" s="151">
        <f t="shared" ref="A9:A21" si="0">A8+1</f>
        <v>3</v>
      </c>
      <c r="B9" s="145" t="s">
        <v>508</v>
      </c>
      <c r="C9" s="74">
        <f>'CLS1-1 (Class COS)'!D9</f>
        <v>6558415.3436825983</v>
      </c>
      <c r="D9" s="145" t="s">
        <v>820</v>
      </c>
    </row>
    <row r="10" spans="1:12" x14ac:dyDescent="0.2">
      <c r="A10" s="151">
        <f t="shared" si="0"/>
        <v>4</v>
      </c>
      <c r="B10" s="145" t="s">
        <v>16</v>
      </c>
      <c r="C10" s="74">
        <f>'CLS1-1 (Class COS)'!D10</f>
        <v>10334126.740536353</v>
      </c>
      <c r="D10" s="145" t="s">
        <v>821</v>
      </c>
    </row>
    <row r="11" spans="1:12" x14ac:dyDescent="0.2">
      <c r="A11" s="151">
        <f t="shared" si="0"/>
        <v>5</v>
      </c>
      <c r="B11" s="145" t="s">
        <v>17</v>
      </c>
      <c r="C11" s="74">
        <f>'CLS1-1 (Class COS)'!D11</f>
        <v>3775311.8971680361</v>
      </c>
      <c r="D11" s="145" t="s">
        <v>822</v>
      </c>
    </row>
    <row r="12" spans="1:12" x14ac:dyDescent="0.2">
      <c r="A12" s="151">
        <f t="shared" si="0"/>
        <v>6</v>
      </c>
      <c r="B12" s="145" t="s">
        <v>18</v>
      </c>
      <c r="C12" s="74">
        <f>'CLS1-1 (Class COS)'!D12</f>
        <v>502021.11068467406</v>
      </c>
      <c r="D12" s="145" t="s">
        <v>823</v>
      </c>
    </row>
    <row r="13" spans="1:12" x14ac:dyDescent="0.2">
      <c r="A13" s="151">
        <f t="shared" si="0"/>
        <v>7</v>
      </c>
      <c r="B13" s="145" t="s">
        <v>392</v>
      </c>
      <c r="C13" s="74">
        <f>'CLS1-1 (Class COS)'!D13</f>
        <v>13998.977989836321</v>
      </c>
      <c r="D13" s="145" t="s">
        <v>824</v>
      </c>
    </row>
    <row r="14" spans="1:12" x14ac:dyDescent="0.2">
      <c r="A14" s="151">
        <f t="shared" si="0"/>
        <v>8</v>
      </c>
      <c r="B14" s="145" t="s">
        <v>393</v>
      </c>
      <c r="C14" s="74">
        <f>'CLS1-1 (Class COS)'!D14</f>
        <v>4525957.9681177167</v>
      </c>
      <c r="D14" s="145" t="s">
        <v>825</v>
      </c>
    </row>
    <row r="15" spans="1:12" x14ac:dyDescent="0.2">
      <c r="A15" s="151">
        <f t="shared" si="0"/>
        <v>9</v>
      </c>
      <c r="B15" s="145" t="s">
        <v>826</v>
      </c>
      <c r="C15" s="74">
        <f>'CLS1-1 (Class COS)'!D15</f>
        <v>573.75031595739586</v>
      </c>
      <c r="D15" s="145" t="s">
        <v>827</v>
      </c>
    </row>
    <row r="16" spans="1:12" x14ac:dyDescent="0.2">
      <c r="A16" s="151">
        <f t="shared" si="0"/>
        <v>10</v>
      </c>
      <c r="B16" s="145" t="s">
        <v>828</v>
      </c>
      <c r="C16" s="74">
        <f>'CLS1-1 (Class COS)'!D16</f>
        <v>25493.639039040292</v>
      </c>
      <c r="D16" s="145" t="s">
        <v>829</v>
      </c>
    </row>
    <row r="17" spans="1:14" x14ac:dyDescent="0.2">
      <c r="A17" s="151">
        <f t="shared" si="0"/>
        <v>11</v>
      </c>
      <c r="B17" s="145" t="s">
        <v>519</v>
      </c>
      <c r="C17" s="90">
        <f>'CLS1-1 (Class COS)'!D17</f>
        <v>140851.54527115839</v>
      </c>
      <c r="D17" s="145" t="s">
        <v>830</v>
      </c>
    </row>
    <row r="18" spans="1:14" x14ac:dyDescent="0.2">
      <c r="A18" s="149">
        <f t="shared" si="0"/>
        <v>12</v>
      </c>
      <c r="B18" s="147" t="s">
        <v>521</v>
      </c>
      <c r="C18" s="89">
        <f>'CLS1-1 (Class COS)'!D18</f>
        <v>2380</v>
      </c>
      <c r="D18" s="147" t="s">
        <v>831</v>
      </c>
      <c r="E18" s="147"/>
      <c r="F18" s="147"/>
      <c r="G18" s="147"/>
      <c r="H18" s="147"/>
      <c r="I18" s="147"/>
      <c r="J18" s="147"/>
      <c r="K18" s="147"/>
      <c r="L18" s="147"/>
    </row>
    <row r="19" spans="1:14" x14ac:dyDescent="0.2">
      <c r="A19" s="151">
        <f t="shared" si="0"/>
        <v>13</v>
      </c>
      <c r="B19" s="145" t="s">
        <v>338</v>
      </c>
      <c r="C19" s="152">
        <f>SUM(C7:C18)</f>
        <v>29016861.095395807</v>
      </c>
      <c r="D19" s="145" t="s">
        <v>832</v>
      </c>
      <c r="I19" s="152"/>
      <c r="N19" s="152"/>
    </row>
    <row r="20" spans="1:14" x14ac:dyDescent="0.2">
      <c r="A20" s="151">
        <f t="shared" si="0"/>
        <v>14</v>
      </c>
      <c r="B20" s="145" t="s">
        <v>833</v>
      </c>
      <c r="C20" s="152">
        <f>'SRC-2 (S.D. Revenue)'!L61</f>
        <v>338128.54621527804</v>
      </c>
      <c r="D20" s="145" t="s">
        <v>834</v>
      </c>
    </row>
    <row r="21" spans="1:14" x14ac:dyDescent="0.2">
      <c r="A21" s="151">
        <f t="shared" si="0"/>
        <v>15</v>
      </c>
      <c r="B21" s="145" t="s">
        <v>835</v>
      </c>
      <c r="C21" s="152">
        <f>C11+-'RD-4 (MTR)'!H218</f>
        <v>3750086.6831970699</v>
      </c>
      <c r="D21" s="145" t="s">
        <v>836</v>
      </c>
    </row>
    <row r="22" spans="1:14" x14ac:dyDescent="0.2">
      <c r="A22" s="151">
        <f>A21+1</f>
        <v>16</v>
      </c>
      <c r="B22" s="145" t="s">
        <v>837</v>
      </c>
      <c r="C22" s="90">
        <f>E59+E64</f>
        <v>26988.162049453764</v>
      </c>
      <c r="D22" s="145" t="s">
        <v>838</v>
      </c>
    </row>
    <row r="23" spans="1:14" x14ac:dyDescent="0.2">
      <c r="A23" s="149">
        <f>+A22+1</f>
        <v>17</v>
      </c>
      <c r="B23" s="147" t="s">
        <v>839</v>
      </c>
      <c r="C23" s="89">
        <f>('CLS1-1 (Class COS)'!D23-'CLS1-1 (Class COS)'!D20)</f>
        <v>118208.07477882504</v>
      </c>
      <c r="D23" s="147" t="s">
        <v>840</v>
      </c>
      <c r="E23" s="147"/>
      <c r="F23" s="147"/>
      <c r="G23" s="147"/>
      <c r="H23" s="147"/>
      <c r="I23" s="147"/>
      <c r="J23" s="147"/>
      <c r="K23" s="147"/>
      <c r="L23" s="147"/>
    </row>
    <row r="24" spans="1:14" x14ac:dyDescent="0.2">
      <c r="A24" s="151">
        <f>A23+1</f>
        <v>18</v>
      </c>
      <c r="B24" s="145" t="s">
        <v>841</v>
      </c>
      <c r="C24" s="152">
        <f>C19-C20-C21-C22-C23</f>
        <v>24783449.629155181</v>
      </c>
      <c r="D24" s="145" t="s">
        <v>842</v>
      </c>
    </row>
    <row r="25" spans="1:14" x14ac:dyDescent="0.2">
      <c r="A25" s="151"/>
    </row>
    <row r="26" spans="1:14" x14ac:dyDescent="0.2">
      <c r="A26" s="147" t="s">
        <v>10</v>
      </c>
      <c r="B26" s="147" t="s">
        <v>843</v>
      </c>
      <c r="C26" s="148" t="s">
        <v>844</v>
      </c>
      <c r="D26" s="147" t="s">
        <v>23</v>
      </c>
      <c r="E26" s="147"/>
      <c r="F26" s="147"/>
      <c r="G26" s="147"/>
      <c r="H26" s="147"/>
      <c r="I26" s="147"/>
      <c r="J26" s="147"/>
      <c r="K26" s="147"/>
      <c r="L26" s="147"/>
    </row>
    <row r="27" spans="1:14" x14ac:dyDescent="0.2">
      <c r="B27" s="145" t="s">
        <v>24</v>
      </c>
      <c r="C27" s="146" t="s">
        <v>25</v>
      </c>
    </row>
    <row r="28" spans="1:14" x14ac:dyDescent="0.2">
      <c r="C28" s="146"/>
    </row>
    <row r="29" spans="1:14" x14ac:dyDescent="0.2">
      <c r="A29" s="151">
        <f>A24+1</f>
        <v>19</v>
      </c>
      <c r="B29" s="145" t="s">
        <v>845</v>
      </c>
      <c r="C29" s="73">
        <f>'Billing Determinants'!H44</f>
        <v>1228100</v>
      </c>
      <c r="D29" s="145" t="s">
        <v>846</v>
      </c>
    </row>
    <row r="30" spans="1:14" x14ac:dyDescent="0.2">
      <c r="A30" s="151">
        <f>A29+1</f>
        <v>20</v>
      </c>
      <c r="B30" s="145" t="s">
        <v>847</v>
      </c>
      <c r="C30" s="73">
        <f>'Billing Determinants'!I12</f>
        <v>10</v>
      </c>
      <c r="D30" s="145" t="s">
        <v>848</v>
      </c>
    </row>
    <row r="31" spans="1:14" x14ac:dyDescent="0.2">
      <c r="A31" s="151">
        <f t="shared" ref="A31:A33" si="1">A30+1</f>
        <v>21</v>
      </c>
      <c r="B31" s="145" t="s">
        <v>849</v>
      </c>
      <c r="C31" s="73">
        <f>'Billing Determinants'!I13</f>
        <v>1333</v>
      </c>
      <c r="D31" s="145" t="s">
        <v>850</v>
      </c>
    </row>
    <row r="32" spans="1:14" x14ac:dyDescent="0.2">
      <c r="A32" s="151">
        <f t="shared" si="1"/>
        <v>22</v>
      </c>
      <c r="B32" s="145" t="s">
        <v>851</v>
      </c>
      <c r="C32" s="73">
        <f>'Billing Determinants'!G44</f>
        <v>68830758.011996672</v>
      </c>
      <c r="D32" s="145" t="s">
        <v>852</v>
      </c>
    </row>
    <row r="33" spans="1:12" x14ac:dyDescent="0.2">
      <c r="A33" s="151">
        <f t="shared" si="1"/>
        <v>23</v>
      </c>
      <c r="B33" s="145" t="s">
        <v>853</v>
      </c>
      <c r="C33" s="73">
        <f>'Billing Determinants'!G45</f>
        <v>8624933.3968082145</v>
      </c>
      <c r="D33" s="145" t="s">
        <v>854</v>
      </c>
    </row>
    <row r="34" spans="1:12" x14ac:dyDescent="0.2">
      <c r="A34" s="151"/>
    </row>
    <row r="35" spans="1:12" x14ac:dyDescent="0.2">
      <c r="A35" s="151">
        <f>A33+1</f>
        <v>24</v>
      </c>
      <c r="B35" s="145" t="s">
        <v>855</v>
      </c>
      <c r="C35" s="87">
        <f>(C10+C12+C13+C14)/C29</f>
        <v>12.520238414891768</v>
      </c>
      <c r="D35" s="145" t="s">
        <v>856</v>
      </c>
    </row>
    <row r="36" spans="1:12" x14ac:dyDescent="0.2">
      <c r="A36" s="151">
        <f>A35+1</f>
        <v>25</v>
      </c>
      <c r="B36" s="145" t="s">
        <v>857</v>
      </c>
      <c r="C36" s="87">
        <f>C15/C30</f>
        <v>57.375031595739586</v>
      </c>
      <c r="D36" s="145" t="s">
        <v>858</v>
      </c>
    </row>
    <row r="37" spans="1:12" x14ac:dyDescent="0.2">
      <c r="A37" s="151">
        <f>A36+1</f>
        <v>26</v>
      </c>
      <c r="B37" s="145" t="s">
        <v>859</v>
      </c>
      <c r="C37" s="87">
        <f>C16/C31</f>
        <v>19.125010531913198</v>
      </c>
      <c r="D37" s="145" t="s">
        <v>860</v>
      </c>
    </row>
    <row r="38" spans="1:12" x14ac:dyDescent="0.2">
      <c r="A38" s="151">
        <f>A37+1</f>
        <v>27</v>
      </c>
      <c r="B38" s="145" t="s">
        <v>861</v>
      </c>
      <c r="C38" s="87">
        <f>C11/(C29+'Billing Determinants'!H46)</f>
        <v>3.073860096912663</v>
      </c>
      <c r="D38" s="145" t="s">
        <v>862</v>
      </c>
    </row>
    <row r="39" spans="1:12" x14ac:dyDescent="0.2">
      <c r="A39" s="151"/>
    </row>
    <row r="40" spans="1:12" x14ac:dyDescent="0.2">
      <c r="A40" s="147" t="s">
        <v>10</v>
      </c>
      <c r="B40" s="147" t="s">
        <v>863</v>
      </c>
      <c r="C40" s="148" t="s">
        <v>864</v>
      </c>
      <c r="D40" s="148" t="s">
        <v>865</v>
      </c>
      <c r="E40" s="148" t="s">
        <v>131</v>
      </c>
      <c r="F40" s="147" t="s">
        <v>23</v>
      </c>
      <c r="G40" s="147"/>
      <c r="H40" s="147"/>
      <c r="I40" s="147"/>
      <c r="J40" s="147"/>
      <c r="K40" s="147"/>
      <c r="L40" s="147"/>
    </row>
    <row r="41" spans="1:12" x14ac:dyDescent="0.2">
      <c r="B41" s="145" t="s">
        <v>24</v>
      </c>
      <c r="C41" s="146" t="s">
        <v>25</v>
      </c>
      <c r="D41" s="146" t="s">
        <v>26</v>
      </c>
      <c r="E41" s="146" t="s">
        <v>27</v>
      </c>
    </row>
    <row r="42" spans="1:12" x14ac:dyDescent="0.2">
      <c r="A42" s="151"/>
      <c r="C42" s="146"/>
      <c r="D42" s="146"/>
      <c r="E42" s="146"/>
    </row>
    <row r="43" spans="1:12" x14ac:dyDescent="0.2">
      <c r="A43" s="151">
        <f>A38+1</f>
        <v>28</v>
      </c>
      <c r="B43" s="145" t="s">
        <v>866</v>
      </c>
      <c r="C43" s="226">
        <v>10</v>
      </c>
      <c r="D43" s="156">
        <f>C29</f>
        <v>1228100</v>
      </c>
      <c r="E43" s="74">
        <f>C43*D43</f>
        <v>12281000</v>
      </c>
      <c r="F43" s="145" t="s">
        <v>867</v>
      </c>
    </row>
    <row r="44" spans="1:12" x14ac:dyDescent="0.2">
      <c r="A44" s="151">
        <f>A43+1</f>
        <v>29</v>
      </c>
      <c r="B44" s="145" t="s">
        <v>868</v>
      </c>
      <c r="C44" s="241">
        <v>40</v>
      </c>
      <c r="D44" s="156">
        <f>C30</f>
        <v>10</v>
      </c>
      <c r="E44" s="90">
        <f>C44*D44</f>
        <v>400</v>
      </c>
      <c r="F44" s="145" t="s">
        <v>867</v>
      </c>
    </row>
    <row r="45" spans="1:12" x14ac:dyDescent="0.2">
      <c r="A45" s="149">
        <f t="shared" ref="A45:A46" si="2">A44+1</f>
        <v>30</v>
      </c>
      <c r="B45" s="242" t="s">
        <v>869</v>
      </c>
      <c r="C45" s="237">
        <v>16</v>
      </c>
      <c r="D45" s="243">
        <f>C31</f>
        <v>1333</v>
      </c>
      <c r="E45" s="89">
        <f>C45*D45</f>
        <v>21328</v>
      </c>
      <c r="F45" s="147" t="s">
        <v>867</v>
      </c>
      <c r="G45" s="147"/>
      <c r="H45" s="147"/>
      <c r="I45" s="147"/>
      <c r="J45" s="147"/>
      <c r="K45" s="147"/>
      <c r="L45" s="147"/>
    </row>
    <row r="46" spans="1:12" x14ac:dyDescent="0.2">
      <c r="A46" s="151">
        <f t="shared" si="2"/>
        <v>31</v>
      </c>
      <c r="B46" s="145" t="s">
        <v>870</v>
      </c>
      <c r="C46" s="239"/>
      <c r="D46" s="156"/>
      <c r="E46" s="74">
        <f>C24-E43-E44-E45</f>
        <v>12480721.629155181</v>
      </c>
      <c r="F46" s="145" t="s">
        <v>871</v>
      </c>
    </row>
    <row r="47" spans="1:12" x14ac:dyDescent="0.2">
      <c r="A47" s="151"/>
      <c r="C47" s="239"/>
      <c r="D47" s="156"/>
      <c r="E47" s="74"/>
    </row>
    <row r="48" spans="1:12" x14ac:dyDescent="0.2">
      <c r="A48" s="151">
        <f>A46+1</f>
        <v>32</v>
      </c>
      <c r="B48" s="145" t="s">
        <v>872</v>
      </c>
      <c r="C48" s="244">
        <v>0.75</v>
      </c>
      <c r="D48" s="145" t="s">
        <v>873</v>
      </c>
      <c r="E48" s="74"/>
    </row>
    <row r="49" spans="1:12" x14ac:dyDescent="0.2">
      <c r="A49" s="151"/>
      <c r="C49" s="244"/>
      <c r="E49" s="74"/>
    </row>
    <row r="50" spans="1:12" x14ac:dyDescent="0.2">
      <c r="A50" s="149"/>
      <c r="B50" s="147" t="s">
        <v>874</v>
      </c>
      <c r="C50" s="245"/>
      <c r="D50" s="182"/>
      <c r="E50" s="89"/>
      <c r="F50" s="147"/>
      <c r="G50" s="147"/>
      <c r="H50" s="147"/>
      <c r="I50" s="147"/>
      <c r="J50" s="147"/>
      <c r="K50" s="147"/>
      <c r="L50" s="147"/>
    </row>
    <row r="51" spans="1:12" x14ac:dyDescent="0.2">
      <c r="A51" s="151">
        <f>A48+1</f>
        <v>33</v>
      </c>
      <c r="B51" s="145" t="s">
        <v>851</v>
      </c>
      <c r="C51" s="126">
        <f>ROUND(E46/(C32+C33*C48),5)</f>
        <v>0.16575000000000001</v>
      </c>
      <c r="D51" s="73">
        <f>C32</f>
        <v>68830758.011996672</v>
      </c>
      <c r="E51" s="74">
        <f>C51*D51</f>
        <v>11408698.140488449</v>
      </c>
      <c r="F51" s="145" t="s">
        <v>875</v>
      </c>
    </row>
    <row r="52" spans="1:12" x14ac:dyDescent="0.2">
      <c r="A52" s="151">
        <f>A51+1</f>
        <v>34</v>
      </c>
      <c r="B52" s="145" t="s">
        <v>853</v>
      </c>
      <c r="C52" s="127">
        <f>ROUND(C51*C48,5)</f>
        <v>0.12431</v>
      </c>
      <c r="D52" s="73">
        <f>C33</f>
        <v>8624933.3968082145</v>
      </c>
      <c r="E52" s="74">
        <f>C52*D52</f>
        <v>1072165.4705572291</v>
      </c>
      <c r="F52" s="145" t="s">
        <v>876</v>
      </c>
    </row>
    <row r="53" spans="1:12" x14ac:dyDescent="0.2">
      <c r="A53" s="151">
        <f>A52+1</f>
        <v>35</v>
      </c>
      <c r="B53" s="145" t="s">
        <v>877</v>
      </c>
      <c r="D53" s="156">
        <f>SUM(D51:D52)</f>
        <v>77455691.408804893</v>
      </c>
      <c r="E53" s="74">
        <f>E43+E44+E51+E52+E45</f>
        <v>24783591.611045677</v>
      </c>
      <c r="F53" s="145" t="s">
        <v>878</v>
      </c>
    </row>
    <row r="54" spans="1:12" x14ac:dyDescent="0.2">
      <c r="E54" s="152"/>
    </row>
    <row r="55" spans="1:12" x14ac:dyDescent="0.2">
      <c r="A55" s="147"/>
      <c r="B55" s="147" t="s">
        <v>879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</row>
    <row r="56" spans="1:12" x14ac:dyDescent="0.2">
      <c r="A56" s="151">
        <f>A53+1</f>
        <v>36</v>
      </c>
      <c r="B56" s="145" t="s">
        <v>866</v>
      </c>
      <c r="C56" s="241">
        <v>42.5</v>
      </c>
      <c r="D56" s="145">
        <f>SUM('Billing Determinants'!H55:H56)</f>
        <v>24</v>
      </c>
      <c r="E56" s="74">
        <f>C56*D56</f>
        <v>1020</v>
      </c>
      <c r="F56" s="145" t="s">
        <v>867</v>
      </c>
    </row>
    <row r="57" spans="1:12" x14ac:dyDescent="0.2">
      <c r="A57" s="151">
        <f>A56+1</f>
        <v>37</v>
      </c>
      <c r="B57" s="145" t="s">
        <v>880</v>
      </c>
      <c r="C57" s="126">
        <f>ROUND(0.05491*(1+'CLS1-1 (Class COS)'!D25),5)</f>
        <v>6.6119999999999998E-2</v>
      </c>
      <c r="D57" s="73">
        <f>'Billing Determinants'!G55</f>
        <v>18084.662493409069</v>
      </c>
      <c r="E57" s="74">
        <f>C57*D57</f>
        <v>1195.7578840642077</v>
      </c>
      <c r="F57" s="145" t="s">
        <v>881</v>
      </c>
    </row>
    <row r="58" spans="1:12" x14ac:dyDescent="0.2">
      <c r="A58" s="151">
        <f t="shared" ref="A58:A59" si="3">A57+1</f>
        <v>38</v>
      </c>
      <c r="B58" s="145" t="s">
        <v>882</v>
      </c>
      <c r="C58" s="127">
        <f>ROUND(0.10237*(1+'CLS1-1 (Class COS)'!D25),5)</f>
        <v>0.12328</v>
      </c>
      <c r="D58" s="73">
        <f>'Billing Determinants'!G56</f>
        <v>0</v>
      </c>
      <c r="E58" s="74">
        <f>C58*D58</f>
        <v>0</v>
      </c>
      <c r="F58" s="145" t="s">
        <v>881</v>
      </c>
    </row>
    <row r="59" spans="1:12" x14ac:dyDescent="0.2">
      <c r="A59" s="151">
        <f t="shared" si="3"/>
        <v>39</v>
      </c>
      <c r="B59" s="145" t="s">
        <v>877</v>
      </c>
      <c r="D59" s="156">
        <f>SUM(D57:D58)</f>
        <v>18084.662493409069</v>
      </c>
      <c r="E59" s="74">
        <f>SUM(E56:E58)</f>
        <v>2215.7578840642077</v>
      </c>
      <c r="F59" s="145" t="s">
        <v>883</v>
      </c>
    </row>
    <row r="61" spans="1:12" x14ac:dyDescent="0.2">
      <c r="A61" s="147"/>
      <c r="B61" s="147" t="s">
        <v>884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1:12" x14ac:dyDescent="0.2">
      <c r="A62" s="151">
        <f>A59+1</f>
        <v>40</v>
      </c>
      <c r="B62" s="145" t="s">
        <v>866</v>
      </c>
      <c r="C62" s="241">
        <v>42.5</v>
      </c>
      <c r="D62" s="145">
        <f>'Billing Determinants'!H15</f>
        <v>75</v>
      </c>
      <c r="E62" s="74">
        <f>C62*D62</f>
        <v>3187.5</v>
      </c>
      <c r="F62" s="145" t="s">
        <v>867</v>
      </c>
    </row>
    <row r="63" spans="1:12" x14ac:dyDescent="0.2">
      <c r="A63" s="151">
        <f>A62+1</f>
        <v>41</v>
      </c>
      <c r="B63" s="145" t="s">
        <v>885</v>
      </c>
      <c r="C63" s="127">
        <f>ROUND(0.0698*(1+'CLS1-1 (Class COS)'!D25),5)</f>
        <v>8.4059999999999996E-2</v>
      </c>
      <c r="D63" s="73">
        <f>'Billing Determinants'!G15</f>
        <v>256779.73073268565</v>
      </c>
      <c r="E63" s="74">
        <f>C63*D63</f>
        <v>21584.904165389555</v>
      </c>
      <c r="F63" s="145" t="s">
        <v>881</v>
      </c>
    </row>
    <row r="64" spans="1:12" x14ac:dyDescent="0.2">
      <c r="A64" s="151">
        <f>A63+1</f>
        <v>42</v>
      </c>
      <c r="B64" s="145" t="s">
        <v>877</v>
      </c>
      <c r="D64" s="156">
        <f>SUM(D63:D63)</f>
        <v>256779.73073268565</v>
      </c>
      <c r="E64" s="74">
        <f>SUM(E62:E63)</f>
        <v>24772.404165389555</v>
      </c>
      <c r="F64" s="145" t="s">
        <v>886</v>
      </c>
    </row>
    <row r="66" spans="1:6" x14ac:dyDescent="0.2">
      <c r="A66" s="151">
        <f>A64+1</f>
        <v>43</v>
      </c>
      <c r="B66" s="145" t="s">
        <v>887</v>
      </c>
      <c r="E66" s="152">
        <f>SUM(C20:C21,C23,E53,E59,E64)-'CLS1-1 (Class COS)'!D23</f>
        <v>141.98189049586654</v>
      </c>
      <c r="F66" s="145" t="s">
        <v>888</v>
      </c>
    </row>
  </sheetData>
  <pageMargins left="0.7" right="0.7" top="1.1200000000000001" bottom="0.75" header="0.3" footer="0.3"/>
  <pageSetup scale="56" orientation="landscape" r:id="rId1"/>
  <headerFooter>
    <oddHeader>&amp;CRULE 20:10:13:98
STATEMENT O WORKPAPER - Tab &amp;A
Small Volume Rate Design
Test Year Ending December 31, 2021
Utility: MidAmerican Energy Company
Docket No. NG22-___
Individual Responsible: Amanda Hosch</oddHeader>
    <oddFooter>&amp;C20:10:13:98
Statement O Workpaper - Tab &amp;A
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7030A0"/>
    <pageSetUpPr fitToPage="1"/>
  </sheetPr>
  <dimension ref="A1:L50"/>
  <sheetViews>
    <sheetView view="pageLayout" zoomScale="70" zoomScaleNormal="100" zoomScalePageLayoutView="70" workbookViewId="0">
      <selection activeCell="A3" sqref="A3"/>
    </sheetView>
  </sheetViews>
  <sheetFormatPr defaultColWidth="9.140625" defaultRowHeight="12.75" x14ac:dyDescent="0.2"/>
  <cols>
    <col min="1" max="1" width="9.140625" style="145"/>
    <col min="2" max="2" width="50.5703125" style="145" customWidth="1"/>
    <col min="3" max="4" width="13.85546875" style="145" customWidth="1"/>
    <col min="5" max="5" width="14.7109375" style="145" customWidth="1"/>
    <col min="6" max="16384" width="9.140625" style="145"/>
  </cols>
  <sheetData>
    <row r="1" spans="1:7" s="32" customFormat="1" ht="18" x14ac:dyDescent="0.25">
      <c r="A1" s="82" t="s">
        <v>889</v>
      </c>
    </row>
    <row r="2" spans="1:7" s="32" customFormat="1" ht="18" x14ac:dyDescent="0.25">
      <c r="A2" s="82" t="s">
        <v>815</v>
      </c>
    </row>
    <row r="3" spans="1:7" s="32" customFormat="1" ht="13.5" customHeight="1" x14ac:dyDescent="0.2">
      <c r="A3" s="319" t="s">
        <v>10</v>
      </c>
    </row>
    <row r="4" spans="1:7" x14ac:dyDescent="0.2">
      <c r="A4" s="147" t="s">
        <v>1098</v>
      </c>
      <c r="B4" s="147" t="s">
        <v>816</v>
      </c>
      <c r="C4" s="148" t="s">
        <v>844</v>
      </c>
      <c r="D4" s="147" t="s">
        <v>23</v>
      </c>
      <c r="E4" s="147"/>
      <c r="F4" s="147"/>
      <c r="G4" s="147"/>
    </row>
    <row r="5" spans="1:7" x14ac:dyDescent="0.2">
      <c r="B5" s="145" t="s">
        <v>24</v>
      </c>
      <c r="C5" s="146" t="s">
        <v>25</v>
      </c>
      <c r="D5" s="146"/>
      <c r="E5" s="146"/>
    </row>
    <row r="6" spans="1:7" x14ac:dyDescent="0.2">
      <c r="C6" s="146"/>
      <c r="D6" s="146"/>
      <c r="E6" s="146"/>
    </row>
    <row r="7" spans="1:7" x14ac:dyDescent="0.2">
      <c r="A7" s="151">
        <v>1</v>
      </c>
      <c r="B7" s="145" t="s">
        <v>389</v>
      </c>
      <c r="C7" s="74">
        <f>'CLS1-1 (Class COS)'!E7</f>
        <v>244498.67856391496</v>
      </c>
      <c r="D7" s="145" t="s">
        <v>890</v>
      </c>
    </row>
    <row r="8" spans="1:7" x14ac:dyDescent="0.2">
      <c r="A8" s="151">
        <v>2</v>
      </c>
      <c r="B8" s="145" t="s">
        <v>506</v>
      </c>
      <c r="C8" s="74">
        <f>'CLS1-1 (Class COS)'!E8</f>
        <v>1210295.4181101625</v>
      </c>
      <c r="D8" s="145" t="s">
        <v>891</v>
      </c>
    </row>
    <row r="9" spans="1:7" x14ac:dyDescent="0.2">
      <c r="A9" s="151">
        <v>3</v>
      </c>
      <c r="B9" s="145" t="s">
        <v>508</v>
      </c>
      <c r="C9" s="74">
        <f>'CLS1-1 (Class COS)'!E9</f>
        <v>2795115.4452939071</v>
      </c>
      <c r="D9" s="145" t="s">
        <v>892</v>
      </c>
    </row>
    <row r="10" spans="1:7" x14ac:dyDescent="0.2">
      <c r="A10" s="151">
        <v>4</v>
      </c>
      <c r="B10" s="145" t="s">
        <v>16</v>
      </c>
      <c r="C10" s="74">
        <f>'CLS1-1 (Class COS)'!E10</f>
        <v>424968.59258199029</v>
      </c>
      <c r="D10" s="145" t="s">
        <v>893</v>
      </c>
    </row>
    <row r="11" spans="1:7" x14ac:dyDescent="0.2">
      <c r="A11" s="151">
        <v>5</v>
      </c>
      <c r="B11" s="145" t="s">
        <v>17</v>
      </c>
      <c r="C11" s="74">
        <f>'CLS1-1 (Class COS)'!E11</f>
        <v>422461.42060846294</v>
      </c>
      <c r="D11" s="145" t="s">
        <v>894</v>
      </c>
    </row>
    <row r="12" spans="1:7" x14ac:dyDescent="0.2">
      <c r="A12" s="151">
        <v>6</v>
      </c>
      <c r="B12" s="145" t="s">
        <v>18</v>
      </c>
      <c r="C12" s="74">
        <f>'CLS1-1 (Class COS)'!E12</f>
        <v>51340.820412374036</v>
      </c>
      <c r="D12" s="145" t="s">
        <v>895</v>
      </c>
    </row>
    <row r="13" spans="1:7" x14ac:dyDescent="0.2">
      <c r="A13" s="151">
        <v>7</v>
      </c>
      <c r="B13" s="145" t="s">
        <v>392</v>
      </c>
      <c r="C13" s="74">
        <f>'CLS1-1 (Class COS)'!E13</f>
        <v>16414.294614843293</v>
      </c>
      <c r="D13" s="145" t="s">
        <v>896</v>
      </c>
    </row>
    <row r="14" spans="1:7" x14ac:dyDescent="0.2">
      <c r="A14" s="151">
        <v>8</v>
      </c>
      <c r="B14" s="145" t="s">
        <v>393</v>
      </c>
      <c r="C14" s="74">
        <f>'CLS1-1 (Class COS)'!E14</f>
        <v>502381.72739649314</v>
      </c>
      <c r="D14" s="145" t="s">
        <v>897</v>
      </c>
    </row>
    <row r="15" spans="1:7" x14ac:dyDescent="0.2">
      <c r="A15" s="151">
        <f t="shared" ref="A15:A20" si="0">A14+1</f>
        <v>9</v>
      </c>
      <c r="B15" s="145" t="s">
        <v>826</v>
      </c>
      <c r="C15" s="74">
        <f>'CLS1-1 (Class COS)'!E15</f>
        <v>71202.41421031284</v>
      </c>
      <c r="D15" s="145" t="s">
        <v>898</v>
      </c>
    </row>
    <row r="16" spans="1:7" x14ac:dyDescent="0.2">
      <c r="A16" s="151">
        <f t="shared" si="0"/>
        <v>10</v>
      </c>
      <c r="B16" s="145" t="s">
        <v>828</v>
      </c>
      <c r="C16" s="74">
        <f>'CLS1-1 (Class COS)'!E16</f>
        <v>66038.661366696266</v>
      </c>
      <c r="D16" s="145" t="s">
        <v>899</v>
      </c>
    </row>
    <row r="17" spans="1:7" x14ac:dyDescent="0.2">
      <c r="A17" s="151">
        <f t="shared" si="0"/>
        <v>11</v>
      </c>
      <c r="B17" s="145" t="s">
        <v>519</v>
      </c>
      <c r="C17" s="90">
        <f>'CLS1-1 (Class COS)'!E17</f>
        <v>43737.797725303644</v>
      </c>
      <c r="D17" s="145" t="s">
        <v>900</v>
      </c>
    </row>
    <row r="18" spans="1:7" x14ac:dyDescent="0.2">
      <c r="A18" s="149">
        <f t="shared" si="0"/>
        <v>12</v>
      </c>
      <c r="B18" s="147" t="s">
        <v>521</v>
      </c>
      <c r="C18" s="89">
        <f>'CLS1-1 (Class COS)'!E18</f>
        <v>22260</v>
      </c>
      <c r="D18" s="147" t="s">
        <v>901</v>
      </c>
      <c r="E18" s="147"/>
      <c r="F18" s="147"/>
      <c r="G18" s="147"/>
    </row>
    <row r="19" spans="1:7" x14ac:dyDescent="0.2">
      <c r="A19" s="151">
        <f t="shared" si="0"/>
        <v>13</v>
      </c>
      <c r="B19" s="145" t="s">
        <v>338</v>
      </c>
      <c r="C19" s="152">
        <f>SUM(C7:C18)</f>
        <v>5870715.2708844608</v>
      </c>
      <c r="D19" s="145" t="s">
        <v>832</v>
      </c>
    </row>
    <row r="20" spans="1:7" x14ac:dyDescent="0.2">
      <c r="A20" s="151">
        <f t="shared" si="0"/>
        <v>14</v>
      </c>
      <c r="B20" s="145" t="s">
        <v>833</v>
      </c>
      <c r="C20" s="152">
        <f>'SRC-2 (S.D. Revenue)'!L62</f>
        <v>51488.538579944485</v>
      </c>
      <c r="D20" s="145" t="s">
        <v>902</v>
      </c>
    </row>
    <row r="21" spans="1:7" x14ac:dyDescent="0.2">
      <c r="A21" s="151">
        <f>A20+1</f>
        <v>15</v>
      </c>
      <c r="B21" s="145" t="s">
        <v>835</v>
      </c>
      <c r="C21" s="152">
        <f>C11-'RD-4 (MTR)'!H219</f>
        <v>427386.04545661993</v>
      </c>
      <c r="D21" s="145" t="s">
        <v>903</v>
      </c>
    </row>
    <row r="22" spans="1:7" x14ac:dyDescent="0.2">
      <c r="A22" s="149">
        <f>+A21+1</f>
        <v>16</v>
      </c>
      <c r="B22" s="147" t="s">
        <v>839</v>
      </c>
      <c r="C22" s="236">
        <f>('CLS1-1 (Class COS)'!E23-'CLS1-1 (Class COS)'!E20)</f>
        <v>23915.955191169865</v>
      </c>
      <c r="D22" s="147" t="s">
        <v>904</v>
      </c>
      <c r="E22" s="147"/>
      <c r="F22" s="147"/>
      <c r="G22" s="147"/>
    </row>
    <row r="23" spans="1:7" x14ac:dyDescent="0.2">
      <c r="A23" s="151">
        <f>A22+1</f>
        <v>17</v>
      </c>
      <c r="B23" s="145" t="s">
        <v>841</v>
      </c>
      <c r="C23" s="152">
        <f>C19-C20-C21-C22</f>
        <v>5367924.7316567264</v>
      </c>
      <c r="D23" s="145" t="s">
        <v>905</v>
      </c>
    </row>
    <row r="25" spans="1:7" x14ac:dyDescent="0.2">
      <c r="A25" s="147" t="s">
        <v>10</v>
      </c>
      <c r="B25" s="147" t="s">
        <v>906</v>
      </c>
      <c r="C25" s="148" t="s">
        <v>844</v>
      </c>
      <c r="D25" s="147" t="s">
        <v>23</v>
      </c>
      <c r="E25" s="147"/>
      <c r="F25" s="147"/>
      <c r="G25" s="147"/>
    </row>
    <row r="26" spans="1:7" x14ac:dyDescent="0.2">
      <c r="B26" s="145" t="s">
        <v>24</v>
      </c>
      <c r="C26" s="146" t="s">
        <v>25</v>
      </c>
    </row>
    <row r="27" spans="1:7" x14ac:dyDescent="0.2">
      <c r="C27" s="146"/>
    </row>
    <row r="28" spans="1:7" x14ac:dyDescent="0.2">
      <c r="A28" s="151">
        <f>A23+1</f>
        <v>18</v>
      </c>
      <c r="B28" s="145" t="s">
        <v>845</v>
      </c>
      <c r="C28" s="73">
        <f>'Billing Determinants'!H47</f>
        <v>22291</v>
      </c>
      <c r="D28" s="145" t="s">
        <v>907</v>
      </c>
    </row>
    <row r="29" spans="1:7" x14ac:dyDescent="0.2">
      <c r="A29" s="151">
        <f>A28+1</f>
        <v>19</v>
      </c>
      <c r="B29" s="145" t="s">
        <v>847</v>
      </c>
      <c r="C29" s="73">
        <f>'Billing Determinants'!I16</f>
        <v>1241</v>
      </c>
      <c r="D29" s="145" t="s">
        <v>848</v>
      </c>
    </row>
    <row r="30" spans="1:7" x14ac:dyDescent="0.2">
      <c r="A30" s="151">
        <f t="shared" ref="A30" si="1">A29+1</f>
        <v>20</v>
      </c>
      <c r="B30" s="145" t="s">
        <v>849</v>
      </c>
      <c r="C30" s="73">
        <f>'Billing Determinants'!I17</f>
        <v>3453</v>
      </c>
      <c r="D30" s="145" t="s">
        <v>850</v>
      </c>
    </row>
    <row r="31" spans="1:7" x14ac:dyDescent="0.2">
      <c r="A31" s="151">
        <f>A30+1</f>
        <v>21</v>
      </c>
      <c r="B31" s="145" t="s">
        <v>107</v>
      </c>
      <c r="C31" s="73">
        <f>'Billing Determinants'!G47</f>
        <v>42090450.520729125</v>
      </c>
      <c r="D31" s="145" t="s">
        <v>908</v>
      </c>
    </row>
    <row r="32" spans="1:7" x14ac:dyDescent="0.2">
      <c r="A32" s="151"/>
    </row>
    <row r="33" spans="1:12" x14ac:dyDescent="0.2">
      <c r="A33" s="151">
        <f>A31+1</f>
        <v>22</v>
      </c>
      <c r="B33" s="145" t="s">
        <v>855</v>
      </c>
      <c r="C33" s="87">
        <f>(C10+C12+C13+C14)/C28</f>
        <v>44.641578888596328</v>
      </c>
      <c r="D33" s="145" t="s">
        <v>909</v>
      </c>
    </row>
    <row r="34" spans="1:12" x14ac:dyDescent="0.2">
      <c r="A34" s="151">
        <f>A33+1</f>
        <v>23</v>
      </c>
      <c r="B34" s="145" t="s">
        <v>857</v>
      </c>
      <c r="C34" s="87">
        <f>C15/C29</f>
        <v>57.3750315957396</v>
      </c>
      <c r="D34" s="145" t="s">
        <v>910</v>
      </c>
    </row>
    <row r="35" spans="1:12" x14ac:dyDescent="0.2">
      <c r="A35" s="151">
        <f>A34+1</f>
        <v>24</v>
      </c>
      <c r="B35" s="145" t="s">
        <v>859</v>
      </c>
      <c r="C35" s="87">
        <f>C16/C30</f>
        <v>19.125010531913198</v>
      </c>
      <c r="D35" s="145" t="s">
        <v>911</v>
      </c>
    </row>
    <row r="36" spans="1:12" x14ac:dyDescent="0.2">
      <c r="A36" s="151">
        <f>A35+1</f>
        <v>25</v>
      </c>
      <c r="B36" s="145" t="s">
        <v>861</v>
      </c>
      <c r="C36" s="87">
        <f>C11/C28</f>
        <v>18.952107155733835</v>
      </c>
      <c r="D36" s="145" t="s">
        <v>912</v>
      </c>
    </row>
    <row r="38" spans="1:12" x14ac:dyDescent="0.2">
      <c r="A38" s="147" t="s">
        <v>10</v>
      </c>
      <c r="B38" s="147" t="s">
        <v>863</v>
      </c>
      <c r="C38" s="148" t="s">
        <v>864</v>
      </c>
      <c r="D38" s="148" t="s">
        <v>865</v>
      </c>
      <c r="E38" s="148" t="s">
        <v>131</v>
      </c>
      <c r="F38" s="147" t="s">
        <v>23</v>
      </c>
      <c r="G38" s="147"/>
    </row>
    <row r="39" spans="1:12" x14ac:dyDescent="0.2">
      <c r="B39" s="145" t="s">
        <v>24</v>
      </c>
      <c r="C39" s="146" t="s">
        <v>25</v>
      </c>
      <c r="D39" s="146" t="s">
        <v>26</v>
      </c>
      <c r="E39" s="146" t="s">
        <v>27</v>
      </c>
    </row>
    <row r="40" spans="1:12" x14ac:dyDescent="0.2">
      <c r="A40" s="151"/>
      <c r="C40" s="146"/>
      <c r="D40" s="146"/>
      <c r="E40" s="146"/>
    </row>
    <row r="41" spans="1:12" x14ac:dyDescent="0.2">
      <c r="A41" s="151">
        <f>A36+1</f>
        <v>26</v>
      </c>
      <c r="B41" s="145" t="s">
        <v>866</v>
      </c>
      <c r="C41" s="226">
        <v>42.5</v>
      </c>
      <c r="D41" s="156">
        <f>C28</f>
        <v>22291</v>
      </c>
      <c r="E41" s="74">
        <f>C41*D41</f>
        <v>947367.5</v>
      </c>
      <c r="F41" s="145" t="s">
        <v>867</v>
      </c>
    </row>
    <row r="42" spans="1:12" x14ac:dyDescent="0.2">
      <c r="A42" s="151">
        <f>A41+1</f>
        <v>27</v>
      </c>
      <c r="B42" s="145" t="s">
        <v>868</v>
      </c>
      <c r="C42" s="241">
        <v>40</v>
      </c>
      <c r="D42" s="156">
        <f>C29</f>
        <v>1241</v>
      </c>
      <c r="E42" s="90">
        <f>C42*D42</f>
        <v>49640</v>
      </c>
      <c r="F42" s="145" t="s">
        <v>867</v>
      </c>
    </row>
    <row r="43" spans="1:12" x14ac:dyDescent="0.2">
      <c r="A43" s="149">
        <f t="shared" ref="A43" si="2">A42+1</f>
        <v>28</v>
      </c>
      <c r="B43" s="242" t="s">
        <v>869</v>
      </c>
      <c r="C43" s="237">
        <v>16</v>
      </c>
      <c r="D43" s="243">
        <f>C30</f>
        <v>3453</v>
      </c>
      <c r="E43" s="89">
        <f>C43*D43</f>
        <v>55248</v>
      </c>
      <c r="F43" s="147" t="s">
        <v>867</v>
      </c>
      <c r="G43" s="147"/>
      <c r="H43" s="147"/>
      <c r="I43" s="147"/>
      <c r="J43" s="147"/>
      <c r="K43" s="147"/>
      <c r="L43" s="147"/>
    </row>
    <row r="44" spans="1:12" x14ac:dyDescent="0.2">
      <c r="A44" s="151">
        <f>+A43+1</f>
        <v>29</v>
      </c>
      <c r="B44" s="145" t="s">
        <v>870</v>
      </c>
      <c r="C44" s="239"/>
      <c r="D44" s="156"/>
      <c r="E44" s="74">
        <f>C23-E41-E42-E43</f>
        <v>4315669.2316567264</v>
      </c>
      <c r="F44" s="145" t="s">
        <v>913</v>
      </c>
    </row>
    <row r="45" spans="1:12" x14ac:dyDescent="0.2">
      <c r="A45" s="151"/>
      <c r="C45" s="239"/>
      <c r="D45" s="156"/>
      <c r="E45" s="74"/>
    </row>
    <row r="46" spans="1:12" x14ac:dyDescent="0.2">
      <c r="A46" s="151">
        <f>+A44+1</f>
        <v>30</v>
      </c>
      <c r="B46" s="145" t="s">
        <v>885</v>
      </c>
      <c r="C46" s="85">
        <f>ROUND(E44/C31,5)</f>
        <v>0.10253</v>
      </c>
      <c r="D46" s="73">
        <f>C31</f>
        <v>42090450.520729125</v>
      </c>
      <c r="E46" s="74">
        <f>C46*D46</f>
        <v>4315533.8918903572</v>
      </c>
      <c r="F46" s="145" t="s">
        <v>914</v>
      </c>
    </row>
    <row r="47" spans="1:12" x14ac:dyDescent="0.2">
      <c r="A47" s="151"/>
    </row>
    <row r="48" spans="1:12" x14ac:dyDescent="0.2">
      <c r="A48" s="151">
        <f>+A46+1</f>
        <v>31</v>
      </c>
      <c r="B48" s="145" t="s">
        <v>877</v>
      </c>
      <c r="D48" s="156">
        <f>D46</f>
        <v>42090450.520729125</v>
      </c>
      <c r="E48" s="74">
        <f>E41+E42+E46+E43</f>
        <v>5367789.3918903572</v>
      </c>
      <c r="F48" s="145" t="s">
        <v>915</v>
      </c>
    </row>
    <row r="49" spans="1:6" x14ac:dyDescent="0.2">
      <c r="A49" s="151"/>
      <c r="D49" s="156"/>
      <c r="E49" s="74"/>
    </row>
    <row r="50" spans="1:6" x14ac:dyDescent="0.2">
      <c r="A50" s="151">
        <f>+A48+1</f>
        <v>32</v>
      </c>
      <c r="B50" s="145" t="s">
        <v>887</v>
      </c>
      <c r="E50" s="152">
        <f>E48-C23</f>
        <v>-135.33976636920124</v>
      </c>
      <c r="F50" s="145" t="s">
        <v>916</v>
      </c>
    </row>
  </sheetData>
  <pageMargins left="0.7" right="0.7" top="1.3978124999999999" bottom="0.75" header="0.3" footer="0.3"/>
  <pageSetup scale="71" orientation="landscape" r:id="rId1"/>
  <headerFooter>
    <oddHeader>&amp;CRULE 20:10:13:98
STATEMENT O WORKPAPER - Tab &amp;A
Medium Volume Rate Design
Test Year Ending December 31, 2021
Utility: MidAmerican Energy Company
Docket No. NG22-___
Individual Responsible: Amanda Hosch</oddHeader>
    <oddFooter>&amp;C20:10:13:98
Statement O Workpaper - Tab &amp;A
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7030A0"/>
    <pageSetUpPr fitToPage="1"/>
  </sheetPr>
  <dimension ref="A1:J68"/>
  <sheetViews>
    <sheetView view="pageLayout" zoomScale="85" zoomScaleNormal="100" zoomScalePageLayoutView="85" workbookViewId="0">
      <selection activeCell="A5" sqref="A5"/>
    </sheetView>
  </sheetViews>
  <sheetFormatPr defaultColWidth="9.140625" defaultRowHeight="12.75" x14ac:dyDescent="0.2"/>
  <cols>
    <col min="1" max="1" width="9.140625" style="145"/>
    <col min="2" max="2" width="48" style="145" customWidth="1"/>
    <col min="3" max="4" width="13.85546875" style="145" customWidth="1"/>
    <col min="5" max="5" width="14.7109375" style="145" customWidth="1"/>
    <col min="6" max="16384" width="9.140625" style="145"/>
  </cols>
  <sheetData>
    <row r="1" spans="1:10" s="32" customFormat="1" ht="18" x14ac:dyDescent="0.25">
      <c r="A1" s="82" t="s">
        <v>917</v>
      </c>
    </row>
    <row r="2" spans="1:10" s="32" customFormat="1" ht="18" x14ac:dyDescent="0.25">
      <c r="A2" s="82" t="s">
        <v>815</v>
      </c>
    </row>
    <row r="3" spans="1:10" s="32" customFormat="1" ht="13.5" customHeight="1" x14ac:dyDescent="0.2">
      <c r="A3" s="318" t="s">
        <v>10</v>
      </c>
    </row>
    <row r="4" spans="1:10" x14ac:dyDescent="0.2">
      <c r="A4" s="147" t="s">
        <v>1098</v>
      </c>
      <c r="B4" s="147" t="s">
        <v>816</v>
      </c>
      <c r="C4" s="148" t="s">
        <v>844</v>
      </c>
      <c r="D4" s="147" t="s">
        <v>23</v>
      </c>
      <c r="E4" s="147"/>
      <c r="F4" s="147"/>
      <c r="G4" s="147"/>
      <c r="H4" s="147"/>
      <c r="I4" s="147"/>
      <c r="J4" s="147"/>
    </row>
    <row r="5" spans="1:10" x14ac:dyDescent="0.2">
      <c r="B5" s="145" t="s">
        <v>24</v>
      </c>
      <c r="C5" s="146" t="s">
        <v>25</v>
      </c>
      <c r="D5" s="146"/>
      <c r="E5" s="146"/>
    </row>
    <row r="6" spans="1:10" x14ac:dyDescent="0.2">
      <c r="C6" s="146"/>
      <c r="D6" s="146"/>
      <c r="E6" s="146"/>
    </row>
    <row r="7" spans="1:10" x14ac:dyDescent="0.2">
      <c r="A7" s="151">
        <v>1</v>
      </c>
      <c r="B7" s="145" t="s">
        <v>389</v>
      </c>
      <c r="C7" s="74">
        <f>'CLS1-1 (Class COS)'!F7</f>
        <v>5174.5200265409085</v>
      </c>
      <c r="D7" s="145" t="s">
        <v>918</v>
      </c>
    </row>
    <row r="8" spans="1:10" x14ac:dyDescent="0.2">
      <c r="A8" s="151">
        <v>2</v>
      </c>
      <c r="B8" s="145" t="s">
        <v>506</v>
      </c>
      <c r="C8" s="74">
        <f>'CLS1-1 (Class COS)'!F8</f>
        <v>948730.35301704612</v>
      </c>
      <c r="D8" s="145" t="s">
        <v>919</v>
      </c>
    </row>
    <row r="9" spans="1:10" x14ac:dyDescent="0.2">
      <c r="A9" s="151">
        <v>3</v>
      </c>
      <c r="B9" s="145" t="s">
        <v>508</v>
      </c>
      <c r="C9" s="74">
        <f>'CLS1-1 (Class COS)'!F9</f>
        <v>1164626.75524569</v>
      </c>
      <c r="D9" s="145" t="s">
        <v>920</v>
      </c>
    </row>
    <row r="10" spans="1:10" x14ac:dyDescent="0.2">
      <c r="A10" s="151">
        <v>4</v>
      </c>
      <c r="B10" s="145" t="s">
        <v>16</v>
      </c>
      <c r="C10" s="74">
        <f>'CLS1-1 (Class COS)'!F10</f>
        <v>18632.06047437957</v>
      </c>
      <c r="D10" s="145" t="s">
        <v>921</v>
      </c>
    </row>
    <row r="11" spans="1:10" x14ac:dyDescent="0.2">
      <c r="A11" s="151">
        <v>5</v>
      </c>
      <c r="B11" s="145" t="s">
        <v>17</v>
      </c>
      <c r="C11" s="74">
        <f>'CLS1-1 (Class COS)'!F11</f>
        <v>20908.979258904252</v>
      </c>
      <c r="D11" s="145" t="s">
        <v>922</v>
      </c>
    </row>
    <row r="12" spans="1:10" x14ac:dyDescent="0.2">
      <c r="A12" s="151">
        <v>6</v>
      </c>
      <c r="B12" s="145" t="s">
        <v>18</v>
      </c>
      <c r="C12" s="74">
        <f>'CLS1-1 (Class COS)'!F12</f>
        <v>1152.1414746377754</v>
      </c>
      <c r="D12" s="145" t="s">
        <v>923</v>
      </c>
    </row>
    <row r="13" spans="1:10" x14ac:dyDescent="0.2">
      <c r="A13" s="151">
        <v>7</v>
      </c>
      <c r="B13" s="145" t="s">
        <v>392</v>
      </c>
      <c r="C13" s="74">
        <f>'CLS1-1 (Class COS)'!F13</f>
        <v>0</v>
      </c>
      <c r="D13" s="145" t="s">
        <v>924</v>
      </c>
    </row>
    <row r="14" spans="1:10" x14ac:dyDescent="0.2">
      <c r="A14" s="151">
        <v>8</v>
      </c>
      <c r="B14" s="145" t="s">
        <v>393</v>
      </c>
      <c r="C14" s="74">
        <f>'CLS1-1 (Class COS)'!F14</f>
        <v>7302.1255069967165</v>
      </c>
      <c r="D14" s="145" t="s">
        <v>925</v>
      </c>
    </row>
    <row r="15" spans="1:10" x14ac:dyDescent="0.2">
      <c r="A15" s="151">
        <v>9</v>
      </c>
      <c r="B15" s="145" t="s">
        <v>826</v>
      </c>
      <c r="C15" s="90">
        <f>'CLS1-1 (Class COS)'!F15+'CLS1-1 (Class COS)'!F16</f>
        <v>17901.009857870751</v>
      </c>
      <c r="D15" s="145" t="s">
        <v>926</v>
      </c>
    </row>
    <row r="16" spans="1:10" x14ac:dyDescent="0.2">
      <c r="A16" s="151">
        <v>10</v>
      </c>
      <c r="B16" s="145" t="s">
        <v>519</v>
      </c>
      <c r="C16" s="90">
        <f>'CLS1-1 (Class COS)'!F17</f>
        <v>1411.2183853005395</v>
      </c>
      <c r="D16" s="145" t="s">
        <v>927</v>
      </c>
    </row>
    <row r="17" spans="1:10" x14ac:dyDescent="0.2">
      <c r="A17" s="149">
        <f>+A16+1</f>
        <v>11</v>
      </c>
      <c r="B17" s="147" t="s">
        <v>521</v>
      </c>
      <c r="C17" s="89">
        <f>'CLS1-1 (Class COS)'!F18</f>
        <v>6755</v>
      </c>
      <c r="D17" s="147" t="s">
        <v>928</v>
      </c>
      <c r="E17" s="147"/>
      <c r="F17" s="147"/>
      <c r="G17" s="147"/>
      <c r="H17" s="147"/>
      <c r="I17" s="147"/>
      <c r="J17" s="147"/>
    </row>
    <row r="18" spans="1:10" x14ac:dyDescent="0.2">
      <c r="A18" s="151">
        <f t="shared" ref="A18:A21" si="0">+A17+1</f>
        <v>12</v>
      </c>
      <c r="B18" s="145" t="s">
        <v>338</v>
      </c>
      <c r="C18" s="152">
        <f>SUM(C7:C17)</f>
        <v>2192594.1632473664</v>
      </c>
      <c r="D18" s="145" t="s">
        <v>929</v>
      </c>
    </row>
    <row r="19" spans="1:10" x14ac:dyDescent="0.2">
      <c r="A19" s="151">
        <f t="shared" si="0"/>
        <v>13</v>
      </c>
      <c r="B19" s="145" t="s">
        <v>833</v>
      </c>
      <c r="C19" s="152">
        <f>'SRC-2 (S.D. Revenue)'!L63</f>
        <v>1095.9152047774367</v>
      </c>
      <c r="D19" s="145" t="s">
        <v>930</v>
      </c>
    </row>
    <row r="20" spans="1:10" x14ac:dyDescent="0.2">
      <c r="A20" s="151">
        <f t="shared" si="0"/>
        <v>14</v>
      </c>
      <c r="B20" s="145" t="s">
        <v>835</v>
      </c>
      <c r="C20" s="152">
        <f>C11-'RD-4 (MTR)'!H220</f>
        <v>21509.230346309792</v>
      </c>
      <c r="D20" s="145" t="s">
        <v>931</v>
      </c>
    </row>
    <row r="21" spans="1:10" x14ac:dyDescent="0.2">
      <c r="A21" s="151">
        <f t="shared" si="0"/>
        <v>15</v>
      </c>
      <c r="B21" s="145" t="s">
        <v>932</v>
      </c>
      <c r="C21" s="152">
        <f>E64</f>
        <v>0</v>
      </c>
      <c r="D21" s="145" t="s">
        <v>933</v>
      </c>
    </row>
    <row r="22" spans="1:10" x14ac:dyDescent="0.2">
      <c r="A22" s="149">
        <f>+A21+1</f>
        <v>16</v>
      </c>
      <c r="B22" s="147" t="s">
        <v>839</v>
      </c>
      <c r="C22" s="236">
        <f>('CLS1-1 (Class COS)'!F23-'CLS1-1 (Class COS)'!F20)</f>
        <v>8932.1285978062078</v>
      </c>
      <c r="D22" s="147" t="s">
        <v>934</v>
      </c>
      <c r="E22" s="147"/>
      <c r="F22" s="147"/>
      <c r="G22" s="147"/>
      <c r="H22" s="147"/>
      <c r="I22" s="147"/>
      <c r="J22" s="147"/>
    </row>
    <row r="23" spans="1:10" x14ac:dyDescent="0.2">
      <c r="A23" s="151">
        <f>A22+1</f>
        <v>17</v>
      </c>
      <c r="B23" s="145" t="s">
        <v>841</v>
      </c>
      <c r="C23" s="152">
        <f>C18-C19-C20-C21-C22</f>
        <v>2161056.8890984729</v>
      </c>
      <c r="D23" s="145" t="s">
        <v>935</v>
      </c>
    </row>
    <row r="25" spans="1:10" x14ac:dyDescent="0.2">
      <c r="A25" s="147" t="s">
        <v>10</v>
      </c>
      <c r="B25" s="147" t="s">
        <v>906</v>
      </c>
      <c r="C25" s="148" t="s">
        <v>844</v>
      </c>
      <c r="D25" s="147" t="s">
        <v>23</v>
      </c>
      <c r="E25" s="147"/>
      <c r="F25" s="147"/>
      <c r="G25" s="147"/>
      <c r="H25" s="147"/>
      <c r="I25" s="147"/>
      <c r="J25" s="147"/>
    </row>
    <row r="26" spans="1:10" x14ac:dyDescent="0.2">
      <c r="B26" s="145" t="s">
        <v>24</v>
      </c>
      <c r="C26" s="146" t="s">
        <v>25</v>
      </c>
    </row>
    <row r="27" spans="1:10" x14ac:dyDescent="0.2">
      <c r="C27" s="146"/>
    </row>
    <row r="28" spans="1:10" x14ac:dyDescent="0.2">
      <c r="A28" s="151">
        <f>A23+1</f>
        <v>18</v>
      </c>
      <c r="B28" s="145" t="s">
        <v>845</v>
      </c>
      <c r="C28" s="73">
        <f>'Billing Determinants'!H48</f>
        <v>324</v>
      </c>
      <c r="D28" s="145" t="s">
        <v>936</v>
      </c>
    </row>
    <row r="29" spans="1:10" x14ac:dyDescent="0.2">
      <c r="A29" s="151">
        <f>A28+1</f>
        <v>19</v>
      </c>
      <c r="B29" s="145" t="s">
        <v>937</v>
      </c>
      <c r="C29" s="73">
        <f>'Billing Determinants'!I48</f>
        <v>312</v>
      </c>
      <c r="D29" s="145" t="s">
        <v>938</v>
      </c>
    </row>
    <row r="30" spans="1:10" x14ac:dyDescent="0.2">
      <c r="A30" s="151">
        <f t="shared" ref="A30:A32" si="1">A29+1</f>
        <v>20</v>
      </c>
      <c r="B30" s="145" t="s">
        <v>107</v>
      </c>
      <c r="C30" s="73">
        <f>'Billing Determinants'!G48</f>
        <v>32994000.789932065</v>
      </c>
      <c r="D30" s="145" t="s">
        <v>939</v>
      </c>
    </row>
    <row r="31" spans="1:10" x14ac:dyDescent="0.2">
      <c r="A31" s="151">
        <f t="shared" si="1"/>
        <v>21</v>
      </c>
      <c r="B31" s="145" t="s">
        <v>940</v>
      </c>
      <c r="C31" s="73">
        <f>'Billing Determinants'!J49</f>
        <v>2361108</v>
      </c>
      <c r="D31" s="145" t="s">
        <v>941</v>
      </c>
    </row>
    <row r="32" spans="1:10" x14ac:dyDescent="0.2">
      <c r="A32" s="151">
        <f t="shared" si="1"/>
        <v>22</v>
      </c>
      <c r="B32" s="145" t="s">
        <v>942</v>
      </c>
      <c r="C32" s="73">
        <f>'Billing Determinants'!K49</f>
        <v>153432</v>
      </c>
      <c r="D32" s="145" t="s">
        <v>908</v>
      </c>
    </row>
    <row r="33" spans="1:10" x14ac:dyDescent="0.2">
      <c r="A33" s="151"/>
    </row>
    <row r="34" spans="1:10" x14ac:dyDescent="0.2">
      <c r="A34" s="151">
        <f>A32+1</f>
        <v>23</v>
      </c>
      <c r="B34" s="145" t="s">
        <v>855</v>
      </c>
      <c r="C34" s="87">
        <f>(C10+C12+C13+C14)/C28</f>
        <v>83.599776098808832</v>
      </c>
      <c r="D34" s="145" t="s">
        <v>943</v>
      </c>
    </row>
    <row r="35" spans="1:10" x14ac:dyDescent="0.2">
      <c r="A35" s="151">
        <f>A34+1</f>
        <v>24</v>
      </c>
      <c r="B35" s="145" t="s">
        <v>944</v>
      </c>
      <c r="C35" s="87">
        <f>C15/C29</f>
        <v>57.375031595739586</v>
      </c>
      <c r="D35" s="145" t="s">
        <v>910</v>
      </c>
    </row>
    <row r="36" spans="1:10" x14ac:dyDescent="0.2">
      <c r="A36" s="151">
        <f>A35+1</f>
        <v>25</v>
      </c>
      <c r="B36" s="145" t="s">
        <v>861</v>
      </c>
      <c r="C36" s="87">
        <f>C11/C28</f>
        <v>64.533886601556333</v>
      </c>
      <c r="D36" s="145" t="s">
        <v>912</v>
      </c>
    </row>
    <row r="38" spans="1:10" x14ac:dyDescent="0.2">
      <c r="A38" s="147" t="s">
        <v>10</v>
      </c>
      <c r="B38" s="147" t="s">
        <v>863</v>
      </c>
      <c r="C38" s="148" t="s">
        <v>864</v>
      </c>
      <c r="D38" s="148" t="s">
        <v>865</v>
      </c>
      <c r="E38" s="148" t="s">
        <v>131</v>
      </c>
      <c r="F38" s="147" t="s">
        <v>23</v>
      </c>
      <c r="G38" s="147"/>
      <c r="H38" s="147"/>
      <c r="I38" s="147"/>
      <c r="J38" s="147"/>
    </row>
    <row r="39" spans="1:10" x14ac:dyDescent="0.2">
      <c r="B39" s="145" t="s">
        <v>24</v>
      </c>
      <c r="C39" s="146" t="s">
        <v>25</v>
      </c>
      <c r="D39" s="146" t="s">
        <v>26</v>
      </c>
      <c r="E39" s="146" t="s">
        <v>27</v>
      </c>
    </row>
    <row r="40" spans="1:10" x14ac:dyDescent="0.2">
      <c r="A40" s="151"/>
      <c r="C40" s="146"/>
      <c r="D40" s="146"/>
      <c r="E40" s="146"/>
    </row>
    <row r="41" spans="1:10" x14ac:dyDescent="0.2">
      <c r="A41" s="151">
        <f>A36+1</f>
        <v>26</v>
      </c>
      <c r="B41" s="145" t="s">
        <v>866</v>
      </c>
      <c r="C41" s="226">
        <v>80</v>
      </c>
      <c r="D41" s="156">
        <f>C28</f>
        <v>324</v>
      </c>
      <c r="E41" s="74">
        <f>C41*D41</f>
        <v>25920</v>
      </c>
      <c r="F41" s="145" t="s">
        <v>867</v>
      </c>
    </row>
    <row r="42" spans="1:10" x14ac:dyDescent="0.2">
      <c r="A42" s="149">
        <f>A41+1</f>
        <v>27</v>
      </c>
      <c r="B42" s="147" t="s">
        <v>945</v>
      </c>
      <c r="C42" s="237">
        <v>40</v>
      </c>
      <c r="D42" s="182">
        <f>C29</f>
        <v>312</v>
      </c>
      <c r="E42" s="89">
        <f>C42*D42</f>
        <v>12480</v>
      </c>
      <c r="F42" s="147" t="s">
        <v>867</v>
      </c>
      <c r="G42" s="147"/>
    </row>
    <row r="43" spans="1:10" x14ac:dyDescent="0.2">
      <c r="A43" s="151">
        <f>A42+1</f>
        <v>28</v>
      </c>
      <c r="B43" s="145" t="s">
        <v>946</v>
      </c>
      <c r="C43" s="238"/>
      <c r="D43" s="156"/>
      <c r="E43" s="90">
        <f>E41+E42</f>
        <v>38400</v>
      </c>
      <c r="F43" s="145" t="s">
        <v>947</v>
      </c>
    </row>
    <row r="44" spans="1:10" x14ac:dyDescent="0.2">
      <c r="A44" s="151"/>
      <c r="C44" s="239"/>
      <c r="D44" s="156"/>
      <c r="E44" s="74"/>
    </row>
    <row r="45" spans="1:10" x14ac:dyDescent="0.2">
      <c r="A45" s="151">
        <f>A43+1</f>
        <v>29</v>
      </c>
      <c r="B45" s="145" t="s">
        <v>508</v>
      </c>
      <c r="C45" s="74">
        <f>C9</f>
        <v>1164626.75524569</v>
      </c>
      <c r="D45" s="145" t="s">
        <v>948</v>
      </c>
      <c r="E45" s="74"/>
    </row>
    <row r="46" spans="1:10" x14ac:dyDescent="0.2">
      <c r="A46" s="149">
        <f>A45+1</f>
        <v>30</v>
      </c>
      <c r="B46" s="147" t="s">
        <v>949</v>
      </c>
      <c r="C46" s="240">
        <f>'ALO-1 (Design Day Peak)'!E38</f>
        <v>0.58796081398813838</v>
      </c>
      <c r="D46" s="145" t="s">
        <v>950</v>
      </c>
      <c r="E46" s="74"/>
    </row>
    <row r="47" spans="1:10" x14ac:dyDescent="0.2">
      <c r="A47" s="151">
        <f t="shared" ref="A47:A49" si="2">A46+1</f>
        <v>31</v>
      </c>
      <c r="B47" s="145" t="s">
        <v>951</v>
      </c>
      <c r="C47" s="74">
        <f>C45*(1-C46)</f>
        <v>479871.86023906968</v>
      </c>
      <c r="D47" s="145" t="s">
        <v>952</v>
      </c>
      <c r="E47" s="74"/>
    </row>
    <row r="48" spans="1:10" x14ac:dyDescent="0.2">
      <c r="A48" s="149">
        <f t="shared" si="2"/>
        <v>32</v>
      </c>
      <c r="B48" s="147" t="s">
        <v>389</v>
      </c>
      <c r="C48" s="89">
        <f>C7</f>
        <v>5174.5200265409085</v>
      </c>
      <c r="D48" s="145" t="s">
        <v>953</v>
      </c>
      <c r="E48" s="74"/>
    </row>
    <row r="49" spans="1:10" x14ac:dyDescent="0.2">
      <c r="A49" s="151">
        <f t="shared" si="2"/>
        <v>33</v>
      </c>
      <c r="B49" s="145" t="s">
        <v>954</v>
      </c>
      <c r="C49" s="74">
        <f>C47+C48</f>
        <v>485046.38026561058</v>
      </c>
      <c r="D49" s="145" t="s">
        <v>955</v>
      </c>
      <c r="E49" s="74"/>
    </row>
    <row r="50" spans="1:10" x14ac:dyDescent="0.2">
      <c r="A50" s="151"/>
      <c r="D50" s="156"/>
      <c r="E50" s="74"/>
    </row>
    <row r="51" spans="1:10" x14ac:dyDescent="0.2">
      <c r="A51" s="151">
        <f>A49+1</f>
        <v>34</v>
      </c>
      <c r="B51" s="145" t="s">
        <v>940</v>
      </c>
      <c r="C51" s="128">
        <f>ROUND(C49/D53,2)</f>
        <v>0.19</v>
      </c>
      <c r="D51" s="73">
        <f>C31</f>
        <v>2361108</v>
      </c>
      <c r="E51" s="74">
        <f>C51*D51</f>
        <v>448610.52</v>
      </c>
      <c r="F51" s="145" t="s">
        <v>956</v>
      </c>
    </row>
    <row r="52" spans="1:10" x14ac:dyDescent="0.2">
      <c r="A52" s="149">
        <f>A51+1</f>
        <v>35</v>
      </c>
      <c r="B52" s="147" t="s">
        <v>942</v>
      </c>
      <c r="C52" s="129">
        <f>C51</f>
        <v>0.19</v>
      </c>
      <c r="D52" s="130">
        <f>C32</f>
        <v>153432</v>
      </c>
      <c r="E52" s="89">
        <f>C52*D52</f>
        <v>29152.080000000002</v>
      </c>
      <c r="F52" s="147" t="s">
        <v>956</v>
      </c>
      <c r="G52" s="147"/>
      <c r="H52" s="147"/>
      <c r="I52" s="147"/>
      <c r="J52" s="147"/>
    </row>
    <row r="53" spans="1:10" x14ac:dyDescent="0.2">
      <c r="A53" s="151">
        <f>A52+1</f>
        <v>36</v>
      </c>
      <c r="B53" s="145" t="s">
        <v>957</v>
      </c>
      <c r="D53" s="156">
        <f>SUM(D51:D52)</f>
        <v>2514540</v>
      </c>
      <c r="E53" s="74">
        <f>SUM(E51:E52)</f>
        <v>477762.60000000003</v>
      </c>
      <c r="F53" s="145" t="s">
        <v>958</v>
      </c>
    </row>
    <row r="54" spans="1:10" x14ac:dyDescent="0.2">
      <c r="A54" s="151">
        <f>A53+1</f>
        <v>37</v>
      </c>
      <c r="B54" s="145" t="s">
        <v>870</v>
      </c>
      <c r="D54" s="156"/>
      <c r="E54" s="74">
        <f>C23-E43-E53</f>
        <v>1644894.2890984728</v>
      </c>
      <c r="F54" s="145" t="s">
        <v>959</v>
      </c>
    </row>
    <row r="55" spans="1:10" x14ac:dyDescent="0.2">
      <c r="A55" s="151"/>
      <c r="D55" s="156"/>
      <c r="E55" s="74"/>
    </row>
    <row r="56" spans="1:10" x14ac:dyDescent="0.2">
      <c r="A56" s="151">
        <f>A54+1</f>
        <v>38</v>
      </c>
      <c r="B56" s="145" t="s">
        <v>885</v>
      </c>
      <c r="C56" s="85">
        <f>ROUND(E54/C30,5)</f>
        <v>4.9849999999999998E-2</v>
      </c>
      <c r="D56" s="73">
        <f>C30</f>
        <v>32994000.789932065</v>
      </c>
      <c r="E56" s="74">
        <f>C56*D56</f>
        <v>1644750.9393781135</v>
      </c>
      <c r="F56" s="145" t="s">
        <v>960</v>
      </c>
    </row>
    <row r="57" spans="1:10" x14ac:dyDescent="0.2">
      <c r="A57" s="151"/>
    </row>
    <row r="58" spans="1:10" x14ac:dyDescent="0.2">
      <c r="A58" s="151">
        <f>A56+1</f>
        <v>39</v>
      </c>
      <c r="B58" s="145" t="s">
        <v>877</v>
      </c>
      <c r="D58" s="156">
        <f>D56</f>
        <v>32994000.789932065</v>
      </c>
      <c r="E58" s="74">
        <f>E43+E53+E56</f>
        <v>2160913.5393781136</v>
      </c>
      <c r="F58" s="145" t="s">
        <v>961</v>
      </c>
    </row>
    <row r="60" spans="1:10" x14ac:dyDescent="0.2">
      <c r="A60" s="147"/>
      <c r="B60" s="147" t="s">
        <v>962</v>
      </c>
      <c r="C60" s="147"/>
      <c r="D60" s="147"/>
      <c r="E60" s="147"/>
      <c r="F60" s="147"/>
      <c r="G60" s="147"/>
      <c r="H60" s="147"/>
      <c r="I60" s="147"/>
      <c r="J60" s="147"/>
    </row>
    <row r="61" spans="1:10" x14ac:dyDescent="0.2">
      <c r="A61" s="151">
        <f>A58+1</f>
        <v>40</v>
      </c>
      <c r="B61" s="145" t="s">
        <v>866</v>
      </c>
      <c r="C61" s="241">
        <v>80</v>
      </c>
      <c r="D61" s="73">
        <f>SUM('Billing Determinants'!H57:H58)</f>
        <v>0</v>
      </c>
      <c r="E61" s="74">
        <f>C61*D61</f>
        <v>0</v>
      </c>
      <c r="F61" s="145" t="s">
        <v>867</v>
      </c>
    </row>
    <row r="62" spans="1:10" x14ac:dyDescent="0.2">
      <c r="A62" s="151">
        <f>A61+1</f>
        <v>41</v>
      </c>
      <c r="B62" s="145" t="s">
        <v>880</v>
      </c>
      <c r="C62" s="126">
        <f>ROUND(0.03618*(1+'CLS1-1 (Class COS)'!F25),5)</f>
        <v>5.6279999999999997E-2</v>
      </c>
      <c r="D62" s="73">
        <f>'Billing Determinants'!G57</f>
        <v>0</v>
      </c>
      <c r="E62" s="74">
        <f>C62*D62</f>
        <v>0</v>
      </c>
      <c r="F62" s="145" t="s">
        <v>963</v>
      </c>
    </row>
    <row r="63" spans="1:10" x14ac:dyDescent="0.2">
      <c r="A63" s="151">
        <f t="shared" ref="A63:A64" si="3">A62+1</f>
        <v>42</v>
      </c>
      <c r="B63" s="145" t="s">
        <v>882</v>
      </c>
      <c r="C63" s="127">
        <f>ROUND(0.06856*(1+'CLS1-1 (Class COS)'!F25),5)</f>
        <v>0.10664</v>
      </c>
      <c r="D63" s="73">
        <f>'Billing Determinants'!G58</f>
        <v>0</v>
      </c>
      <c r="E63" s="74">
        <f>C63*D63</f>
        <v>0</v>
      </c>
      <c r="F63" s="145" t="s">
        <v>963</v>
      </c>
    </row>
    <row r="64" spans="1:10" x14ac:dyDescent="0.2">
      <c r="A64" s="151">
        <f t="shared" si="3"/>
        <v>43</v>
      </c>
      <c r="B64" s="145" t="s">
        <v>877</v>
      </c>
      <c r="D64" s="156">
        <f>SUM(D62:D63)</f>
        <v>0</v>
      </c>
      <c r="E64" s="74">
        <f>SUM(E61:E63)</f>
        <v>0</v>
      </c>
      <c r="F64" s="145" t="s">
        <v>964</v>
      </c>
    </row>
    <row r="65" spans="1:6" x14ac:dyDescent="0.2">
      <c r="A65" s="151"/>
      <c r="D65" s="156"/>
      <c r="E65" s="74"/>
    </row>
    <row r="66" spans="1:6" x14ac:dyDescent="0.2">
      <c r="A66" s="151">
        <f>A64+1</f>
        <v>44</v>
      </c>
      <c r="B66" s="145" t="s">
        <v>887</v>
      </c>
      <c r="E66" s="152">
        <f>SUM(C19:C20,C22,E58,E64)-'CLS1-1 (Class COS)'!F23</f>
        <v>-143.34972035931423</v>
      </c>
      <c r="F66" s="145" t="s">
        <v>965</v>
      </c>
    </row>
    <row r="68" spans="1:6" x14ac:dyDescent="0.2">
      <c r="C68" s="146"/>
      <c r="D68" s="146"/>
    </row>
  </sheetData>
  <pageMargins left="0.7" right="0.7" top="1.1539583333333334" bottom="0.75" header="0.3" footer="0.3"/>
  <pageSetup scale="55" orientation="landscape" r:id="rId1"/>
  <headerFooter>
    <oddHeader>&amp;CRULE 20:10:13:98
STATEMENT O WORKPAPER - Tab &amp;A
Large Volume Rate Design
Test Year Ending December 31, 2021
Utility: MidAmerican Energy Company
Docket No. NG22-___
Individual Responsible: Amanda Hosch</oddHeader>
    <oddFooter>&amp;C20:10:13:98
Statement O Workpaper - Tab &amp;A
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7030A0"/>
  </sheetPr>
  <dimension ref="A1:R258"/>
  <sheetViews>
    <sheetView view="pageLayout" zoomScale="90" zoomScaleNormal="100" zoomScalePageLayoutView="90" workbookViewId="0"/>
  </sheetViews>
  <sheetFormatPr defaultRowHeight="12.75" x14ac:dyDescent="0.2"/>
  <cols>
    <col min="1" max="1" width="9.140625" style="145"/>
    <col min="2" max="2" width="15.85546875" style="145" customWidth="1"/>
    <col min="3" max="3" width="17.85546875" style="145" customWidth="1"/>
    <col min="4" max="4" width="15.42578125" style="145" customWidth="1"/>
    <col min="5" max="5" width="12.42578125" style="145" customWidth="1"/>
    <col min="6" max="6" width="11.85546875" style="145" customWidth="1"/>
    <col min="7" max="7" width="20.140625" style="145" customWidth="1"/>
    <col min="8" max="8" width="13.140625" style="145" customWidth="1"/>
    <col min="9" max="9" width="15.28515625" style="145" customWidth="1"/>
    <col min="10" max="10" width="7.5703125" style="145" customWidth="1"/>
    <col min="11" max="16" width="10.85546875" style="145" customWidth="1"/>
    <col min="17" max="17" width="9.140625" style="145"/>
    <col min="18" max="18" width="27.7109375" style="145" customWidth="1"/>
    <col min="19" max="20" width="9.140625" style="145"/>
    <col min="21" max="24" width="9.7109375" style="145" customWidth="1"/>
    <col min="25" max="258" width="9.140625" style="145"/>
    <col min="259" max="259" width="5.7109375" style="145" customWidth="1"/>
    <col min="260" max="260" width="5.5703125" style="145" customWidth="1"/>
    <col min="261" max="262" width="7" style="145" customWidth="1"/>
    <col min="263" max="263" width="20.140625" style="145" customWidth="1"/>
    <col min="264" max="264" width="9.140625" style="145"/>
    <col min="265" max="272" width="10.85546875" style="145" customWidth="1"/>
    <col min="273" max="514" width="9.140625" style="145"/>
    <col min="515" max="515" width="5.7109375" style="145" customWidth="1"/>
    <col min="516" max="516" width="5.5703125" style="145" customWidth="1"/>
    <col min="517" max="518" width="7" style="145" customWidth="1"/>
    <col min="519" max="519" width="20.140625" style="145" customWidth="1"/>
    <col min="520" max="520" width="9.140625" style="145"/>
    <col min="521" max="528" width="10.85546875" style="145" customWidth="1"/>
    <col min="529" max="770" width="9.140625" style="145"/>
    <col min="771" max="771" width="5.7109375" style="145" customWidth="1"/>
    <col min="772" max="772" width="5.5703125" style="145" customWidth="1"/>
    <col min="773" max="774" width="7" style="145" customWidth="1"/>
    <col min="775" max="775" width="20.140625" style="145" customWidth="1"/>
    <col min="776" max="776" width="9.140625" style="145"/>
    <col min="777" max="784" width="10.85546875" style="145" customWidth="1"/>
    <col min="785" max="1026" width="9.140625" style="145"/>
    <col min="1027" max="1027" width="5.7109375" style="145" customWidth="1"/>
    <col min="1028" max="1028" width="5.5703125" style="145" customWidth="1"/>
    <col min="1029" max="1030" width="7" style="145" customWidth="1"/>
    <col min="1031" max="1031" width="20.140625" style="145" customWidth="1"/>
    <col min="1032" max="1032" width="9.140625" style="145"/>
    <col min="1033" max="1040" width="10.85546875" style="145" customWidth="1"/>
    <col min="1041" max="1282" width="9.140625" style="145"/>
    <col min="1283" max="1283" width="5.7109375" style="145" customWidth="1"/>
    <col min="1284" max="1284" width="5.5703125" style="145" customWidth="1"/>
    <col min="1285" max="1286" width="7" style="145" customWidth="1"/>
    <col min="1287" max="1287" width="20.140625" style="145" customWidth="1"/>
    <col min="1288" max="1288" width="9.140625" style="145"/>
    <col min="1289" max="1296" width="10.85546875" style="145" customWidth="1"/>
    <col min="1297" max="1538" width="9.140625" style="145"/>
    <col min="1539" max="1539" width="5.7109375" style="145" customWidth="1"/>
    <col min="1540" max="1540" width="5.5703125" style="145" customWidth="1"/>
    <col min="1541" max="1542" width="7" style="145" customWidth="1"/>
    <col min="1543" max="1543" width="20.140625" style="145" customWidth="1"/>
    <col min="1544" max="1544" width="9.140625" style="145"/>
    <col min="1545" max="1552" width="10.85546875" style="145" customWidth="1"/>
    <col min="1553" max="1794" width="9.140625" style="145"/>
    <col min="1795" max="1795" width="5.7109375" style="145" customWidth="1"/>
    <col min="1796" max="1796" width="5.5703125" style="145" customWidth="1"/>
    <col min="1797" max="1798" width="7" style="145" customWidth="1"/>
    <col min="1799" max="1799" width="20.140625" style="145" customWidth="1"/>
    <col min="1800" max="1800" width="9.140625" style="145"/>
    <col min="1801" max="1808" width="10.85546875" style="145" customWidth="1"/>
    <col min="1809" max="2050" width="9.140625" style="145"/>
    <col min="2051" max="2051" width="5.7109375" style="145" customWidth="1"/>
    <col min="2052" max="2052" width="5.5703125" style="145" customWidth="1"/>
    <col min="2053" max="2054" width="7" style="145" customWidth="1"/>
    <col min="2055" max="2055" width="20.140625" style="145" customWidth="1"/>
    <col min="2056" max="2056" width="9.140625" style="145"/>
    <col min="2057" max="2064" width="10.85546875" style="145" customWidth="1"/>
    <col min="2065" max="2306" width="9.140625" style="145"/>
    <col min="2307" max="2307" width="5.7109375" style="145" customWidth="1"/>
    <col min="2308" max="2308" width="5.5703125" style="145" customWidth="1"/>
    <col min="2309" max="2310" width="7" style="145" customWidth="1"/>
    <col min="2311" max="2311" width="20.140625" style="145" customWidth="1"/>
    <col min="2312" max="2312" width="9.140625" style="145"/>
    <col min="2313" max="2320" width="10.85546875" style="145" customWidth="1"/>
    <col min="2321" max="2562" width="9.140625" style="145"/>
    <col min="2563" max="2563" width="5.7109375" style="145" customWidth="1"/>
    <col min="2564" max="2564" width="5.5703125" style="145" customWidth="1"/>
    <col min="2565" max="2566" width="7" style="145" customWidth="1"/>
    <col min="2567" max="2567" width="20.140625" style="145" customWidth="1"/>
    <col min="2568" max="2568" width="9.140625" style="145"/>
    <col min="2569" max="2576" width="10.85546875" style="145" customWidth="1"/>
    <col min="2577" max="2818" width="9.140625" style="145"/>
    <col min="2819" max="2819" width="5.7109375" style="145" customWidth="1"/>
    <col min="2820" max="2820" width="5.5703125" style="145" customWidth="1"/>
    <col min="2821" max="2822" width="7" style="145" customWidth="1"/>
    <col min="2823" max="2823" width="20.140625" style="145" customWidth="1"/>
    <col min="2824" max="2824" width="9.140625" style="145"/>
    <col min="2825" max="2832" width="10.85546875" style="145" customWidth="1"/>
    <col min="2833" max="3074" width="9.140625" style="145"/>
    <col min="3075" max="3075" width="5.7109375" style="145" customWidth="1"/>
    <col min="3076" max="3076" width="5.5703125" style="145" customWidth="1"/>
    <col min="3077" max="3078" width="7" style="145" customWidth="1"/>
    <col min="3079" max="3079" width="20.140625" style="145" customWidth="1"/>
    <col min="3080" max="3080" width="9.140625" style="145"/>
    <col min="3081" max="3088" width="10.85546875" style="145" customWidth="1"/>
    <col min="3089" max="3330" width="9.140625" style="145"/>
    <col min="3331" max="3331" width="5.7109375" style="145" customWidth="1"/>
    <col min="3332" max="3332" width="5.5703125" style="145" customWidth="1"/>
    <col min="3333" max="3334" width="7" style="145" customWidth="1"/>
    <col min="3335" max="3335" width="20.140625" style="145" customWidth="1"/>
    <col min="3336" max="3336" width="9.140625" style="145"/>
    <col min="3337" max="3344" width="10.85546875" style="145" customWidth="1"/>
    <col min="3345" max="3586" width="9.140625" style="145"/>
    <col min="3587" max="3587" width="5.7109375" style="145" customWidth="1"/>
    <col min="3588" max="3588" width="5.5703125" style="145" customWidth="1"/>
    <col min="3589" max="3590" width="7" style="145" customWidth="1"/>
    <col min="3591" max="3591" width="20.140625" style="145" customWidth="1"/>
    <col min="3592" max="3592" width="9.140625" style="145"/>
    <col min="3593" max="3600" width="10.85546875" style="145" customWidth="1"/>
    <col min="3601" max="3842" width="9.140625" style="145"/>
    <col min="3843" max="3843" width="5.7109375" style="145" customWidth="1"/>
    <col min="3844" max="3844" width="5.5703125" style="145" customWidth="1"/>
    <col min="3845" max="3846" width="7" style="145" customWidth="1"/>
    <col min="3847" max="3847" width="20.140625" style="145" customWidth="1"/>
    <col min="3848" max="3848" width="9.140625" style="145"/>
    <col min="3849" max="3856" width="10.85546875" style="145" customWidth="1"/>
    <col min="3857" max="4098" width="9.140625" style="145"/>
    <col min="4099" max="4099" width="5.7109375" style="145" customWidth="1"/>
    <col min="4100" max="4100" width="5.5703125" style="145" customWidth="1"/>
    <col min="4101" max="4102" width="7" style="145" customWidth="1"/>
    <col min="4103" max="4103" width="20.140625" style="145" customWidth="1"/>
    <col min="4104" max="4104" width="9.140625" style="145"/>
    <col min="4105" max="4112" width="10.85546875" style="145" customWidth="1"/>
    <col min="4113" max="4354" width="9.140625" style="145"/>
    <col min="4355" max="4355" width="5.7109375" style="145" customWidth="1"/>
    <col min="4356" max="4356" width="5.5703125" style="145" customWidth="1"/>
    <col min="4357" max="4358" width="7" style="145" customWidth="1"/>
    <col min="4359" max="4359" width="20.140625" style="145" customWidth="1"/>
    <col min="4360" max="4360" width="9.140625" style="145"/>
    <col min="4361" max="4368" width="10.85546875" style="145" customWidth="1"/>
    <col min="4369" max="4610" width="9.140625" style="145"/>
    <col min="4611" max="4611" width="5.7109375" style="145" customWidth="1"/>
    <col min="4612" max="4612" width="5.5703125" style="145" customWidth="1"/>
    <col min="4613" max="4614" width="7" style="145" customWidth="1"/>
    <col min="4615" max="4615" width="20.140625" style="145" customWidth="1"/>
    <col min="4616" max="4616" width="9.140625" style="145"/>
    <col min="4617" max="4624" width="10.85546875" style="145" customWidth="1"/>
    <col min="4625" max="4866" width="9.140625" style="145"/>
    <col min="4867" max="4867" width="5.7109375" style="145" customWidth="1"/>
    <col min="4868" max="4868" width="5.5703125" style="145" customWidth="1"/>
    <col min="4869" max="4870" width="7" style="145" customWidth="1"/>
    <col min="4871" max="4871" width="20.140625" style="145" customWidth="1"/>
    <col min="4872" max="4872" width="9.140625" style="145"/>
    <col min="4873" max="4880" width="10.85546875" style="145" customWidth="1"/>
    <col min="4881" max="5122" width="9.140625" style="145"/>
    <col min="5123" max="5123" width="5.7109375" style="145" customWidth="1"/>
    <col min="5124" max="5124" width="5.5703125" style="145" customWidth="1"/>
    <col min="5125" max="5126" width="7" style="145" customWidth="1"/>
    <col min="5127" max="5127" width="20.140625" style="145" customWidth="1"/>
    <col min="5128" max="5128" width="9.140625" style="145"/>
    <col min="5129" max="5136" width="10.85546875" style="145" customWidth="1"/>
    <col min="5137" max="5378" width="9.140625" style="145"/>
    <col min="5379" max="5379" width="5.7109375" style="145" customWidth="1"/>
    <col min="5380" max="5380" width="5.5703125" style="145" customWidth="1"/>
    <col min="5381" max="5382" width="7" style="145" customWidth="1"/>
    <col min="5383" max="5383" width="20.140625" style="145" customWidth="1"/>
    <col min="5384" max="5384" width="9.140625" style="145"/>
    <col min="5385" max="5392" width="10.85546875" style="145" customWidth="1"/>
    <col min="5393" max="5634" width="9.140625" style="145"/>
    <col min="5635" max="5635" width="5.7109375" style="145" customWidth="1"/>
    <col min="5636" max="5636" width="5.5703125" style="145" customWidth="1"/>
    <col min="5637" max="5638" width="7" style="145" customWidth="1"/>
    <col min="5639" max="5639" width="20.140625" style="145" customWidth="1"/>
    <col min="5640" max="5640" width="9.140625" style="145"/>
    <col min="5641" max="5648" width="10.85546875" style="145" customWidth="1"/>
    <col min="5649" max="5890" width="9.140625" style="145"/>
    <col min="5891" max="5891" width="5.7109375" style="145" customWidth="1"/>
    <col min="5892" max="5892" width="5.5703125" style="145" customWidth="1"/>
    <col min="5893" max="5894" width="7" style="145" customWidth="1"/>
    <col min="5895" max="5895" width="20.140625" style="145" customWidth="1"/>
    <col min="5896" max="5896" width="9.140625" style="145"/>
    <col min="5897" max="5904" width="10.85546875" style="145" customWidth="1"/>
    <col min="5905" max="6146" width="9.140625" style="145"/>
    <col min="6147" max="6147" width="5.7109375" style="145" customWidth="1"/>
    <col min="6148" max="6148" width="5.5703125" style="145" customWidth="1"/>
    <col min="6149" max="6150" width="7" style="145" customWidth="1"/>
    <col min="6151" max="6151" width="20.140625" style="145" customWidth="1"/>
    <col min="6152" max="6152" width="9.140625" style="145"/>
    <col min="6153" max="6160" width="10.85546875" style="145" customWidth="1"/>
    <col min="6161" max="6402" width="9.140625" style="145"/>
    <col min="6403" max="6403" width="5.7109375" style="145" customWidth="1"/>
    <col min="6404" max="6404" width="5.5703125" style="145" customWidth="1"/>
    <col min="6405" max="6406" width="7" style="145" customWidth="1"/>
    <col min="6407" max="6407" width="20.140625" style="145" customWidth="1"/>
    <col min="6408" max="6408" width="9.140625" style="145"/>
    <col min="6409" max="6416" width="10.85546875" style="145" customWidth="1"/>
    <col min="6417" max="6658" width="9.140625" style="145"/>
    <col min="6659" max="6659" width="5.7109375" style="145" customWidth="1"/>
    <col min="6660" max="6660" width="5.5703125" style="145" customWidth="1"/>
    <col min="6661" max="6662" width="7" style="145" customWidth="1"/>
    <col min="6663" max="6663" width="20.140625" style="145" customWidth="1"/>
    <col min="6664" max="6664" width="9.140625" style="145"/>
    <col min="6665" max="6672" width="10.85546875" style="145" customWidth="1"/>
    <col min="6673" max="6914" width="9.140625" style="145"/>
    <col min="6915" max="6915" width="5.7109375" style="145" customWidth="1"/>
    <col min="6916" max="6916" width="5.5703125" style="145" customWidth="1"/>
    <col min="6917" max="6918" width="7" style="145" customWidth="1"/>
    <col min="6919" max="6919" width="20.140625" style="145" customWidth="1"/>
    <col min="6920" max="6920" width="9.140625" style="145"/>
    <col min="6921" max="6928" width="10.85546875" style="145" customWidth="1"/>
    <col min="6929" max="7170" width="9.140625" style="145"/>
    <col min="7171" max="7171" width="5.7109375" style="145" customWidth="1"/>
    <col min="7172" max="7172" width="5.5703125" style="145" customWidth="1"/>
    <col min="7173" max="7174" width="7" style="145" customWidth="1"/>
    <col min="7175" max="7175" width="20.140625" style="145" customWidth="1"/>
    <col min="7176" max="7176" width="9.140625" style="145"/>
    <col min="7177" max="7184" width="10.85546875" style="145" customWidth="1"/>
    <col min="7185" max="7426" width="9.140625" style="145"/>
    <col min="7427" max="7427" width="5.7109375" style="145" customWidth="1"/>
    <col min="7428" max="7428" width="5.5703125" style="145" customWidth="1"/>
    <col min="7429" max="7430" width="7" style="145" customWidth="1"/>
    <col min="7431" max="7431" width="20.140625" style="145" customWidth="1"/>
    <col min="7432" max="7432" width="9.140625" style="145"/>
    <col min="7433" max="7440" width="10.85546875" style="145" customWidth="1"/>
    <col min="7441" max="7682" width="9.140625" style="145"/>
    <col min="7683" max="7683" width="5.7109375" style="145" customWidth="1"/>
    <col min="7684" max="7684" width="5.5703125" style="145" customWidth="1"/>
    <col min="7685" max="7686" width="7" style="145" customWidth="1"/>
    <col min="7687" max="7687" width="20.140625" style="145" customWidth="1"/>
    <col min="7688" max="7688" width="9.140625" style="145"/>
    <col min="7689" max="7696" width="10.85546875" style="145" customWidth="1"/>
    <col min="7697" max="7938" width="9.140625" style="145"/>
    <col min="7939" max="7939" width="5.7109375" style="145" customWidth="1"/>
    <col min="7940" max="7940" width="5.5703125" style="145" customWidth="1"/>
    <col min="7941" max="7942" width="7" style="145" customWidth="1"/>
    <col min="7943" max="7943" width="20.140625" style="145" customWidth="1"/>
    <col min="7944" max="7944" width="9.140625" style="145"/>
    <col min="7945" max="7952" width="10.85546875" style="145" customWidth="1"/>
    <col min="7953" max="8194" width="9.140625" style="145"/>
    <col min="8195" max="8195" width="5.7109375" style="145" customWidth="1"/>
    <col min="8196" max="8196" width="5.5703125" style="145" customWidth="1"/>
    <col min="8197" max="8198" width="7" style="145" customWidth="1"/>
    <col min="8199" max="8199" width="20.140625" style="145" customWidth="1"/>
    <col min="8200" max="8200" width="9.140625" style="145"/>
    <col min="8201" max="8208" width="10.85546875" style="145" customWidth="1"/>
    <col min="8209" max="8450" width="9.140625" style="145"/>
    <col min="8451" max="8451" width="5.7109375" style="145" customWidth="1"/>
    <col min="8452" max="8452" width="5.5703125" style="145" customWidth="1"/>
    <col min="8453" max="8454" width="7" style="145" customWidth="1"/>
    <col min="8455" max="8455" width="20.140625" style="145" customWidth="1"/>
    <col min="8456" max="8456" width="9.140625" style="145"/>
    <col min="8457" max="8464" width="10.85546875" style="145" customWidth="1"/>
    <col min="8465" max="8706" width="9.140625" style="145"/>
    <col min="8707" max="8707" width="5.7109375" style="145" customWidth="1"/>
    <col min="8708" max="8708" width="5.5703125" style="145" customWidth="1"/>
    <col min="8709" max="8710" width="7" style="145" customWidth="1"/>
    <col min="8711" max="8711" width="20.140625" style="145" customWidth="1"/>
    <col min="8712" max="8712" width="9.140625" style="145"/>
    <col min="8713" max="8720" width="10.85546875" style="145" customWidth="1"/>
    <col min="8721" max="8962" width="9.140625" style="145"/>
    <col min="8963" max="8963" width="5.7109375" style="145" customWidth="1"/>
    <col min="8964" max="8964" width="5.5703125" style="145" customWidth="1"/>
    <col min="8965" max="8966" width="7" style="145" customWidth="1"/>
    <col min="8967" max="8967" width="20.140625" style="145" customWidth="1"/>
    <col min="8968" max="8968" width="9.140625" style="145"/>
    <col min="8969" max="8976" width="10.85546875" style="145" customWidth="1"/>
    <col min="8977" max="9218" width="9.140625" style="145"/>
    <col min="9219" max="9219" width="5.7109375" style="145" customWidth="1"/>
    <col min="9220" max="9220" width="5.5703125" style="145" customWidth="1"/>
    <col min="9221" max="9222" width="7" style="145" customWidth="1"/>
    <col min="9223" max="9223" width="20.140625" style="145" customWidth="1"/>
    <col min="9224" max="9224" width="9.140625" style="145"/>
    <col min="9225" max="9232" width="10.85546875" style="145" customWidth="1"/>
    <col min="9233" max="9474" width="9.140625" style="145"/>
    <col min="9475" max="9475" width="5.7109375" style="145" customWidth="1"/>
    <col min="9476" max="9476" width="5.5703125" style="145" customWidth="1"/>
    <col min="9477" max="9478" width="7" style="145" customWidth="1"/>
    <col min="9479" max="9479" width="20.140625" style="145" customWidth="1"/>
    <col min="9480" max="9480" width="9.140625" style="145"/>
    <col min="9481" max="9488" width="10.85546875" style="145" customWidth="1"/>
    <col min="9489" max="9730" width="9.140625" style="145"/>
    <col min="9731" max="9731" width="5.7109375" style="145" customWidth="1"/>
    <col min="9732" max="9732" width="5.5703125" style="145" customWidth="1"/>
    <col min="9733" max="9734" width="7" style="145" customWidth="1"/>
    <col min="9735" max="9735" width="20.140625" style="145" customWidth="1"/>
    <col min="9736" max="9736" width="9.140625" style="145"/>
    <col min="9737" max="9744" width="10.85546875" style="145" customWidth="1"/>
    <col min="9745" max="9986" width="9.140625" style="145"/>
    <col min="9987" max="9987" width="5.7109375" style="145" customWidth="1"/>
    <col min="9988" max="9988" width="5.5703125" style="145" customWidth="1"/>
    <col min="9989" max="9990" width="7" style="145" customWidth="1"/>
    <col min="9991" max="9991" width="20.140625" style="145" customWidth="1"/>
    <col min="9992" max="9992" width="9.140625" style="145"/>
    <col min="9993" max="10000" width="10.85546875" style="145" customWidth="1"/>
    <col min="10001" max="10242" width="9.140625" style="145"/>
    <col min="10243" max="10243" width="5.7109375" style="145" customWidth="1"/>
    <col min="10244" max="10244" width="5.5703125" style="145" customWidth="1"/>
    <col min="10245" max="10246" width="7" style="145" customWidth="1"/>
    <col min="10247" max="10247" width="20.140625" style="145" customWidth="1"/>
    <col min="10248" max="10248" width="9.140625" style="145"/>
    <col min="10249" max="10256" width="10.85546875" style="145" customWidth="1"/>
    <col min="10257" max="10498" width="9.140625" style="145"/>
    <col min="10499" max="10499" width="5.7109375" style="145" customWidth="1"/>
    <col min="10500" max="10500" width="5.5703125" style="145" customWidth="1"/>
    <col min="10501" max="10502" width="7" style="145" customWidth="1"/>
    <col min="10503" max="10503" width="20.140625" style="145" customWidth="1"/>
    <col min="10504" max="10504" width="9.140625" style="145"/>
    <col min="10505" max="10512" width="10.85546875" style="145" customWidth="1"/>
    <col min="10513" max="10754" width="9.140625" style="145"/>
    <col min="10755" max="10755" width="5.7109375" style="145" customWidth="1"/>
    <col min="10756" max="10756" width="5.5703125" style="145" customWidth="1"/>
    <col min="10757" max="10758" width="7" style="145" customWidth="1"/>
    <col min="10759" max="10759" width="20.140625" style="145" customWidth="1"/>
    <col min="10760" max="10760" width="9.140625" style="145"/>
    <col min="10761" max="10768" width="10.85546875" style="145" customWidth="1"/>
    <col min="10769" max="11010" width="9.140625" style="145"/>
    <col min="11011" max="11011" width="5.7109375" style="145" customWidth="1"/>
    <col min="11012" max="11012" width="5.5703125" style="145" customWidth="1"/>
    <col min="11013" max="11014" width="7" style="145" customWidth="1"/>
    <col min="11015" max="11015" width="20.140625" style="145" customWidth="1"/>
    <col min="11016" max="11016" width="9.140625" style="145"/>
    <col min="11017" max="11024" width="10.85546875" style="145" customWidth="1"/>
    <col min="11025" max="11266" width="9.140625" style="145"/>
    <col min="11267" max="11267" width="5.7109375" style="145" customWidth="1"/>
    <col min="11268" max="11268" width="5.5703125" style="145" customWidth="1"/>
    <col min="11269" max="11270" width="7" style="145" customWidth="1"/>
    <col min="11271" max="11271" width="20.140625" style="145" customWidth="1"/>
    <col min="11272" max="11272" width="9.140625" style="145"/>
    <col min="11273" max="11280" width="10.85546875" style="145" customWidth="1"/>
    <col min="11281" max="11522" width="9.140625" style="145"/>
    <col min="11523" max="11523" width="5.7109375" style="145" customWidth="1"/>
    <col min="11524" max="11524" width="5.5703125" style="145" customWidth="1"/>
    <col min="11525" max="11526" width="7" style="145" customWidth="1"/>
    <col min="11527" max="11527" width="20.140625" style="145" customWidth="1"/>
    <col min="11528" max="11528" width="9.140625" style="145"/>
    <col min="11529" max="11536" width="10.85546875" style="145" customWidth="1"/>
    <col min="11537" max="11778" width="9.140625" style="145"/>
    <col min="11779" max="11779" width="5.7109375" style="145" customWidth="1"/>
    <col min="11780" max="11780" width="5.5703125" style="145" customWidth="1"/>
    <col min="11781" max="11782" width="7" style="145" customWidth="1"/>
    <col min="11783" max="11783" width="20.140625" style="145" customWidth="1"/>
    <col min="11784" max="11784" width="9.140625" style="145"/>
    <col min="11785" max="11792" width="10.85546875" style="145" customWidth="1"/>
    <col min="11793" max="12034" width="9.140625" style="145"/>
    <col min="12035" max="12035" width="5.7109375" style="145" customWidth="1"/>
    <col min="12036" max="12036" width="5.5703125" style="145" customWidth="1"/>
    <col min="12037" max="12038" width="7" style="145" customWidth="1"/>
    <col min="12039" max="12039" width="20.140625" style="145" customWidth="1"/>
    <col min="12040" max="12040" width="9.140625" style="145"/>
    <col min="12041" max="12048" width="10.85546875" style="145" customWidth="1"/>
    <col min="12049" max="12290" width="9.140625" style="145"/>
    <col min="12291" max="12291" width="5.7109375" style="145" customWidth="1"/>
    <col min="12292" max="12292" width="5.5703125" style="145" customWidth="1"/>
    <col min="12293" max="12294" width="7" style="145" customWidth="1"/>
    <col min="12295" max="12295" width="20.140625" style="145" customWidth="1"/>
    <col min="12296" max="12296" width="9.140625" style="145"/>
    <col min="12297" max="12304" width="10.85546875" style="145" customWidth="1"/>
    <col min="12305" max="12546" width="9.140625" style="145"/>
    <col min="12547" max="12547" width="5.7109375" style="145" customWidth="1"/>
    <col min="12548" max="12548" width="5.5703125" style="145" customWidth="1"/>
    <col min="12549" max="12550" width="7" style="145" customWidth="1"/>
    <col min="12551" max="12551" width="20.140625" style="145" customWidth="1"/>
    <col min="12552" max="12552" width="9.140625" style="145"/>
    <col min="12553" max="12560" width="10.85546875" style="145" customWidth="1"/>
    <col min="12561" max="12802" width="9.140625" style="145"/>
    <col min="12803" max="12803" width="5.7109375" style="145" customWidth="1"/>
    <col min="12804" max="12804" width="5.5703125" style="145" customWidth="1"/>
    <col min="12805" max="12806" width="7" style="145" customWidth="1"/>
    <col min="12807" max="12807" width="20.140625" style="145" customWidth="1"/>
    <col min="12808" max="12808" width="9.140625" style="145"/>
    <col min="12809" max="12816" width="10.85546875" style="145" customWidth="1"/>
    <col min="12817" max="13058" width="9.140625" style="145"/>
    <col min="13059" max="13059" width="5.7109375" style="145" customWidth="1"/>
    <col min="13060" max="13060" width="5.5703125" style="145" customWidth="1"/>
    <col min="13061" max="13062" width="7" style="145" customWidth="1"/>
    <col min="13063" max="13063" width="20.140625" style="145" customWidth="1"/>
    <col min="13064" max="13064" width="9.140625" style="145"/>
    <col min="13065" max="13072" width="10.85546875" style="145" customWidth="1"/>
    <col min="13073" max="13314" width="9.140625" style="145"/>
    <col min="13315" max="13315" width="5.7109375" style="145" customWidth="1"/>
    <col min="13316" max="13316" width="5.5703125" style="145" customWidth="1"/>
    <col min="13317" max="13318" width="7" style="145" customWidth="1"/>
    <col min="13319" max="13319" width="20.140625" style="145" customWidth="1"/>
    <col min="13320" max="13320" width="9.140625" style="145"/>
    <col min="13321" max="13328" width="10.85546875" style="145" customWidth="1"/>
    <col min="13329" max="13570" width="9.140625" style="145"/>
    <col min="13571" max="13571" width="5.7109375" style="145" customWidth="1"/>
    <col min="13572" max="13572" width="5.5703125" style="145" customWidth="1"/>
    <col min="13573" max="13574" width="7" style="145" customWidth="1"/>
    <col min="13575" max="13575" width="20.140625" style="145" customWidth="1"/>
    <col min="13576" max="13576" width="9.140625" style="145"/>
    <col min="13577" max="13584" width="10.85546875" style="145" customWidth="1"/>
    <col min="13585" max="13826" width="9.140625" style="145"/>
    <col min="13827" max="13827" width="5.7109375" style="145" customWidth="1"/>
    <col min="13828" max="13828" width="5.5703125" style="145" customWidth="1"/>
    <col min="13829" max="13830" width="7" style="145" customWidth="1"/>
    <col min="13831" max="13831" width="20.140625" style="145" customWidth="1"/>
    <col min="13832" max="13832" width="9.140625" style="145"/>
    <col min="13833" max="13840" width="10.85546875" style="145" customWidth="1"/>
    <col min="13841" max="14082" width="9.140625" style="145"/>
    <col min="14083" max="14083" width="5.7109375" style="145" customWidth="1"/>
    <col min="14084" max="14084" width="5.5703125" style="145" customWidth="1"/>
    <col min="14085" max="14086" width="7" style="145" customWidth="1"/>
    <col min="14087" max="14087" width="20.140625" style="145" customWidth="1"/>
    <col min="14088" max="14088" width="9.140625" style="145"/>
    <col min="14089" max="14096" width="10.85546875" style="145" customWidth="1"/>
    <col min="14097" max="14338" width="9.140625" style="145"/>
    <col min="14339" max="14339" width="5.7109375" style="145" customWidth="1"/>
    <col min="14340" max="14340" width="5.5703125" style="145" customWidth="1"/>
    <col min="14341" max="14342" width="7" style="145" customWidth="1"/>
    <col min="14343" max="14343" width="20.140625" style="145" customWidth="1"/>
    <col min="14344" max="14344" width="9.140625" style="145"/>
    <col min="14345" max="14352" width="10.85546875" style="145" customWidth="1"/>
    <col min="14353" max="14594" width="9.140625" style="145"/>
    <col min="14595" max="14595" width="5.7109375" style="145" customWidth="1"/>
    <col min="14596" max="14596" width="5.5703125" style="145" customWidth="1"/>
    <col min="14597" max="14598" width="7" style="145" customWidth="1"/>
    <col min="14599" max="14599" width="20.140625" style="145" customWidth="1"/>
    <col min="14600" max="14600" width="9.140625" style="145"/>
    <col min="14601" max="14608" width="10.85546875" style="145" customWidth="1"/>
    <col min="14609" max="14850" width="9.140625" style="145"/>
    <col min="14851" max="14851" width="5.7109375" style="145" customWidth="1"/>
    <col min="14852" max="14852" width="5.5703125" style="145" customWidth="1"/>
    <col min="14853" max="14854" width="7" style="145" customWidth="1"/>
    <col min="14855" max="14855" width="20.140625" style="145" customWidth="1"/>
    <col min="14856" max="14856" width="9.140625" style="145"/>
    <col min="14857" max="14864" width="10.85546875" style="145" customWidth="1"/>
    <col min="14865" max="15106" width="9.140625" style="145"/>
    <col min="15107" max="15107" width="5.7109375" style="145" customWidth="1"/>
    <col min="15108" max="15108" width="5.5703125" style="145" customWidth="1"/>
    <col min="15109" max="15110" width="7" style="145" customWidth="1"/>
    <col min="15111" max="15111" width="20.140625" style="145" customWidth="1"/>
    <col min="15112" max="15112" width="9.140625" style="145"/>
    <col min="15113" max="15120" width="10.85546875" style="145" customWidth="1"/>
    <col min="15121" max="15362" width="9.140625" style="145"/>
    <col min="15363" max="15363" width="5.7109375" style="145" customWidth="1"/>
    <col min="15364" max="15364" width="5.5703125" style="145" customWidth="1"/>
    <col min="15365" max="15366" width="7" style="145" customWidth="1"/>
    <col min="15367" max="15367" width="20.140625" style="145" customWidth="1"/>
    <col min="15368" max="15368" width="9.140625" style="145"/>
    <col min="15369" max="15376" width="10.85546875" style="145" customWidth="1"/>
    <col min="15377" max="15618" width="9.140625" style="145"/>
    <col min="15619" max="15619" width="5.7109375" style="145" customWidth="1"/>
    <col min="15620" max="15620" width="5.5703125" style="145" customWidth="1"/>
    <col min="15621" max="15622" width="7" style="145" customWidth="1"/>
    <col min="15623" max="15623" width="20.140625" style="145" customWidth="1"/>
    <col min="15624" max="15624" width="9.140625" style="145"/>
    <col min="15625" max="15632" width="10.85546875" style="145" customWidth="1"/>
    <col min="15633" max="15874" width="9.140625" style="145"/>
    <col min="15875" max="15875" width="5.7109375" style="145" customWidth="1"/>
    <col min="15876" max="15876" width="5.5703125" style="145" customWidth="1"/>
    <col min="15877" max="15878" width="7" style="145" customWidth="1"/>
    <col min="15879" max="15879" width="20.140625" style="145" customWidth="1"/>
    <col min="15880" max="15880" width="9.140625" style="145"/>
    <col min="15881" max="15888" width="10.85546875" style="145" customWidth="1"/>
    <col min="15889" max="16130" width="9.140625" style="145"/>
    <col min="16131" max="16131" width="5.7109375" style="145" customWidth="1"/>
    <col min="16132" max="16132" width="5.5703125" style="145" customWidth="1"/>
    <col min="16133" max="16134" width="7" style="145" customWidth="1"/>
    <col min="16135" max="16135" width="20.140625" style="145" customWidth="1"/>
    <col min="16136" max="16136" width="9.140625" style="145"/>
    <col min="16137" max="16144" width="10.85546875" style="145" customWidth="1"/>
    <col min="16145" max="16384" width="9.140625" style="145"/>
  </cols>
  <sheetData>
    <row r="1" spans="1:4" s="32" customFormat="1" ht="18" x14ac:dyDescent="0.25">
      <c r="A1" s="82" t="s">
        <v>966</v>
      </c>
    </row>
    <row r="2" spans="1:4" s="32" customFormat="1" ht="18" x14ac:dyDescent="0.25">
      <c r="A2" s="82" t="s">
        <v>815</v>
      </c>
    </row>
    <row r="4" spans="1:4" ht="15" x14ac:dyDescent="0.2">
      <c r="A4" s="83" t="s">
        <v>967</v>
      </c>
    </row>
    <row r="6" spans="1:4" x14ac:dyDescent="0.2">
      <c r="A6" s="145" t="s">
        <v>10</v>
      </c>
      <c r="B6" s="146" t="s">
        <v>968</v>
      </c>
      <c r="C6" s="150" t="s">
        <v>969</v>
      </c>
      <c r="D6" s="146" t="s">
        <v>970</v>
      </c>
    </row>
    <row r="7" spans="1:4" x14ac:dyDescent="0.2">
      <c r="A7" s="147" t="s">
        <v>1098</v>
      </c>
      <c r="B7" s="148" t="s">
        <v>971</v>
      </c>
      <c r="C7" s="221" t="s">
        <v>972</v>
      </c>
      <c r="D7" s="148" t="s">
        <v>973</v>
      </c>
    </row>
    <row r="8" spans="1:4" x14ac:dyDescent="0.2">
      <c r="B8" s="222" t="s">
        <v>24</v>
      </c>
      <c r="C8" s="222" t="s">
        <v>25</v>
      </c>
      <c r="D8" s="222" t="s">
        <v>26</v>
      </c>
    </row>
    <row r="9" spans="1:4" x14ac:dyDescent="0.2">
      <c r="B9" s="222"/>
      <c r="D9" s="222"/>
    </row>
    <row r="10" spans="1:4" x14ac:dyDescent="0.2">
      <c r="A10" s="151">
        <v>1</v>
      </c>
      <c r="B10" s="73">
        <v>175</v>
      </c>
      <c r="C10" s="145">
        <v>1</v>
      </c>
      <c r="D10" s="223">
        <f>160.5+246</f>
        <v>406.5</v>
      </c>
    </row>
    <row r="11" spans="1:4" x14ac:dyDescent="0.2">
      <c r="A11" s="151">
        <f>A10+1</f>
        <v>2</v>
      </c>
      <c r="B11" s="73">
        <v>200</v>
      </c>
      <c r="C11" s="145">
        <v>1</v>
      </c>
      <c r="D11" s="223">
        <f t="shared" ref="D11:D13" si="0">160.5+246</f>
        <v>406.5</v>
      </c>
    </row>
    <row r="12" spans="1:4" x14ac:dyDescent="0.2">
      <c r="A12" s="151">
        <f t="shared" ref="A12:A34" si="1">A11+1</f>
        <v>3</v>
      </c>
      <c r="B12" s="73">
        <v>250</v>
      </c>
      <c r="C12" s="145">
        <v>1</v>
      </c>
      <c r="D12" s="223">
        <f t="shared" si="0"/>
        <v>406.5</v>
      </c>
    </row>
    <row r="13" spans="1:4" x14ac:dyDescent="0.2">
      <c r="A13" s="151">
        <f t="shared" si="1"/>
        <v>4</v>
      </c>
      <c r="B13" s="73">
        <v>275</v>
      </c>
      <c r="C13" s="145">
        <v>1</v>
      </c>
      <c r="D13" s="223">
        <f t="shared" si="0"/>
        <v>406.5</v>
      </c>
    </row>
    <row r="14" spans="1:4" x14ac:dyDescent="0.2">
      <c r="A14" s="151">
        <f t="shared" si="1"/>
        <v>5</v>
      </c>
      <c r="B14" s="73">
        <v>400</v>
      </c>
      <c r="C14" s="145">
        <v>1</v>
      </c>
      <c r="D14" s="223">
        <f>218.9+627</f>
        <v>845.9</v>
      </c>
    </row>
    <row r="15" spans="1:4" x14ac:dyDescent="0.2">
      <c r="A15" s="151">
        <f t="shared" si="1"/>
        <v>6</v>
      </c>
      <c r="B15" s="73">
        <v>425</v>
      </c>
      <c r="C15" s="145">
        <v>1</v>
      </c>
      <c r="D15" s="223">
        <f>218.9+627</f>
        <v>845.9</v>
      </c>
    </row>
    <row r="16" spans="1:4" x14ac:dyDescent="0.2">
      <c r="A16" s="151">
        <f t="shared" si="1"/>
        <v>7</v>
      </c>
      <c r="B16" s="73">
        <v>600</v>
      </c>
      <c r="C16" s="145">
        <v>1</v>
      </c>
      <c r="D16" s="223">
        <f>832.03+627</f>
        <v>1459.03</v>
      </c>
    </row>
    <row r="17" spans="1:4" x14ac:dyDescent="0.2">
      <c r="A17" s="151">
        <f t="shared" si="1"/>
        <v>8</v>
      </c>
      <c r="B17" s="73">
        <v>675</v>
      </c>
      <c r="C17" s="145">
        <v>1</v>
      </c>
      <c r="D17" s="223">
        <f>832.03+627</f>
        <v>1459.03</v>
      </c>
    </row>
    <row r="18" spans="1:4" x14ac:dyDescent="0.2">
      <c r="A18" s="151">
        <f t="shared" si="1"/>
        <v>9</v>
      </c>
      <c r="B18" s="73">
        <v>800</v>
      </c>
      <c r="C18" s="145">
        <v>2</v>
      </c>
      <c r="D18" s="223">
        <f>832.03+627</f>
        <v>1459.03</v>
      </c>
    </row>
    <row r="19" spans="1:4" x14ac:dyDescent="0.2">
      <c r="A19" s="151">
        <f t="shared" si="1"/>
        <v>10</v>
      </c>
      <c r="B19" s="73">
        <v>1000</v>
      </c>
      <c r="C19" s="145">
        <v>2</v>
      </c>
      <c r="D19" s="223">
        <f>801.73+742</f>
        <v>1543.73</v>
      </c>
    </row>
    <row r="20" spans="1:4" x14ac:dyDescent="0.2">
      <c r="A20" s="151">
        <f t="shared" si="1"/>
        <v>11</v>
      </c>
      <c r="B20" s="73">
        <v>1100</v>
      </c>
      <c r="C20" s="145">
        <v>2</v>
      </c>
      <c r="D20" s="223">
        <f t="shared" ref="D20:D22" si="2">801.73+742</f>
        <v>1543.73</v>
      </c>
    </row>
    <row r="21" spans="1:4" x14ac:dyDescent="0.2">
      <c r="A21" s="151">
        <f t="shared" si="1"/>
        <v>12</v>
      </c>
      <c r="B21" s="73">
        <v>1500</v>
      </c>
      <c r="C21" s="145">
        <v>2</v>
      </c>
      <c r="D21" s="223">
        <f t="shared" si="2"/>
        <v>1543.73</v>
      </c>
    </row>
    <row r="22" spans="1:4" x14ac:dyDescent="0.2">
      <c r="A22" s="151">
        <f t="shared" si="1"/>
        <v>13</v>
      </c>
      <c r="B22" s="73">
        <v>2000</v>
      </c>
      <c r="C22" s="145">
        <v>2</v>
      </c>
      <c r="D22" s="223">
        <f t="shared" si="2"/>
        <v>1543.73</v>
      </c>
    </row>
    <row r="23" spans="1:4" x14ac:dyDescent="0.2">
      <c r="A23" s="151">
        <f t="shared" si="1"/>
        <v>14</v>
      </c>
      <c r="B23" s="73">
        <v>3000</v>
      </c>
      <c r="C23" s="145">
        <v>2</v>
      </c>
      <c r="D23" s="223">
        <f>1029.36+3218</f>
        <v>4247.3599999999997</v>
      </c>
    </row>
    <row r="24" spans="1:4" x14ac:dyDescent="0.2">
      <c r="A24" s="151">
        <f t="shared" si="1"/>
        <v>15</v>
      </c>
      <c r="B24" s="73">
        <v>4000</v>
      </c>
      <c r="C24" s="145">
        <v>3</v>
      </c>
      <c r="D24" s="223">
        <f>1029.36+3218</f>
        <v>4247.3599999999997</v>
      </c>
    </row>
    <row r="25" spans="1:4" x14ac:dyDescent="0.2">
      <c r="A25" s="151">
        <f t="shared" si="1"/>
        <v>16</v>
      </c>
      <c r="B25" s="73">
        <v>5000</v>
      </c>
      <c r="C25" s="145">
        <v>3</v>
      </c>
      <c r="D25" s="223">
        <f>1274.03+3685</f>
        <v>4959.03</v>
      </c>
    </row>
    <row r="26" spans="1:4" x14ac:dyDescent="0.2">
      <c r="A26" s="151">
        <f t="shared" si="1"/>
        <v>17</v>
      </c>
      <c r="B26" s="73">
        <v>7000</v>
      </c>
      <c r="C26" s="145">
        <v>3</v>
      </c>
      <c r="D26" s="223">
        <f>1625.6+3685</f>
        <v>5310.6</v>
      </c>
    </row>
    <row r="27" spans="1:4" x14ac:dyDescent="0.2">
      <c r="A27" s="151">
        <f t="shared" si="1"/>
        <v>18</v>
      </c>
      <c r="B27" s="73">
        <v>11000</v>
      </c>
      <c r="C27" s="145">
        <v>3</v>
      </c>
      <c r="D27" s="223">
        <f>1943+5868</f>
        <v>7811</v>
      </c>
    </row>
    <row r="28" spans="1:4" x14ac:dyDescent="0.2">
      <c r="A28" s="151">
        <f t="shared" si="1"/>
        <v>19</v>
      </c>
      <c r="B28" s="73">
        <v>15000</v>
      </c>
      <c r="C28" s="145">
        <v>4</v>
      </c>
      <c r="D28" s="223">
        <f>1943+5868</f>
        <v>7811</v>
      </c>
    </row>
    <row r="29" spans="1:4" x14ac:dyDescent="0.2">
      <c r="A29" s="151">
        <f t="shared" si="1"/>
        <v>20</v>
      </c>
      <c r="B29" s="73">
        <v>16000</v>
      </c>
      <c r="C29" s="145">
        <v>4</v>
      </c>
      <c r="D29" s="223">
        <f>2645.04+5868</f>
        <v>8513.0400000000009</v>
      </c>
    </row>
    <row r="30" spans="1:4" x14ac:dyDescent="0.2">
      <c r="A30" s="151">
        <f t="shared" si="1"/>
        <v>21</v>
      </c>
      <c r="B30" s="73">
        <v>18000</v>
      </c>
      <c r="C30" s="145">
        <v>4</v>
      </c>
      <c r="D30" s="223">
        <f>2645.04+5868</f>
        <v>8513.0400000000009</v>
      </c>
    </row>
    <row r="31" spans="1:4" x14ac:dyDescent="0.2">
      <c r="A31" s="151">
        <f t="shared" si="1"/>
        <v>22</v>
      </c>
      <c r="B31" s="73">
        <v>23000</v>
      </c>
      <c r="C31" s="145">
        <v>4</v>
      </c>
      <c r="D31" s="223">
        <f>4683.93+5868</f>
        <v>10551.93</v>
      </c>
    </row>
    <row r="32" spans="1:4" x14ac:dyDescent="0.2">
      <c r="A32" s="151">
        <f t="shared" si="1"/>
        <v>23</v>
      </c>
      <c r="B32" s="73">
        <v>30000</v>
      </c>
      <c r="C32" s="145">
        <v>4</v>
      </c>
      <c r="D32" s="223">
        <f>4683.93+5868</f>
        <v>10551.93</v>
      </c>
    </row>
    <row r="33" spans="1:18" x14ac:dyDescent="0.2">
      <c r="A33" s="151">
        <f t="shared" si="1"/>
        <v>24</v>
      </c>
      <c r="B33" s="73">
        <v>38000</v>
      </c>
      <c r="C33" s="145">
        <v>4</v>
      </c>
      <c r="D33" s="223">
        <f>8668.02+5868</f>
        <v>14536.02</v>
      </c>
    </row>
    <row r="34" spans="1:18" x14ac:dyDescent="0.2">
      <c r="A34" s="151">
        <f t="shared" si="1"/>
        <v>25</v>
      </c>
      <c r="B34" s="73">
        <v>56000</v>
      </c>
      <c r="C34" s="145">
        <v>4</v>
      </c>
      <c r="D34" s="223">
        <f>11572.05+5868</f>
        <v>17440.05</v>
      </c>
      <c r="R34" s="224"/>
    </row>
    <row r="35" spans="1:18" x14ac:dyDescent="0.2">
      <c r="R35" s="224"/>
    </row>
    <row r="36" spans="1:18" x14ac:dyDescent="0.2">
      <c r="A36" s="145" t="s">
        <v>974</v>
      </c>
      <c r="R36" s="224"/>
    </row>
    <row r="37" spans="1:18" x14ac:dyDescent="0.2">
      <c r="R37" s="224"/>
    </row>
    <row r="38" spans="1:18" ht="15" x14ac:dyDescent="0.2">
      <c r="A38" s="83" t="s">
        <v>975</v>
      </c>
      <c r="R38" s="224"/>
    </row>
    <row r="39" spans="1:18" x14ac:dyDescent="0.2">
      <c r="R39" s="224"/>
    </row>
    <row r="40" spans="1:18" x14ac:dyDescent="0.2">
      <c r="H40" s="146" t="s">
        <v>976</v>
      </c>
      <c r="I40" s="146" t="s">
        <v>970</v>
      </c>
      <c r="J40" s="146"/>
      <c r="P40" s="146"/>
    </row>
    <row r="41" spans="1:18" x14ac:dyDescent="0.2">
      <c r="A41" s="147" t="s">
        <v>10</v>
      </c>
      <c r="B41" s="147" t="s">
        <v>618</v>
      </c>
      <c r="C41" s="147" t="s">
        <v>626</v>
      </c>
      <c r="D41" s="148" t="s">
        <v>971</v>
      </c>
      <c r="E41" s="148" t="s">
        <v>626</v>
      </c>
      <c r="F41" s="148" t="s">
        <v>972</v>
      </c>
      <c r="G41" s="148" t="s">
        <v>977</v>
      </c>
      <c r="H41" s="148" t="s">
        <v>973</v>
      </c>
      <c r="I41" s="148" t="s">
        <v>973</v>
      </c>
      <c r="J41" s="146"/>
      <c r="P41" s="146"/>
    </row>
    <row r="42" spans="1:18" x14ac:dyDescent="0.2">
      <c r="B42" s="222" t="s">
        <v>24</v>
      </c>
      <c r="C42" s="222" t="s">
        <v>25</v>
      </c>
      <c r="D42" s="222" t="s">
        <v>26</v>
      </c>
      <c r="E42" s="222" t="s">
        <v>27</v>
      </c>
      <c r="F42" s="222" t="s">
        <v>28</v>
      </c>
      <c r="G42" s="222" t="s">
        <v>29</v>
      </c>
      <c r="H42" s="222" t="s">
        <v>30</v>
      </c>
      <c r="I42" s="222" t="s">
        <v>31</v>
      </c>
      <c r="J42" s="146"/>
      <c r="P42" s="146"/>
    </row>
    <row r="43" spans="1:18" x14ac:dyDescent="0.2">
      <c r="D43" s="146"/>
      <c r="E43" s="146"/>
      <c r="F43" s="146"/>
      <c r="G43" s="146"/>
      <c r="H43" s="146"/>
      <c r="I43" s="146"/>
      <c r="J43" s="146"/>
      <c r="P43" s="146"/>
    </row>
    <row r="44" spans="1:18" x14ac:dyDescent="0.2">
      <c r="A44" s="151">
        <f>A34+1</f>
        <v>26</v>
      </c>
      <c r="B44" s="145" t="s">
        <v>635</v>
      </c>
      <c r="C44" s="145" t="s">
        <v>635</v>
      </c>
      <c r="D44" s="145">
        <v>23000</v>
      </c>
      <c r="E44" s="145">
        <f>INDEX('SRC-4 (S.D. Customers)'!$F$9:$F$26,MATCH(B44,'SRC-4 (S.D. Customers)'!$E$9:$E$26,0))</f>
        <v>3</v>
      </c>
      <c r="F44" s="145">
        <f>INDEX(C$10:C$34,MATCH(D44,B$10:B$34))</f>
        <v>4</v>
      </c>
      <c r="G44" s="73">
        <v>12</v>
      </c>
      <c r="H44" s="87">
        <f>INDEX(D$10:D$34,MATCH(D44,B$10:B$34))</f>
        <v>10551.93</v>
      </c>
      <c r="I44" s="74">
        <f>G44*H44</f>
        <v>126623.16</v>
      </c>
      <c r="J44" s="224"/>
      <c r="P44" s="224"/>
    </row>
    <row r="45" spans="1:18" x14ac:dyDescent="0.2">
      <c r="A45" s="151">
        <f>A44+1</f>
        <v>27</v>
      </c>
      <c r="B45" s="145" t="s">
        <v>644</v>
      </c>
      <c r="C45" s="145" t="s">
        <v>644</v>
      </c>
      <c r="D45" s="145">
        <v>3000</v>
      </c>
      <c r="E45" s="145">
        <f>INDEX('SRC-4 (S.D. Customers)'!$F$9:$F$26,MATCH(B45,'SRC-4 (S.D. Customers)'!$E$9:$E$26,0))</f>
        <v>3</v>
      </c>
      <c r="F45" s="145">
        <f t="shared" ref="F45:F108" si="3">INDEX(C$10:C$34,MATCH(D45,B$10:B$34))</f>
        <v>2</v>
      </c>
      <c r="G45" s="73">
        <v>5</v>
      </c>
      <c r="H45" s="87">
        <f t="shared" ref="H45:H75" si="4">INDEX(D$10:D$34,MATCH(D45,B$10:B$34))</f>
        <v>4247.3599999999997</v>
      </c>
      <c r="I45" s="74">
        <f t="shared" ref="I45:I78" si="5">G45*H45</f>
        <v>21236.799999999999</v>
      </c>
      <c r="J45" s="224"/>
      <c r="P45" s="224"/>
    </row>
    <row r="46" spans="1:18" x14ac:dyDescent="0.2">
      <c r="A46" s="151">
        <f t="shared" ref="A46:A109" si="6">A45+1</f>
        <v>28</v>
      </c>
      <c r="B46" s="145" t="s">
        <v>644</v>
      </c>
      <c r="C46" s="145" t="s">
        <v>644</v>
      </c>
      <c r="D46" s="145">
        <v>7000</v>
      </c>
      <c r="E46" s="145">
        <f>INDEX('SRC-4 (S.D. Customers)'!$F$9:$F$26,MATCH(B46,'SRC-4 (S.D. Customers)'!$E$9:$E$26,0))</f>
        <v>3</v>
      </c>
      <c r="F46" s="145">
        <f t="shared" si="3"/>
        <v>3</v>
      </c>
      <c r="G46" s="73">
        <v>12</v>
      </c>
      <c r="H46" s="87">
        <f t="shared" si="4"/>
        <v>5310.6</v>
      </c>
      <c r="I46" s="74">
        <f t="shared" si="5"/>
        <v>63727.200000000004</v>
      </c>
      <c r="J46" s="224"/>
      <c r="P46" s="224"/>
    </row>
    <row r="47" spans="1:18" x14ac:dyDescent="0.2">
      <c r="A47" s="151">
        <f t="shared" si="6"/>
        <v>29</v>
      </c>
      <c r="B47" s="145" t="s">
        <v>644</v>
      </c>
      <c r="C47" s="145" t="s">
        <v>644</v>
      </c>
      <c r="D47" s="145">
        <v>11000</v>
      </c>
      <c r="E47" s="145">
        <f>INDEX('SRC-4 (S.D. Customers)'!$F$9:$F$26,MATCH(B47,'SRC-4 (S.D. Customers)'!$E$9:$E$26,0))</f>
        <v>3</v>
      </c>
      <c r="F47" s="145">
        <f t="shared" si="3"/>
        <v>3</v>
      </c>
      <c r="G47" s="73">
        <v>120</v>
      </c>
      <c r="H47" s="87">
        <f t="shared" si="4"/>
        <v>7811</v>
      </c>
      <c r="I47" s="74">
        <f t="shared" si="5"/>
        <v>937320</v>
      </c>
      <c r="J47" s="224"/>
      <c r="P47" s="224"/>
    </row>
    <row r="48" spans="1:18" x14ac:dyDescent="0.2">
      <c r="A48" s="151">
        <f t="shared" si="6"/>
        <v>30</v>
      </c>
      <c r="B48" s="145" t="s">
        <v>644</v>
      </c>
      <c r="C48" s="145" t="s">
        <v>644</v>
      </c>
      <c r="D48" s="145">
        <v>16000</v>
      </c>
      <c r="E48" s="145">
        <f>INDEX('SRC-4 (S.D. Customers)'!$F$9:$F$26,MATCH(B48,'SRC-4 (S.D. Customers)'!$E$9:$E$26,0))</f>
        <v>3</v>
      </c>
      <c r="F48" s="145">
        <f t="shared" si="3"/>
        <v>4</v>
      </c>
      <c r="G48" s="73">
        <v>84</v>
      </c>
      <c r="H48" s="87">
        <f t="shared" si="4"/>
        <v>8513.0400000000009</v>
      </c>
      <c r="I48" s="74">
        <f t="shared" si="5"/>
        <v>715095.3600000001</v>
      </c>
      <c r="J48" s="224"/>
      <c r="P48" s="224"/>
    </row>
    <row r="49" spans="1:16" x14ac:dyDescent="0.2">
      <c r="A49" s="151">
        <f t="shared" si="6"/>
        <v>31</v>
      </c>
      <c r="B49" s="145" t="s">
        <v>644</v>
      </c>
      <c r="C49" s="145" t="s">
        <v>644</v>
      </c>
      <c r="D49" s="145">
        <v>23000</v>
      </c>
      <c r="E49" s="145">
        <f>INDEX('SRC-4 (S.D. Customers)'!$F$9:$F$26,MATCH(B49,'SRC-4 (S.D. Customers)'!$E$9:$E$26,0))</f>
        <v>3</v>
      </c>
      <c r="F49" s="145">
        <f t="shared" si="3"/>
        <v>4</v>
      </c>
      <c r="G49" s="73">
        <v>36</v>
      </c>
      <c r="H49" s="87">
        <f t="shared" si="4"/>
        <v>10551.93</v>
      </c>
      <c r="I49" s="74">
        <f t="shared" si="5"/>
        <v>379869.48</v>
      </c>
      <c r="J49" s="224"/>
    </row>
    <row r="50" spans="1:16" x14ac:dyDescent="0.2">
      <c r="A50" s="151">
        <f t="shared" si="6"/>
        <v>32</v>
      </c>
      <c r="B50" s="145" t="s">
        <v>644</v>
      </c>
      <c r="C50" s="145" t="s">
        <v>644</v>
      </c>
      <c r="D50" s="145">
        <v>30000</v>
      </c>
      <c r="E50" s="145">
        <f>INDEX('SRC-4 (S.D. Customers)'!$F$9:$F$26,MATCH(B50,'SRC-4 (S.D. Customers)'!$E$9:$E$26,0))</f>
        <v>3</v>
      </c>
      <c r="F50" s="145">
        <f t="shared" si="3"/>
        <v>4</v>
      </c>
      <c r="G50" s="73">
        <v>12</v>
      </c>
      <c r="H50" s="87">
        <f t="shared" si="4"/>
        <v>10551.93</v>
      </c>
      <c r="I50" s="74">
        <f t="shared" si="5"/>
        <v>126623.16</v>
      </c>
      <c r="J50" s="224"/>
      <c r="P50" s="224"/>
    </row>
    <row r="51" spans="1:16" x14ac:dyDescent="0.2">
      <c r="A51" s="151">
        <f t="shared" si="6"/>
        <v>33</v>
      </c>
      <c r="B51" s="145" t="s">
        <v>644</v>
      </c>
      <c r="C51" s="145" t="s">
        <v>644</v>
      </c>
      <c r="D51" s="145">
        <v>38000</v>
      </c>
      <c r="E51" s="145">
        <f>INDEX('SRC-4 (S.D. Customers)'!$F$9:$F$26,MATCH(B51,'SRC-4 (S.D. Customers)'!$E$9:$E$26,0))</f>
        <v>3</v>
      </c>
      <c r="F51" s="145">
        <f t="shared" si="3"/>
        <v>4</v>
      </c>
      <c r="G51" s="73">
        <v>12</v>
      </c>
      <c r="H51" s="87">
        <f t="shared" si="4"/>
        <v>14536.02</v>
      </c>
      <c r="I51" s="74">
        <f t="shared" si="5"/>
        <v>174432.24</v>
      </c>
      <c r="J51" s="224"/>
      <c r="P51" s="224"/>
    </row>
    <row r="52" spans="1:16" x14ac:dyDescent="0.2">
      <c r="A52" s="151">
        <f t="shared" si="6"/>
        <v>34</v>
      </c>
      <c r="B52" s="145" t="s">
        <v>644</v>
      </c>
      <c r="C52" s="145" t="s">
        <v>644</v>
      </c>
      <c r="D52" s="145">
        <v>60000</v>
      </c>
      <c r="E52" s="145">
        <f>INDEX('SRC-4 (S.D. Customers)'!$F$9:$F$26,MATCH(B52,'SRC-4 (S.D. Customers)'!$E$9:$E$26,0))</f>
        <v>3</v>
      </c>
      <c r="F52" s="145">
        <f t="shared" si="3"/>
        <v>4</v>
      </c>
      <c r="G52" s="73">
        <v>19</v>
      </c>
      <c r="H52" s="87">
        <f t="shared" si="4"/>
        <v>17440.05</v>
      </c>
      <c r="I52" s="74">
        <f t="shared" si="5"/>
        <v>331360.95</v>
      </c>
      <c r="J52" s="224"/>
      <c r="P52" s="225"/>
    </row>
    <row r="53" spans="1:16" x14ac:dyDescent="0.2">
      <c r="A53" s="151">
        <f t="shared" si="6"/>
        <v>35</v>
      </c>
      <c r="B53" s="145" t="s">
        <v>645</v>
      </c>
      <c r="C53" s="145" t="s">
        <v>645</v>
      </c>
      <c r="D53" s="145">
        <v>400</v>
      </c>
      <c r="E53" s="145">
        <f>INDEX('SRC-4 (S.D. Customers)'!$F$9:$F$26,MATCH(B53,'SRC-4 (S.D. Customers)'!$E$9:$E$26,0))</f>
        <v>2</v>
      </c>
      <c r="F53" s="145">
        <f t="shared" si="3"/>
        <v>1</v>
      </c>
      <c r="G53" s="73">
        <v>24</v>
      </c>
      <c r="H53" s="87">
        <f t="shared" si="4"/>
        <v>845.9</v>
      </c>
      <c r="I53" s="74">
        <f t="shared" si="5"/>
        <v>20301.599999999999</v>
      </c>
      <c r="J53" s="224"/>
      <c r="P53" s="224"/>
    </row>
    <row r="54" spans="1:16" x14ac:dyDescent="0.2">
      <c r="A54" s="151">
        <f t="shared" si="6"/>
        <v>36</v>
      </c>
      <c r="B54" s="145" t="s">
        <v>645</v>
      </c>
      <c r="C54" s="145" t="s">
        <v>645</v>
      </c>
      <c r="D54" s="145">
        <v>402</v>
      </c>
      <c r="E54" s="145">
        <f>INDEX('SRC-4 (S.D. Customers)'!$F$9:$F$26,MATCH(B54,'SRC-4 (S.D. Customers)'!$E$9:$E$26,0))</f>
        <v>2</v>
      </c>
      <c r="F54" s="145">
        <f t="shared" si="3"/>
        <v>1</v>
      </c>
      <c r="G54" s="73">
        <v>54</v>
      </c>
      <c r="H54" s="87">
        <f t="shared" si="4"/>
        <v>845.9</v>
      </c>
      <c r="I54" s="74">
        <f t="shared" si="5"/>
        <v>45678.6</v>
      </c>
      <c r="J54" s="224"/>
      <c r="P54" s="224"/>
    </row>
    <row r="55" spans="1:16" x14ac:dyDescent="0.2">
      <c r="A55" s="151">
        <f t="shared" si="6"/>
        <v>37</v>
      </c>
      <c r="B55" s="145" t="s">
        <v>645</v>
      </c>
      <c r="C55" s="145" t="s">
        <v>645</v>
      </c>
      <c r="D55" s="145">
        <v>416</v>
      </c>
      <c r="E55" s="145">
        <f>INDEX('SRC-4 (S.D. Customers)'!$F$9:$F$26,MATCH(B55,'SRC-4 (S.D. Customers)'!$E$9:$E$26,0))</f>
        <v>2</v>
      </c>
      <c r="F55" s="145">
        <f t="shared" si="3"/>
        <v>1</v>
      </c>
      <c r="G55" s="73">
        <v>12</v>
      </c>
      <c r="H55" s="87">
        <f t="shared" si="4"/>
        <v>845.9</v>
      </c>
      <c r="I55" s="74">
        <f t="shared" si="5"/>
        <v>10150.799999999999</v>
      </c>
      <c r="J55" s="224"/>
      <c r="P55" s="224"/>
    </row>
    <row r="56" spans="1:16" x14ac:dyDescent="0.2">
      <c r="A56" s="151">
        <f t="shared" si="6"/>
        <v>38</v>
      </c>
      <c r="B56" s="145" t="s">
        <v>645</v>
      </c>
      <c r="C56" s="145" t="s">
        <v>645</v>
      </c>
      <c r="D56" s="145">
        <v>425</v>
      </c>
      <c r="E56" s="145">
        <f>INDEX('SRC-4 (S.D. Customers)'!$F$9:$F$26,MATCH(B56,'SRC-4 (S.D. Customers)'!$E$9:$E$26,0))</f>
        <v>2</v>
      </c>
      <c r="F56" s="145">
        <f t="shared" si="3"/>
        <v>1</v>
      </c>
      <c r="G56" s="73">
        <v>204</v>
      </c>
      <c r="H56" s="87">
        <f t="shared" si="4"/>
        <v>845.9</v>
      </c>
      <c r="I56" s="74">
        <f t="shared" si="5"/>
        <v>172563.6</v>
      </c>
      <c r="J56" s="224"/>
      <c r="P56" s="224"/>
    </row>
    <row r="57" spans="1:16" x14ac:dyDescent="0.2">
      <c r="A57" s="151">
        <f t="shared" si="6"/>
        <v>39</v>
      </c>
      <c r="B57" s="145" t="s">
        <v>645</v>
      </c>
      <c r="C57" s="145" t="s">
        <v>645</v>
      </c>
      <c r="D57" s="145">
        <v>630</v>
      </c>
      <c r="E57" s="145">
        <f>INDEX('SRC-4 (S.D. Customers)'!$F$9:$F$26,MATCH(B57,'SRC-4 (S.D. Customers)'!$E$9:$E$26,0))</f>
        <v>2</v>
      </c>
      <c r="F57" s="145">
        <f t="shared" si="3"/>
        <v>1</v>
      </c>
      <c r="G57" s="73">
        <v>161.666</v>
      </c>
      <c r="H57" s="87">
        <f t="shared" si="4"/>
        <v>1459.03</v>
      </c>
      <c r="I57" s="74">
        <f t="shared" si="5"/>
        <v>235875.54397999999</v>
      </c>
      <c r="J57" s="224"/>
      <c r="P57" s="224"/>
    </row>
    <row r="58" spans="1:16" x14ac:dyDescent="0.2">
      <c r="A58" s="151">
        <f t="shared" si="6"/>
        <v>40</v>
      </c>
      <c r="B58" s="145" t="s">
        <v>645</v>
      </c>
      <c r="C58" s="145" t="s">
        <v>645</v>
      </c>
      <c r="D58" s="145">
        <v>675</v>
      </c>
      <c r="E58" s="145">
        <f>INDEX('SRC-4 (S.D. Customers)'!$F$9:$F$26,MATCH(B58,'SRC-4 (S.D. Customers)'!$E$9:$E$26,0))</f>
        <v>2</v>
      </c>
      <c r="F58" s="145">
        <f t="shared" si="3"/>
        <v>1</v>
      </c>
      <c r="G58" s="73">
        <v>12</v>
      </c>
      <c r="H58" s="87">
        <f t="shared" si="4"/>
        <v>1459.03</v>
      </c>
      <c r="I58" s="74">
        <f t="shared" si="5"/>
        <v>17508.36</v>
      </c>
      <c r="J58" s="224"/>
      <c r="P58" s="224"/>
    </row>
    <row r="59" spans="1:16" x14ac:dyDescent="0.2">
      <c r="A59" s="151">
        <f t="shared" si="6"/>
        <v>41</v>
      </c>
      <c r="B59" s="145" t="s">
        <v>645</v>
      </c>
      <c r="C59" s="145" t="s">
        <v>645</v>
      </c>
      <c r="D59" s="145">
        <v>750</v>
      </c>
      <c r="E59" s="145">
        <f>INDEX('SRC-4 (S.D. Customers)'!$F$9:$F$26,MATCH(B59,'SRC-4 (S.D. Customers)'!$E$9:$E$26,0))</f>
        <v>2</v>
      </c>
      <c r="F59" s="145">
        <f t="shared" si="3"/>
        <v>1</v>
      </c>
      <c r="G59" s="73">
        <v>47</v>
      </c>
      <c r="H59" s="87">
        <f t="shared" si="4"/>
        <v>1459.03</v>
      </c>
      <c r="I59" s="74">
        <f t="shared" si="5"/>
        <v>68574.41</v>
      </c>
      <c r="J59" s="224"/>
      <c r="P59" s="224"/>
    </row>
    <row r="60" spans="1:16" x14ac:dyDescent="0.2">
      <c r="A60" s="151">
        <f t="shared" si="6"/>
        <v>42</v>
      </c>
      <c r="B60" s="145" t="s">
        <v>645</v>
      </c>
      <c r="C60" s="145" t="s">
        <v>645</v>
      </c>
      <c r="D60" s="145">
        <v>800</v>
      </c>
      <c r="E60" s="145">
        <f>INDEX('SRC-4 (S.D. Customers)'!$F$9:$F$26,MATCH(B60,'SRC-4 (S.D. Customers)'!$E$9:$E$26,0))</f>
        <v>2</v>
      </c>
      <c r="F60" s="145">
        <f t="shared" si="3"/>
        <v>2</v>
      </c>
      <c r="G60" s="73">
        <v>81</v>
      </c>
      <c r="H60" s="87">
        <f t="shared" si="4"/>
        <v>1459.03</v>
      </c>
      <c r="I60" s="74">
        <f t="shared" si="5"/>
        <v>118181.43</v>
      </c>
      <c r="J60" s="224"/>
      <c r="P60" s="224"/>
    </row>
    <row r="61" spans="1:16" x14ac:dyDescent="0.2">
      <c r="A61" s="151">
        <f t="shared" si="6"/>
        <v>43</v>
      </c>
      <c r="B61" s="145" t="s">
        <v>645</v>
      </c>
      <c r="C61" s="145" t="s">
        <v>645</v>
      </c>
      <c r="D61" s="145">
        <v>998</v>
      </c>
      <c r="E61" s="145">
        <f>INDEX('SRC-4 (S.D. Customers)'!$F$9:$F$26,MATCH(B61,'SRC-4 (S.D. Customers)'!$E$9:$E$26,0))</f>
        <v>2</v>
      </c>
      <c r="F61" s="145">
        <f t="shared" si="3"/>
        <v>2</v>
      </c>
      <c r="G61" s="73">
        <v>238.566</v>
      </c>
      <c r="H61" s="87">
        <f t="shared" si="4"/>
        <v>1459.03</v>
      </c>
      <c r="I61" s="74">
        <f t="shared" si="5"/>
        <v>348074.95098000002</v>
      </c>
      <c r="J61" s="224"/>
      <c r="P61" s="224"/>
    </row>
    <row r="62" spans="1:16" x14ac:dyDescent="0.2">
      <c r="A62" s="151">
        <f t="shared" si="6"/>
        <v>44</v>
      </c>
      <c r="B62" s="145" t="s">
        <v>645</v>
      </c>
      <c r="C62" s="145" t="s">
        <v>645</v>
      </c>
      <c r="D62" s="145">
        <v>1000</v>
      </c>
      <c r="E62" s="145">
        <f>INDEX('SRC-4 (S.D. Customers)'!$F$9:$F$26,MATCH(B62,'SRC-4 (S.D. Customers)'!$E$9:$E$26,0))</f>
        <v>2</v>
      </c>
      <c r="F62" s="145">
        <f t="shared" si="3"/>
        <v>2</v>
      </c>
      <c r="G62" s="73">
        <v>392.13200000000001</v>
      </c>
      <c r="H62" s="87">
        <f t="shared" si="4"/>
        <v>1543.73</v>
      </c>
      <c r="I62" s="74">
        <f t="shared" si="5"/>
        <v>605345.93235999998</v>
      </c>
      <c r="J62" s="224"/>
      <c r="P62" s="224"/>
    </row>
    <row r="63" spans="1:16" x14ac:dyDescent="0.2">
      <c r="A63" s="151">
        <f t="shared" si="6"/>
        <v>45</v>
      </c>
      <c r="B63" s="145" t="s">
        <v>645</v>
      </c>
      <c r="C63" s="145" t="s">
        <v>645</v>
      </c>
      <c r="D63" s="145">
        <v>1400</v>
      </c>
      <c r="E63" s="145">
        <f>INDEX('SRC-4 (S.D. Customers)'!$F$9:$F$26,MATCH(B63,'SRC-4 (S.D. Customers)'!$E$9:$E$26,0))</f>
        <v>2</v>
      </c>
      <c r="F63" s="145">
        <f t="shared" si="3"/>
        <v>2</v>
      </c>
      <c r="G63" s="73">
        <v>46.433</v>
      </c>
      <c r="H63" s="87">
        <f t="shared" si="4"/>
        <v>1543.73</v>
      </c>
      <c r="I63" s="74">
        <f t="shared" si="5"/>
        <v>71680.015090000001</v>
      </c>
      <c r="J63" s="224"/>
      <c r="P63" s="224"/>
    </row>
    <row r="64" spans="1:16" x14ac:dyDescent="0.2">
      <c r="A64" s="151">
        <f t="shared" si="6"/>
        <v>46</v>
      </c>
      <c r="B64" s="145" t="s">
        <v>645</v>
      </c>
      <c r="C64" s="145" t="s">
        <v>645</v>
      </c>
      <c r="D64" s="145">
        <v>1500</v>
      </c>
      <c r="E64" s="145">
        <f>INDEX('SRC-4 (S.D. Customers)'!$F$9:$F$26,MATCH(B64,'SRC-4 (S.D. Customers)'!$E$9:$E$26,0))</f>
        <v>2</v>
      </c>
      <c r="F64" s="145">
        <f t="shared" si="3"/>
        <v>2</v>
      </c>
      <c r="G64" s="73">
        <v>35.9</v>
      </c>
      <c r="H64" s="87">
        <f t="shared" si="4"/>
        <v>1543.73</v>
      </c>
      <c r="I64" s="74">
        <f t="shared" si="5"/>
        <v>55419.906999999999</v>
      </c>
      <c r="J64" s="224"/>
      <c r="P64" s="224"/>
    </row>
    <row r="65" spans="1:16" x14ac:dyDescent="0.2">
      <c r="A65" s="151">
        <f t="shared" si="6"/>
        <v>47</v>
      </c>
      <c r="B65" s="145" t="s">
        <v>645</v>
      </c>
      <c r="C65" s="145" t="s">
        <v>645</v>
      </c>
      <c r="D65" s="145">
        <v>2300</v>
      </c>
      <c r="E65" s="145">
        <f>INDEX('SRC-4 (S.D. Customers)'!$F$9:$F$26,MATCH(B65,'SRC-4 (S.D. Customers)'!$E$9:$E$26,0))</f>
        <v>2</v>
      </c>
      <c r="F65" s="145">
        <f t="shared" si="3"/>
        <v>2</v>
      </c>
      <c r="G65" s="73">
        <v>8</v>
      </c>
      <c r="H65" s="87">
        <f t="shared" si="4"/>
        <v>1543.73</v>
      </c>
      <c r="I65" s="74">
        <f t="shared" si="5"/>
        <v>12349.84</v>
      </c>
      <c r="J65" s="224"/>
      <c r="P65" s="224"/>
    </row>
    <row r="66" spans="1:16" x14ac:dyDescent="0.2">
      <c r="A66" s="151">
        <f t="shared" si="6"/>
        <v>48</v>
      </c>
      <c r="B66" s="145" t="s">
        <v>645</v>
      </c>
      <c r="C66" s="145" t="s">
        <v>645</v>
      </c>
      <c r="D66" s="145">
        <v>3000</v>
      </c>
      <c r="E66" s="145">
        <f>INDEX('SRC-4 (S.D. Customers)'!$F$9:$F$26,MATCH(B66,'SRC-4 (S.D. Customers)'!$E$9:$E$26,0))</f>
        <v>2</v>
      </c>
      <c r="F66" s="145">
        <f t="shared" si="3"/>
        <v>2</v>
      </c>
      <c r="G66" s="73">
        <v>785.23099999999999</v>
      </c>
      <c r="H66" s="87">
        <f t="shared" si="4"/>
        <v>4247.3599999999997</v>
      </c>
      <c r="I66" s="74">
        <f t="shared" si="5"/>
        <v>3335158.7401599996</v>
      </c>
      <c r="J66" s="224"/>
      <c r="P66" s="224"/>
    </row>
    <row r="67" spans="1:16" x14ac:dyDescent="0.2">
      <c r="A67" s="151">
        <f t="shared" si="6"/>
        <v>49</v>
      </c>
      <c r="B67" s="145" t="s">
        <v>645</v>
      </c>
      <c r="C67" s="145" t="s">
        <v>645</v>
      </c>
      <c r="D67" s="145">
        <v>5000</v>
      </c>
      <c r="E67" s="145">
        <f>INDEX('SRC-4 (S.D. Customers)'!$F$9:$F$26,MATCH(B67,'SRC-4 (S.D. Customers)'!$E$9:$E$26,0))</f>
        <v>2</v>
      </c>
      <c r="F67" s="145">
        <f t="shared" si="3"/>
        <v>3</v>
      </c>
      <c r="G67" s="73">
        <v>588.69800000000009</v>
      </c>
      <c r="H67" s="87">
        <f t="shared" si="4"/>
        <v>4959.03</v>
      </c>
      <c r="I67" s="74">
        <f t="shared" si="5"/>
        <v>2919371.0429400005</v>
      </c>
      <c r="J67" s="224"/>
      <c r="P67" s="224"/>
    </row>
    <row r="68" spans="1:16" x14ac:dyDescent="0.2">
      <c r="A68" s="151">
        <f t="shared" si="6"/>
        <v>50</v>
      </c>
      <c r="B68" s="145" t="s">
        <v>645</v>
      </c>
      <c r="C68" s="145" t="s">
        <v>645</v>
      </c>
      <c r="D68" s="145">
        <v>7000</v>
      </c>
      <c r="E68" s="145">
        <f>INDEX('SRC-4 (S.D. Customers)'!$F$9:$F$26,MATCH(B68,'SRC-4 (S.D. Customers)'!$E$9:$E$26,0))</f>
        <v>2</v>
      </c>
      <c r="F68" s="145">
        <f t="shared" si="3"/>
        <v>3</v>
      </c>
      <c r="G68" s="73">
        <v>444.233</v>
      </c>
      <c r="H68" s="87">
        <f t="shared" si="4"/>
        <v>5310.6</v>
      </c>
      <c r="I68" s="74">
        <f t="shared" si="5"/>
        <v>2359143.7698000004</v>
      </c>
      <c r="J68" s="224"/>
      <c r="P68" s="224"/>
    </row>
    <row r="69" spans="1:16" x14ac:dyDescent="0.2">
      <c r="A69" s="151">
        <f t="shared" si="6"/>
        <v>51</v>
      </c>
      <c r="B69" s="145" t="s">
        <v>645</v>
      </c>
      <c r="C69" s="145" t="s">
        <v>645</v>
      </c>
      <c r="D69" s="145">
        <v>11000</v>
      </c>
      <c r="E69" s="145">
        <f>INDEX('SRC-4 (S.D. Customers)'!$F$9:$F$26,MATCH(B69,'SRC-4 (S.D. Customers)'!$E$9:$E$26,0))</f>
        <v>2</v>
      </c>
      <c r="F69" s="145">
        <f t="shared" si="3"/>
        <v>3</v>
      </c>
      <c r="G69" s="73">
        <v>221.733</v>
      </c>
      <c r="H69" s="87">
        <f t="shared" si="4"/>
        <v>7811</v>
      </c>
      <c r="I69" s="74">
        <f t="shared" si="5"/>
        <v>1731956.463</v>
      </c>
      <c r="J69" s="224"/>
      <c r="P69" s="224"/>
    </row>
    <row r="70" spans="1:16" x14ac:dyDescent="0.2">
      <c r="A70" s="151">
        <f t="shared" si="6"/>
        <v>52</v>
      </c>
      <c r="B70" s="145" t="s">
        <v>645</v>
      </c>
      <c r="C70" s="145" t="s">
        <v>645</v>
      </c>
      <c r="D70" s="145">
        <v>16000</v>
      </c>
      <c r="E70" s="145">
        <f>INDEX('SRC-4 (S.D. Customers)'!$F$9:$F$26,MATCH(B70,'SRC-4 (S.D. Customers)'!$E$9:$E$26,0))</f>
        <v>2</v>
      </c>
      <c r="F70" s="145">
        <f t="shared" si="3"/>
        <v>4</v>
      </c>
      <c r="G70" s="73">
        <v>37.732999999999997</v>
      </c>
      <c r="H70" s="87">
        <f t="shared" si="4"/>
        <v>8513.0400000000009</v>
      </c>
      <c r="I70" s="74">
        <f t="shared" si="5"/>
        <v>321222.53831999999</v>
      </c>
      <c r="J70" s="224"/>
      <c r="P70" s="224"/>
    </row>
    <row r="71" spans="1:16" x14ac:dyDescent="0.2">
      <c r="A71" s="151">
        <f t="shared" si="6"/>
        <v>53</v>
      </c>
      <c r="B71" s="145" t="s">
        <v>636</v>
      </c>
      <c r="C71" s="145" t="s">
        <v>978</v>
      </c>
      <c r="D71" s="145">
        <v>200</v>
      </c>
      <c r="E71" s="145">
        <f>INDEX('SRC-4 (S.D. Customers)'!$F$9:$F$26,MATCH(B71,'SRC-4 (S.D. Customers)'!$E$9:$E$26,0))</f>
        <v>2</v>
      </c>
      <c r="F71" s="145">
        <f t="shared" si="3"/>
        <v>1</v>
      </c>
      <c r="G71" s="73">
        <v>11.833</v>
      </c>
      <c r="H71" s="87">
        <f t="shared" si="4"/>
        <v>406.5</v>
      </c>
      <c r="I71" s="74">
        <f t="shared" si="5"/>
        <v>4810.1144999999997</v>
      </c>
      <c r="J71" s="224"/>
      <c r="P71" s="224"/>
    </row>
    <row r="72" spans="1:16" x14ac:dyDescent="0.2">
      <c r="A72" s="151">
        <f t="shared" si="6"/>
        <v>54</v>
      </c>
      <c r="B72" s="145" t="s">
        <v>636</v>
      </c>
      <c r="C72" s="145" t="s">
        <v>978</v>
      </c>
      <c r="D72" s="145">
        <v>250</v>
      </c>
      <c r="E72" s="145">
        <f>INDEX('SRC-4 (S.D. Customers)'!$F$9:$F$26,MATCH(B72,'SRC-4 (S.D. Customers)'!$E$9:$E$26,0))</f>
        <v>2</v>
      </c>
      <c r="F72" s="145">
        <f t="shared" si="3"/>
        <v>1</v>
      </c>
      <c r="G72" s="73">
        <v>167.833</v>
      </c>
      <c r="H72" s="87">
        <f t="shared" si="4"/>
        <v>406.5</v>
      </c>
      <c r="I72" s="74">
        <f t="shared" si="5"/>
        <v>68224.114499999996</v>
      </c>
      <c r="J72" s="224"/>
      <c r="P72" s="224"/>
    </row>
    <row r="73" spans="1:16" x14ac:dyDescent="0.2">
      <c r="A73" s="151">
        <f t="shared" si="6"/>
        <v>55</v>
      </c>
      <c r="B73" s="145" t="s">
        <v>636</v>
      </c>
      <c r="C73" s="145" t="s">
        <v>636</v>
      </c>
      <c r="D73" s="145">
        <v>250</v>
      </c>
      <c r="E73" s="145">
        <f>INDEX('SRC-4 (S.D. Customers)'!$F$9:$F$26,MATCH(B73,'SRC-4 (S.D. Customers)'!$E$9:$E$26,0))</f>
        <v>2</v>
      </c>
      <c r="F73" s="145">
        <f t="shared" si="3"/>
        <v>1</v>
      </c>
      <c r="G73" s="73">
        <v>12</v>
      </c>
      <c r="H73" s="87">
        <f t="shared" si="4"/>
        <v>406.5</v>
      </c>
      <c r="I73" s="74">
        <f t="shared" si="5"/>
        <v>4878</v>
      </c>
      <c r="J73" s="224"/>
      <c r="P73" s="224"/>
    </row>
    <row r="74" spans="1:16" x14ac:dyDescent="0.2">
      <c r="A74" s="151">
        <f t="shared" si="6"/>
        <v>56</v>
      </c>
      <c r="B74" s="145" t="s">
        <v>636</v>
      </c>
      <c r="C74" s="145" t="s">
        <v>978</v>
      </c>
      <c r="D74" s="145">
        <v>275</v>
      </c>
      <c r="E74" s="145">
        <f>INDEX('SRC-4 (S.D. Customers)'!$F$9:$F$26,MATCH(B74,'SRC-4 (S.D. Customers)'!$E$9:$E$26,0))</f>
        <v>2</v>
      </c>
      <c r="F74" s="145">
        <f t="shared" si="3"/>
        <v>1</v>
      </c>
      <c r="G74" s="73">
        <v>24</v>
      </c>
      <c r="H74" s="87">
        <f t="shared" si="4"/>
        <v>406.5</v>
      </c>
      <c r="I74" s="74">
        <f t="shared" si="5"/>
        <v>9756</v>
      </c>
      <c r="J74" s="224"/>
    </row>
    <row r="75" spans="1:16" x14ac:dyDescent="0.2">
      <c r="A75" s="151">
        <f t="shared" si="6"/>
        <v>57</v>
      </c>
      <c r="B75" s="145" t="s">
        <v>636</v>
      </c>
      <c r="C75" s="145" t="s">
        <v>978</v>
      </c>
      <c r="D75" s="145">
        <v>400</v>
      </c>
      <c r="E75" s="145">
        <f>INDEX('SRC-4 (S.D. Customers)'!$F$9:$F$26,MATCH(B75,'SRC-4 (S.D. Customers)'!$E$9:$E$26,0))</f>
        <v>2</v>
      </c>
      <c r="F75" s="145">
        <f t="shared" si="3"/>
        <v>1</v>
      </c>
      <c r="G75" s="73">
        <v>36</v>
      </c>
      <c r="H75" s="87">
        <f t="shared" si="4"/>
        <v>845.9</v>
      </c>
      <c r="I75" s="74">
        <f t="shared" si="5"/>
        <v>30452.399999999998</v>
      </c>
      <c r="J75" s="224"/>
      <c r="P75" s="224"/>
    </row>
    <row r="76" spans="1:16" x14ac:dyDescent="0.2">
      <c r="A76" s="151">
        <f t="shared" si="6"/>
        <v>58</v>
      </c>
      <c r="B76" s="145" t="s">
        <v>636</v>
      </c>
      <c r="C76" s="145" t="s">
        <v>978</v>
      </c>
      <c r="D76" s="145">
        <v>402</v>
      </c>
      <c r="E76" s="145">
        <f>INDEX('SRC-4 (S.D. Customers)'!$F$9:$F$26,MATCH(B76,'SRC-4 (S.D. Customers)'!$E$9:$E$26,0))</f>
        <v>2</v>
      </c>
      <c r="F76" s="145">
        <f t="shared" si="3"/>
        <v>1</v>
      </c>
      <c r="G76" s="73">
        <v>381.99900000000002</v>
      </c>
      <c r="H76" s="87">
        <f t="shared" ref="H76:H107" si="7">INDEX(D$10:D$34,MATCH(D76,B$10:B$34))</f>
        <v>845.9</v>
      </c>
      <c r="I76" s="74">
        <f t="shared" si="5"/>
        <v>323132.95410000003</v>
      </c>
      <c r="J76" s="224"/>
      <c r="K76" s="224"/>
      <c r="L76" s="224"/>
      <c r="M76" s="224"/>
      <c r="N76" s="224"/>
      <c r="O76" s="224"/>
      <c r="P76" s="224"/>
    </row>
    <row r="77" spans="1:16" x14ac:dyDescent="0.2">
      <c r="A77" s="151">
        <f t="shared" si="6"/>
        <v>59</v>
      </c>
      <c r="B77" s="145" t="s">
        <v>636</v>
      </c>
      <c r="C77" s="145" t="s">
        <v>636</v>
      </c>
      <c r="D77" s="145">
        <v>402</v>
      </c>
      <c r="E77" s="145">
        <f>INDEX('SRC-4 (S.D. Customers)'!$F$9:$F$26,MATCH(B77,'SRC-4 (S.D. Customers)'!$E$9:$E$26,0))</f>
        <v>2</v>
      </c>
      <c r="F77" s="145">
        <f t="shared" si="3"/>
        <v>1</v>
      </c>
      <c r="G77" s="73">
        <v>11.833</v>
      </c>
      <c r="H77" s="87">
        <f t="shared" si="7"/>
        <v>845.9</v>
      </c>
      <c r="I77" s="74">
        <f t="shared" si="5"/>
        <v>10009.5347</v>
      </c>
      <c r="J77" s="224"/>
      <c r="K77" s="224"/>
      <c r="L77" s="224"/>
      <c r="M77" s="224"/>
      <c r="N77" s="224"/>
      <c r="O77" s="224"/>
      <c r="P77" s="224"/>
    </row>
    <row r="78" spans="1:16" x14ac:dyDescent="0.2">
      <c r="A78" s="151">
        <f t="shared" si="6"/>
        <v>60</v>
      </c>
      <c r="B78" s="145" t="s">
        <v>636</v>
      </c>
      <c r="C78" s="145" t="s">
        <v>978</v>
      </c>
      <c r="D78" s="145">
        <v>415</v>
      </c>
      <c r="E78" s="145">
        <f>INDEX('SRC-4 (S.D. Customers)'!$F$9:$F$26,MATCH(B78,'SRC-4 (S.D. Customers)'!$E$9:$E$26,0))</f>
        <v>2</v>
      </c>
      <c r="F78" s="145">
        <f t="shared" si="3"/>
        <v>1</v>
      </c>
      <c r="G78" s="73">
        <v>35.9</v>
      </c>
      <c r="H78" s="87">
        <f t="shared" si="7"/>
        <v>845.9</v>
      </c>
      <c r="I78" s="74">
        <f t="shared" si="5"/>
        <v>30367.809999999998</v>
      </c>
      <c r="J78" s="224"/>
      <c r="K78" s="224"/>
      <c r="L78" s="224"/>
      <c r="M78" s="224"/>
      <c r="N78" s="224"/>
      <c r="O78" s="224"/>
      <c r="P78" s="224"/>
    </row>
    <row r="79" spans="1:16" x14ac:dyDescent="0.2">
      <c r="A79" s="151">
        <f t="shared" si="6"/>
        <v>61</v>
      </c>
      <c r="B79" s="145" t="s">
        <v>636</v>
      </c>
      <c r="C79" s="145" t="s">
        <v>978</v>
      </c>
      <c r="D79" s="145">
        <v>416</v>
      </c>
      <c r="E79" s="145">
        <f>INDEX('SRC-4 (S.D. Customers)'!$F$9:$F$26,MATCH(B79,'SRC-4 (S.D. Customers)'!$E$9:$E$26,0))</f>
        <v>2</v>
      </c>
      <c r="F79" s="145">
        <f t="shared" si="3"/>
        <v>1</v>
      </c>
      <c r="G79" s="73">
        <v>59.832999999999998</v>
      </c>
      <c r="H79" s="87">
        <f t="shared" si="7"/>
        <v>845.9</v>
      </c>
      <c r="I79" s="74">
        <f t="shared" ref="I79:I110" si="8">G79*H79</f>
        <v>50612.734700000001</v>
      </c>
      <c r="J79" s="224"/>
      <c r="K79" s="224"/>
      <c r="L79" s="224"/>
      <c r="M79" s="224"/>
      <c r="N79" s="224"/>
      <c r="O79" s="224"/>
      <c r="P79" s="224"/>
    </row>
    <row r="80" spans="1:16" x14ac:dyDescent="0.2">
      <c r="A80" s="151">
        <f t="shared" si="6"/>
        <v>62</v>
      </c>
      <c r="B80" s="145" t="s">
        <v>636</v>
      </c>
      <c r="C80" s="145" t="s">
        <v>978</v>
      </c>
      <c r="D80" s="145">
        <v>425</v>
      </c>
      <c r="E80" s="145">
        <f>INDEX('SRC-4 (S.D. Customers)'!$F$9:$F$26,MATCH(B80,'SRC-4 (S.D. Customers)'!$E$9:$E$26,0))</f>
        <v>2</v>
      </c>
      <c r="F80" s="145">
        <f t="shared" si="3"/>
        <v>1</v>
      </c>
      <c r="G80" s="73">
        <v>1948.3989999999999</v>
      </c>
      <c r="H80" s="87">
        <f t="shared" si="7"/>
        <v>845.9</v>
      </c>
      <c r="I80" s="74">
        <f t="shared" si="8"/>
        <v>1648150.7140999998</v>
      </c>
      <c r="J80" s="224"/>
      <c r="K80" s="224"/>
      <c r="L80" s="224"/>
      <c r="M80" s="224"/>
      <c r="N80" s="224"/>
      <c r="O80" s="224"/>
      <c r="P80" s="224"/>
    </row>
    <row r="81" spans="1:16" x14ac:dyDescent="0.2">
      <c r="A81" s="151">
        <f t="shared" si="6"/>
        <v>63</v>
      </c>
      <c r="B81" s="145" t="s">
        <v>636</v>
      </c>
      <c r="C81" s="145" t="s">
        <v>636</v>
      </c>
      <c r="D81" s="145">
        <v>425</v>
      </c>
      <c r="E81" s="145">
        <f>INDEX('SRC-4 (S.D. Customers)'!$F$9:$F$26,MATCH(B81,'SRC-4 (S.D. Customers)'!$E$9:$E$26,0))</f>
        <v>2</v>
      </c>
      <c r="F81" s="145">
        <f t="shared" si="3"/>
        <v>1</v>
      </c>
      <c r="G81" s="73">
        <v>11.833</v>
      </c>
      <c r="H81" s="87">
        <f t="shared" si="7"/>
        <v>845.9</v>
      </c>
      <c r="I81" s="74">
        <f t="shared" si="8"/>
        <v>10009.5347</v>
      </c>
      <c r="J81" s="224"/>
      <c r="K81" s="224"/>
      <c r="L81" s="224"/>
      <c r="M81" s="224"/>
      <c r="N81" s="224"/>
      <c r="O81" s="224"/>
      <c r="P81" s="224"/>
    </row>
    <row r="82" spans="1:16" x14ac:dyDescent="0.2">
      <c r="A82" s="151">
        <f t="shared" si="6"/>
        <v>64</v>
      </c>
      <c r="B82" s="145" t="s">
        <v>636</v>
      </c>
      <c r="C82" s="145" t="s">
        <v>978</v>
      </c>
      <c r="D82" s="145">
        <v>630</v>
      </c>
      <c r="E82" s="145">
        <f>INDEX('SRC-4 (S.D. Customers)'!$F$9:$F$26,MATCH(B82,'SRC-4 (S.D. Customers)'!$E$9:$E$26,0))</f>
        <v>2</v>
      </c>
      <c r="F82" s="145">
        <f t="shared" si="3"/>
        <v>1</v>
      </c>
      <c r="G82" s="73">
        <v>1914.328</v>
      </c>
      <c r="H82" s="87">
        <f t="shared" si="7"/>
        <v>1459.03</v>
      </c>
      <c r="I82" s="74">
        <f t="shared" si="8"/>
        <v>2793061.98184</v>
      </c>
      <c r="J82" s="224"/>
      <c r="K82" s="224"/>
      <c r="L82" s="224"/>
      <c r="M82" s="224"/>
      <c r="N82" s="224"/>
      <c r="O82" s="224"/>
      <c r="P82" s="224"/>
    </row>
    <row r="83" spans="1:16" x14ac:dyDescent="0.2">
      <c r="A83" s="151">
        <f t="shared" si="6"/>
        <v>65</v>
      </c>
      <c r="B83" s="145" t="s">
        <v>636</v>
      </c>
      <c r="C83" s="145" t="s">
        <v>636</v>
      </c>
      <c r="D83" s="145">
        <v>630</v>
      </c>
      <c r="E83" s="145">
        <f>INDEX('SRC-4 (S.D. Customers)'!$F$9:$F$26,MATCH(B83,'SRC-4 (S.D. Customers)'!$E$9:$E$26,0))</f>
        <v>2</v>
      </c>
      <c r="F83" s="145">
        <f t="shared" si="3"/>
        <v>1</v>
      </c>
      <c r="G83" s="73">
        <v>47.832999999999998</v>
      </c>
      <c r="H83" s="87">
        <f t="shared" si="7"/>
        <v>1459.03</v>
      </c>
      <c r="I83" s="74">
        <f t="shared" si="8"/>
        <v>69789.781990000003</v>
      </c>
      <c r="J83" s="224"/>
      <c r="K83" s="224"/>
      <c r="L83" s="224"/>
      <c r="M83" s="224"/>
      <c r="N83" s="224"/>
      <c r="O83" s="224"/>
      <c r="P83" s="224"/>
    </row>
    <row r="84" spans="1:16" x14ac:dyDescent="0.2">
      <c r="A84" s="151">
        <f t="shared" si="6"/>
        <v>66</v>
      </c>
      <c r="B84" s="145" t="s">
        <v>636</v>
      </c>
      <c r="C84" s="145" t="s">
        <v>978</v>
      </c>
      <c r="D84" s="145">
        <v>675</v>
      </c>
      <c r="E84" s="145">
        <f>INDEX('SRC-4 (S.D. Customers)'!$F$9:$F$26,MATCH(B84,'SRC-4 (S.D. Customers)'!$E$9:$E$26,0))</f>
        <v>2</v>
      </c>
      <c r="F84" s="145">
        <f t="shared" si="3"/>
        <v>1</v>
      </c>
      <c r="G84" s="73">
        <v>204</v>
      </c>
      <c r="H84" s="87">
        <f t="shared" si="7"/>
        <v>1459.03</v>
      </c>
      <c r="I84" s="74">
        <f t="shared" si="8"/>
        <v>297642.12</v>
      </c>
      <c r="J84" s="224"/>
      <c r="K84" s="224"/>
      <c r="L84" s="224"/>
      <c r="M84" s="224"/>
      <c r="N84" s="224"/>
      <c r="O84" s="224"/>
      <c r="P84" s="224"/>
    </row>
    <row r="85" spans="1:16" x14ac:dyDescent="0.2">
      <c r="A85" s="151">
        <f t="shared" si="6"/>
        <v>67</v>
      </c>
      <c r="B85" s="145" t="s">
        <v>636</v>
      </c>
      <c r="C85" s="145" t="s">
        <v>978</v>
      </c>
      <c r="D85" s="145">
        <v>750</v>
      </c>
      <c r="E85" s="145">
        <f>INDEX('SRC-4 (S.D. Customers)'!$F$9:$F$26,MATCH(B85,'SRC-4 (S.D. Customers)'!$E$9:$E$26,0))</f>
        <v>2</v>
      </c>
      <c r="F85" s="145">
        <f t="shared" si="3"/>
        <v>1</v>
      </c>
      <c r="G85" s="73">
        <v>856.56600000000003</v>
      </c>
      <c r="H85" s="87">
        <f t="shared" si="7"/>
        <v>1459.03</v>
      </c>
      <c r="I85" s="74">
        <f t="shared" si="8"/>
        <v>1249755.49098</v>
      </c>
      <c r="J85" s="224"/>
      <c r="K85" s="224"/>
      <c r="L85" s="224"/>
      <c r="M85" s="224"/>
      <c r="N85" s="224"/>
      <c r="O85" s="224"/>
      <c r="P85" s="224"/>
    </row>
    <row r="86" spans="1:16" x14ac:dyDescent="0.2">
      <c r="A86" s="151">
        <f t="shared" si="6"/>
        <v>68</v>
      </c>
      <c r="B86" s="145" t="s">
        <v>636</v>
      </c>
      <c r="C86" s="145" t="s">
        <v>978</v>
      </c>
      <c r="D86" s="145">
        <v>800</v>
      </c>
      <c r="E86" s="145">
        <f>INDEX('SRC-4 (S.D. Customers)'!$F$9:$F$26,MATCH(B86,'SRC-4 (S.D. Customers)'!$E$9:$E$26,0))</f>
        <v>2</v>
      </c>
      <c r="F86" s="145">
        <f t="shared" si="3"/>
        <v>2</v>
      </c>
      <c r="G86" s="73">
        <v>1410.93</v>
      </c>
      <c r="H86" s="87">
        <f t="shared" si="7"/>
        <v>1459.03</v>
      </c>
      <c r="I86" s="74">
        <f t="shared" si="8"/>
        <v>2058589.1979</v>
      </c>
      <c r="J86" s="224"/>
      <c r="K86" s="224"/>
      <c r="L86" s="224"/>
      <c r="M86" s="224"/>
      <c r="N86" s="224"/>
      <c r="O86" s="224"/>
      <c r="P86" s="224"/>
    </row>
    <row r="87" spans="1:16" x14ac:dyDescent="0.2">
      <c r="A87" s="151">
        <f t="shared" si="6"/>
        <v>69</v>
      </c>
      <c r="B87" s="145" t="s">
        <v>636</v>
      </c>
      <c r="C87" s="145" t="s">
        <v>978</v>
      </c>
      <c r="D87" s="145">
        <v>998</v>
      </c>
      <c r="E87" s="145">
        <f>INDEX('SRC-4 (S.D. Customers)'!$F$9:$F$26,MATCH(B87,'SRC-4 (S.D. Customers)'!$E$9:$E$26,0))</f>
        <v>2</v>
      </c>
      <c r="F87" s="145">
        <f t="shared" si="3"/>
        <v>2</v>
      </c>
      <c r="G87" s="73">
        <v>1648.1980000000001</v>
      </c>
      <c r="H87" s="87">
        <f t="shared" si="7"/>
        <v>1459.03</v>
      </c>
      <c r="I87" s="74">
        <f t="shared" si="8"/>
        <v>2404770.3279400002</v>
      </c>
      <c r="J87" s="224"/>
      <c r="K87" s="224"/>
      <c r="L87" s="224"/>
      <c r="M87" s="224"/>
      <c r="N87" s="224"/>
      <c r="O87" s="224"/>
      <c r="P87" s="224"/>
    </row>
    <row r="88" spans="1:16" x14ac:dyDescent="0.2">
      <c r="A88" s="151">
        <f t="shared" si="6"/>
        <v>70</v>
      </c>
      <c r="B88" s="145" t="s">
        <v>636</v>
      </c>
      <c r="C88" s="145" t="s">
        <v>978</v>
      </c>
      <c r="D88" s="145">
        <v>1000</v>
      </c>
      <c r="E88" s="145">
        <f>INDEX('SRC-4 (S.D. Customers)'!$F$9:$F$26,MATCH(B88,'SRC-4 (S.D. Customers)'!$E$9:$E$26,0))</f>
        <v>2</v>
      </c>
      <c r="F88" s="145">
        <f t="shared" si="3"/>
        <v>2</v>
      </c>
      <c r="G88" s="73">
        <v>3264.5610000000001</v>
      </c>
      <c r="H88" s="87">
        <f t="shared" si="7"/>
        <v>1543.73</v>
      </c>
      <c r="I88" s="74">
        <f t="shared" si="8"/>
        <v>5039600.7525300002</v>
      </c>
      <c r="J88" s="224"/>
      <c r="K88" s="224"/>
      <c r="L88" s="224"/>
      <c r="M88" s="224"/>
      <c r="N88" s="224"/>
      <c r="O88" s="224"/>
      <c r="P88" s="224"/>
    </row>
    <row r="89" spans="1:16" x14ac:dyDescent="0.2">
      <c r="A89" s="151">
        <f t="shared" si="6"/>
        <v>71</v>
      </c>
      <c r="B89" s="145" t="s">
        <v>636</v>
      </c>
      <c r="C89" s="145" t="s">
        <v>636</v>
      </c>
      <c r="D89" s="145">
        <v>1000</v>
      </c>
      <c r="E89" s="145">
        <f>INDEX('SRC-4 (S.D. Customers)'!$F$9:$F$26,MATCH(B89,'SRC-4 (S.D. Customers)'!$E$9:$E$26,0))</f>
        <v>2</v>
      </c>
      <c r="F89" s="145">
        <f t="shared" si="3"/>
        <v>2</v>
      </c>
      <c r="G89" s="73">
        <v>24</v>
      </c>
      <c r="H89" s="87">
        <f t="shared" si="7"/>
        <v>1543.73</v>
      </c>
      <c r="I89" s="74">
        <f t="shared" si="8"/>
        <v>37049.520000000004</v>
      </c>
      <c r="J89" s="224"/>
      <c r="K89" s="224"/>
      <c r="L89" s="224"/>
      <c r="M89" s="224"/>
      <c r="N89" s="224"/>
      <c r="O89" s="224"/>
      <c r="P89" s="224"/>
    </row>
    <row r="90" spans="1:16" x14ac:dyDescent="0.2">
      <c r="A90" s="151">
        <f t="shared" si="6"/>
        <v>72</v>
      </c>
      <c r="B90" s="145" t="s">
        <v>636</v>
      </c>
      <c r="C90" s="145" t="s">
        <v>978</v>
      </c>
      <c r="D90" s="145">
        <v>1200</v>
      </c>
      <c r="E90" s="145">
        <f>INDEX('SRC-4 (S.D. Customers)'!$F$9:$F$26,MATCH(B90,'SRC-4 (S.D. Customers)'!$E$9:$E$26,0))</f>
        <v>2</v>
      </c>
      <c r="F90" s="145">
        <f t="shared" si="3"/>
        <v>2</v>
      </c>
      <c r="G90" s="73">
        <v>36</v>
      </c>
      <c r="H90" s="87">
        <f t="shared" si="7"/>
        <v>1543.73</v>
      </c>
      <c r="I90" s="74">
        <f t="shared" si="8"/>
        <v>55574.28</v>
      </c>
      <c r="J90" s="224"/>
      <c r="K90" s="224"/>
      <c r="L90" s="224"/>
      <c r="M90" s="224"/>
      <c r="N90" s="224"/>
      <c r="O90" s="224"/>
      <c r="P90" s="224"/>
    </row>
    <row r="91" spans="1:16" x14ac:dyDescent="0.2">
      <c r="A91" s="151">
        <f t="shared" si="6"/>
        <v>73</v>
      </c>
      <c r="B91" s="145" t="s">
        <v>636</v>
      </c>
      <c r="C91" s="145" t="s">
        <v>978</v>
      </c>
      <c r="D91" s="145">
        <v>1400</v>
      </c>
      <c r="E91" s="145">
        <f>INDEX('SRC-4 (S.D. Customers)'!$F$9:$F$26,MATCH(B91,'SRC-4 (S.D. Customers)'!$E$9:$E$26,0))</f>
        <v>2</v>
      </c>
      <c r="F91" s="145">
        <f t="shared" si="3"/>
        <v>2</v>
      </c>
      <c r="G91" s="73">
        <v>356.2</v>
      </c>
      <c r="H91" s="87">
        <f t="shared" si="7"/>
        <v>1543.73</v>
      </c>
      <c r="I91" s="74">
        <f t="shared" si="8"/>
        <v>549876.62599999993</v>
      </c>
      <c r="J91" s="224"/>
      <c r="K91" s="224"/>
      <c r="L91" s="224"/>
      <c r="M91" s="224"/>
      <c r="N91" s="224"/>
      <c r="O91" s="224"/>
      <c r="P91" s="224"/>
    </row>
    <row r="92" spans="1:16" x14ac:dyDescent="0.2">
      <c r="A92" s="151">
        <f t="shared" si="6"/>
        <v>74</v>
      </c>
      <c r="B92" s="145" t="s">
        <v>636</v>
      </c>
      <c r="C92" s="145" t="s">
        <v>978</v>
      </c>
      <c r="D92" s="145">
        <v>1500</v>
      </c>
      <c r="E92" s="145">
        <f>INDEX('SRC-4 (S.D. Customers)'!$F$9:$F$26,MATCH(B92,'SRC-4 (S.D. Customers)'!$E$9:$E$26,0))</f>
        <v>2</v>
      </c>
      <c r="F92" s="145">
        <f t="shared" si="3"/>
        <v>2</v>
      </c>
      <c r="G92" s="73">
        <v>24</v>
      </c>
      <c r="H92" s="87">
        <f t="shared" si="7"/>
        <v>1543.73</v>
      </c>
      <c r="I92" s="74">
        <f t="shared" si="8"/>
        <v>37049.520000000004</v>
      </c>
      <c r="J92" s="224"/>
      <c r="K92" s="224"/>
      <c r="L92" s="224"/>
      <c r="M92" s="224"/>
      <c r="N92" s="224"/>
      <c r="O92" s="224"/>
      <c r="P92" s="224"/>
    </row>
    <row r="93" spans="1:16" x14ac:dyDescent="0.2">
      <c r="A93" s="151">
        <f t="shared" si="6"/>
        <v>75</v>
      </c>
      <c r="B93" s="145" t="s">
        <v>636</v>
      </c>
      <c r="C93" s="145" t="s">
        <v>978</v>
      </c>
      <c r="D93" s="145">
        <v>1600</v>
      </c>
      <c r="E93" s="145">
        <f>INDEX('SRC-4 (S.D. Customers)'!$F$9:$F$26,MATCH(B93,'SRC-4 (S.D. Customers)'!$E$9:$E$26,0))</f>
        <v>2</v>
      </c>
      <c r="F93" s="145">
        <f t="shared" si="3"/>
        <v>2</v>
      </c>
      <c r="G93" s="73">
        <v>12</v>
      </c>
      <c r="H93" s="87">
        <f t="shared" si="7"/>
        <v>1543.73</v>
      </c>
      <c r="I93" s="74">
        <f t="shared" si="8"/>
        <v>18524.760000000002</v>
      </c>
      <c r="J93" s="224"/>
      <c r="K93" s="224"/>
      <c r="L93" s="224"/>
      <c r="M93" s="224"/>
      <c r="N93" s="224"/>
      <c r="O93" s="224"/>
      <c r="P93" s="224"/>
    </row>
    <row r="94" spans="1:16" x14ac:dyDescent="0.2">
      <c r="A94" s="151">
        <f t="shared" si="6"/>
        <v>76</v>
      </c>
      <c r="B94" s="145" t="s">
        <v>636</v>
      </c>
      <c r="C94" s="145" t="s">
        <v>978</v>
      </c>
      <c r="D94" s="145">
        <v>2000</v>
      </c>
      <c r="E94" s="145">
        <f>INDEX('SRC-4 (S.D. Customers)'!$F$9:$F$26,MATCH(B94,'SRC-4 (S.D. Customers)'!$E$9:$E$26,0))</f>
        <v>2</v>
      </c>
      <c r="F94" s="145">
        <f t="shared" si="3"/>
        <v>2</v>
      </c>
      <c r="G94" s="73">
        <v>12</v>
      </c>
      <c r="H94" s="87">
        <f t="shared" si="7"/>
        <v>1543.73</v>
      </c>
      <c r="I94" s="74">
        <f t="shared" si="8"/>
        <v>18524.760000000002</v>
      </c>
      <c r="J94" s="224"/>
      <c r="K94" s="224"/>
      <c r="L94" s="224"/>
      <c r="M94" s="224"/>
      <c r="N94" s="224"/>
      <c r="O94" s="224"/>
      <c r="P94" s="224"/>
    </row>
    <row r="95" spans="1:16" x14ac:dyDescent="0.2">
      <c r="A95" s="151">
        <f t="shared" si="6"/>
        <v>77</v>
      </c>
      <c r="B95" s="145" t="s">
        <v>636</v>
      </c>
      <c r="C95" s="145" t="s">
        <v>978</v>
      </c>
      <c r="D95" s="145">
        <v>2300</v>
      </c>
      <c r="E95" s="145">
        <f>INDEX('SRC-4 (S.D. Customers)'!$F$9:$F$26,MATCH(B95,'SRC-4 (S.D. Customers)'!$E$9:$E$26,0))</f>
        <v>2</v>
      </c>
      <c r="F95" s="145">
        <f t="shared" si="3"/>
        <v>2</v>
      </c>
      <c r="G95" s="73">
        <v>82.532999999999987</v>
      </c>
      <c r="H95" s="87">
        <f t="shared" si="7"/>
        <v>1543.73</v>
      </c>
      <c r="I95" s="74">
        <f t="shared" si="8"/>
        <v>127408.66808999998</v>
      </c>
      <c r="J95" s="224"/>
      <c r="K95" s="224"/>
      <c r="L95" s="224"/>
      <c r="M95" s="224"/>
      <c r="N95" s="224"/>
      <c r="O95" s="224"/>
      <c r="P95" s="224"/>
    </row>
    <row r="96" spans="1:16" x14ac:dyDescent="0.2">
      <c r="A96" s="151">
        <f t="shared" si="6"/>
        <v>78</v>
      </c>
      <c r="B96" s="145" t="s">
        <v>636</v>
      </c>
      <c r="C96" s="145" t="s">
        <v>978</v>
      </c>
      <c r="D96" s="145">
        <v>3000</v>
      </c>
      <c r="E96" s="145">
        <f>INDEX('SRC-4 (S.D. Customers)'!$F$9:$F$26,MATCH(B96,'SRC-4 (S.D. Customers)'!$E$9:$E$26,0))</f>
        <v>2</v>
      </c>
      <c r="F96" s="145">
        <f t="shared" si="3"/>
        <v>2</v>
      </c>
      <c r="G96" s="73">
        <v>2539.1289999999995</v>
      </c>
      <c r="H96" s="87">
        <f t="shared" si="7"/>
        <v>4247.3599999999997</v>
      </c>
      <c r="I96" s="74">
        <f t="shared" si="8"/>
        <v>10784594.949439997</v>
      </c>
      <c r="J96" s="224"/>
      <c r="K96" s="224"/>
      <c r="L96" s="224"/>
      <c r="M96" s="224"/>
      <c r="N96" s="224"/>
      <c r="O96" s="224"/>
      <c r="P96" s="224"/>
    </row>
    <row r="97" spans="1:16" x14ac:dyDescent="0.2">
      <c r="A97" s="151">
        <f t="shared" si="6"/>
        <v>79</v>
      </c>
      <c r="B97" s="145" t="s">
        <v>636</v>
      </c>
      <c r="C97" s="145" t="s">
        <v>978</v>
      </c>
      <c r="D97" s="145">
        <v>5000</v>
      </c>
      <c r="E97" s="145">
        <f>INDEX('SRC-4 (S.D. Customers)'!$F$9:$F$26,MATCH(B97,'SRC-4 (S.D. Customers)'!$E$9:$E$26,0))</f>
        <v>2</v>
      </c>
      <c r="F97" s="145">
        <f t="shared" si="3"/>
        <v>3</v>
      </c>
      <c r="G97" s="73">
        <v>1539.03</v>
      </c>
      <c r="H97" s="87">
        <f t="shared" si="7"/>
        <v>4959.03</v>
      </c>
      <c r="I97" s="74">
        <f t="shared" si="8"/>
        <v>7632095.9408999998</v>
      </c>
      <c r="J97" s="224"/>
      <c r="K97" s="224"/>
      <c r="L97" s="224"/>
      <c r="M97" s="224"/>
      <c r="N97" s="224"/>
      <c r="O97" s="224"/>
      <c r="P97" s="224"/>
    </row>
    <row r="98" spans="1:16" x14ac:dyDescent="0.2">
      <c r="A98" s="151">
        <f t="shared" si="6"/>
        <v>80</v>
      </c>
      <c r="B98" s="145" t="s">
        <v>636</v>
      </c>
      <c r="C98" s="145" t="s">
        <v>978</v>
      </c>
      <c r="D98" s="145">
        <v>7000</v>
      </c>
      <c r="E98" s="145">
        <f>INDEX('SRC-4 (S.D. Customers)'!$F$9:$F$26,MATCH(B98,'SRC-4 (S.D. Customers)'!$E$9:$E$26,0))</f>
        <v>2</v>
      </c>
      <c r="F98" s="145">
        <f t="shared" si="3"/>
        <v>3</v>
      </c>
      <c r="G98" s="73">
        <v>596.53199999999993</v>
      </c>
      <c r="H98" s="87">
        <f t="shared" si="7"/>
        <v>5310.6</v>
      </c>
      <c r="I98" s="74">
        <f t="shared" si="8"/>
        <v>3167942.8391999998</v>
      </c>
      <c r="J98" s="224"/>
      <c r="K98" s="224"/>
      <c r="L98" s="224"/>
      <c r="M98" s="224"/>
      <c r="N98" s="224"/>
      <c r="O98" s="224"/>
      <c r="P98" s="224"/>
    </row>
    <row r="99" spans="1:16" x14ac:dyDescent="0.2">
      <c r="A99" s="151">
        <f t="shared" si="6"/>
        <v>81</v>
      </c>
      <c r="B99" s="145" t="s">
        <v>636</v>
      </c>
      <c r="C99" s="145" t="s">
        <v>978</v>
      </c>
      <c r="D99" s="145">
        <v>11000</v>
      </c>
      <c r="E99" s="145">
        <f>INDEX('SRC-4 (S.D. Customers)'!$F$9:$F$26,MATCH(B99,'SRC-4 (S.D. Customers)'!$E$9:$E$26,0))</f>
        <v>2</v>
      </c>
      <c r="F99" s="145">
        <f t="shared" si="3"/>
        <v>3</v>
      </c>
      <c r="G99" s="73">
        <v>269.8</v>
      </c>
      <c r="H99" s="87">
        <f t="shared" si="7"/>
        <v>7811</v>
      </c>
      <c r="I99" s="74">
        <f t="shared" si="8"/>
        <v>2107407.8000000003</v>
      </c>
      <c r="J99" s="224"/>
      <c r="K99" s="224"/>
      <c r="L99" s="224"/>
      <c r="M99" s="224"/>
      <c r="N99" s="224"/>
      <c r="O99" s="224"/>
      <c r="P99" s="224"/>
    </row>
    <row r="100" spans="1:16" x14ac:dyDescent="0.2">
      <c r="A100" s="151">
        <f t="shared" si="6"/>
        <v>82</v>
      </c>
      <c r="B100" s="145" t="s">
        <v>636</v>
      </c>
      <c r="C100" s="145" t="s">
        <v>978</v>
      </c>
      <c r="D100" s="145">
        <v>16000</v>
      </c>
      <c r="E100" s="145">
        <f>INDEX('SRC-4 (S.D. Customers)'!$F$9:$F$26,MATCH(B100,'SRC-4 (S.D. Customers)'!$E$9:$E$26,0))</f>
        <v>2</v>
      </c>
      <c r="F100" s="145">
        <f t="shared" si="3"/>
        <v>4</v>
      </c>
      <c r="G100" s="73">
        <v>82.9</v>
      </c>
      <c r="H100" s="87">
        <f t="shared" si="7"/>
        <v>8513.0400000000009</v>
      </c>
      <c r="I100" s="74">
        <f t="shared" si="8"/>
        <v>705731.01600000018</v>
      </c>
      <c r="J100" s="224"/>
      <c r="K100" s="224"/>
      <c r="L100" s="224"/>
      <c r="M100" s="224"/>
      <c r="N100" s="224"/>
      <c r="O100" s="224"/>
      <c r="P100" s="224"/>
    </row>
    <row r="101" spans="1:16" x14ac:dyDescent="0.2">
      <c r="A101" s="151">
        <f t="shared" si="6"/>
        <v>83</v>
      </c>
      <c r="B101" s="145" t="s">
        <v>636</v>
      </c>
      <c r="C101" s="145" t="s">
        <v>978</v>
      </c>
      <c r="D101" s="145">
        <v>23000</v>
      </c>
      <c r="E101" s="145">
        <f>INDEX('SRC-4 (S.D. Customers)'!$F$9:$F$26,MATCH(B101,'SRC-4 (S.D. Customers)'!$E$9:$E$26,0))</f>
        <v>2</v>
      </c>
      <c r="F101" s="145">
        <f t="shared" si="3"/>
        <v>4</v>
      </c>
      <c r="G101" s="73">
        <v>11.833</v>
      </c>
      <c r="H101" s="87">
        <f t="shared" si="7"/>
        <v>10551.93</v>
      </c>
      <c r="I101" s="74">
        <f t="shared" si="8"/>
        <v>124860.98769000001</v>
      </c>
      <c r="J101" s="224"/>
      <c r="K101" s="224"/>
      <c r="L101" s="224"/>
      <c r="M101" s="224"/>
      <c r="N101" s="224"/>
      <c r="O101" s="224"/>
      <c r="P101" s="224"/>
    </row>
    <row r="102" spans="1:16" x14ac:dyDescent="0.2">
      <c r="A102" s="151">
        <f t="shared" si="6"/>
        <v>84</v>
      </c>
      <c r="B102" s="145" t="s">
        <v>646</v>
      </c>
      <c r="C102" s="145" t="s">
        <v>646</v>
      </c>
      <c r="D102" s="145">
        <v>800</v>
      </c>
      <c r="E102" s="145">
        <f>INDEX('SRC-4 (S.D. Customers)'!$F$9:$F$26,MATCH(B102,'SRC-4 (S.D. Customers)'!$E$9:$E$26,0))</f>
        <v>2</v>
      </c>
      <c r="F102" s="145">
        <f t="shared" si="3"/>
        <v>2</v>
      </c>
      <c r="G102" s="73">
        <v>24</v>
      </c>
      <c r="H102" s="87">
        <f t="shared" si="7"/>
        <v>1459.03</v>
      </c>
      <c r="I102" s="74">
        <f t="shared" si="8"/>
        <v>35016.720000000001</v>
      </c>
      <c r="J102" s="224"/>
      <c r="K102" s="224"/>
      <c r="L102" s="224"/>
      <c r="M102" s="224"/>
      <c r="N102" s="224"/>
      <c r="O102" s="224"/>
      <c r="P102" s="224"/>
    </row>
    <row r="103" spans="1:16" x14ac:dyDescent="0.2">
      <c r="A103" s="151">
        <f t="shared" si="6"/>
        <v>85</v>
      </c>
      <c r="B103" s="145" t="s">
        <v>646</v>
      </c>
      <c r="C103" s="145" t="s">
        <v>646</v>
      </c>
      <c r="D103" s="145">
        <v>998</v>
      </c>
      <c r="E103" s="145">
        <f>INDEX('SRC-4 (S.D. Customers)'!$F$9:$F$26,MATCH(B103,'SRC-4 (S.D. Customers)'!$E$9:$E$26,0))</f>
        <v>2</v>
      </c>
      <c r="F103" s="145">
        <f t="shared" si="3"/>
        <v>2</v>
      </c>
      <c r="G103" s="73">
        <v>24</v>
      </c>
      <c r="H103" s="87">
        <f t="shared" si="7"/>
        <v>1459.03</v>
      </c>
      <c r="I103" s="74">
        <f t="shared" si="8"/>
        <v>35016.720000000001</v>
      </c>
      <c r="J103" s="224"/>
      <c r="K103" s="224"/>
      <c r="L103" s="224"/>
      <c r="M103" s="224"/>
      <c r="N103" s="224"/>
      <c r="O103" s="224"/>
      <c r="P103" s="224"/>
    </row>
    <row r="104" spans="1:16" x14ac:dyDescent="0.2">
      <c r="A104" s="151">
        <f t="shared" si="6"/>
        <v>86</v>
      </c>
      <c r="B104" s="145" t="s">
        <v>646</v>
      </c>
      <c r="C104" s="145" t="s">
        <v>646</v>
      </c>
      <c r="D104" s="145">
        <v>1000</v>
      </c>
      <c r="E104" s="145">
        <f>INDEX('SRC-4 (S.D. Customers)'!$F$9:$F$26,MATCH(B104,'SRC-4 (S.D. Customers)'!$E$9:$E$26,0))</f>
        <v>2</v>
      </c>
      <c r="F104" s="145">
        <f t="shared" si="3"/>
        <v>2</v>
      </c>
      <c r="G104" s="73">
        <v>67</v>
      </c>
      <c r="H104" s="87">
        <f t="shared" si="7"/>
        <v>1543.73</v>
      </c>
      <c r="I104" s="74">
        <f t="shared" si="8"/>
        <v>103429.91</v>
      </c>
      <c r="J104" s="224"/>
      <c r="K104" s="224"/>
      <c r="L104" s="224"/>
      <c r="M104" s="224"/>
      <c r="N104" s="224"/>
      <c r="O104" s="224"/>
      <c r="P104" s="224"/>
    </row>
    <row r="105" spans="1:16" x14ac:dyDescent="0.2">
      <c r="A105" s="151">
        <f t="shared" si="6"/>
        <v>87</v>
      </c>
      <c r="B105" s="145" t="s">
        <v>646</v>
      </c>
      <c r="C105" s="145" t="s">
        <v>646</v>
      </c>
      <c r="D105" s="145">
        <v>1400</v>
      </c>
      <c r="E105" s="145">
        <f>INDEX('SRC-4 (S.D. Customers)'!$F$9:$F$26,MATCH(B105,'SRC-4 (S.D. Customers)'!$E$9:$E$26,0))</f>
        <v>2</v>
      </c>
      <c r="F105" s="145">
        <f t="shared" si="3"/>
        <v>2</v>
      </c>
      <c r="G105" s="73">
        <v>11</v>
      </c>
      <c r="H105" s="87">
        <f t="shared" si="7"/>
        <v>1543.73</v>
      </c>
      <c r="I105" s="74">
        <f t="shared" si="8"/>
        <v>16981.03</v>
      </c>
      <c r="J105" s="224"/>
      <c r="K105" s="224"/>
      <c r="L105" s="224"/>
      <c r="M105" s="224"/>
      <c r="N105" s="224"/>
      <c r="O105" s="224"/>
      <c r="P105" s="224"/>
    </row>
    <row r="106" spans="1:16" x14ac:dyDescent="0.2">
      <c r="A106" s="151">
        <f t="shared" si="6"/>
        <v>88</v>
      </c>
      <c r="B106" s="145" t="s">
        <v>646</v>
      </c>
      <c r="C106" s="145" t="s">
        <v>646</v>
      </c>
      <c r="D106" s="145">
        <v>2300</v>
      </c>
      <c r="E106" s="145">
        <f>INDEX('SRC-4 (S.D. Customers)'!$F$9:$F$26,MATCH(B106,'SRC-4 (S.D. Customers)'!$E$9:$E$26,0))</f>
        <v>2</v>
      </c>
      <c r="F106" s="145">
        <f t="shared" si="3"/>
        <v>2</v>
      </c>
      <c r="G106" s="73">
        <v>12</v>
      </c>
      <c r="H106" s="87">
        <f t="shared" si="7"/>
        <v>1543.73</v>
      </c>
      <c r="I106" s="74">
        <f t="shared" si="8"/>
        <v>18524.760000000002</v>
      </c>
      <c r="J106" s="224"/>
      <c r="K106" s="224"/>
      <c r="L106" s="224"/>
      <c r="M106" s="224"/>
      <c r="N106" s="224"/>
      <c r="O106" s="224"/>
      <c r="P106" s="224"/>
    </row>
    <row r="107" spans="1:16" x14ac:dyDescent="0.2">
      <c r="A107" s="151">
        <f t="shared" si="6"/>
        <v>89</v>
      </c>
      <c r="B107" s="145" t="s">
        <v>646</v>
      </c>
      <c r="C107" s="145" t="s">
        <v>646</v>
      </c>
      <c r="D107" s="145">
        <v>3000</v>
      </c>
      <c r="E107" s="145">
        <f>INDEX('SRC-4 (S.D. Customers)'!$F$9:$F$26,MATCH(B107,'SRC-4 (S.D. Customers)'!$E$9:$E$26,0))</f>
        <v>2</v>
      </c>
      <c r="F107" s="145">
        <f t="shared" si="3"/>
        <v>2</v>
      </c>
      <c r="G107" s="73">
        <v>318</v>
      </c>
      <c r="H107" s="87">
        <f t="shared" si="7"/>
        <v>4247.3599999999997</v>
      </c>
      <c r="I107" s="74">
        <f t="shared" si="8"/>
        <v>1350660.48</v>
      </c>
      <c r="J107" s="224"/>
      <c r="K107" s="224"/>
      <c r="L107" s="224"/>
      <c r="M107" s="224"/>
      <c r="N107" s="224"/>
      <c r="O107" s="224"/>
      <c r="P107" s="224"/>
    </row>
    <row r="108" spans="1:16" x14ac:dyDescent="0.2">
      <c r="A108" s="151">
        <f t="shared" si="6"/>
        <v>90</v>
      </c>
      <c r="B108" s="145" t="s">
        <v>646</v>
      </c>
      <c r="C108" s="145" t="s">
        <v>646</v>
      </c>
      <c r="D108" s="145">
        <v>5000</v>
      </c>
      <c r="E108" s="145">
        <f>INDEX('SRC-4 (S.D. Customers)'!$F$9:$F$26,MATCH(B108,'SRC-4 (S.D. Customers)'!$E$9:$E$26,0))</f>
        <v>2</v>
      </c>
      <c r="F108" s="145">
        <f t="shared" si="3"/>
        <v>3</v>
      </c>
      <c r="G108" s="73">
        <v>244</v>
      </c>
      <c r="H108" s="87">
        <f t="shared" ref="H108:H139" si="9">INDEX(D$10:D$34,MATCH(D108,B$10:B$34))</f>
        <v>4959.03</v>
      </c>
      <c r="I108" s="74">
        <f t="shared" si="8"/>
        <v>1210003.3199999998</v>
      </c>
      <c r="J108" s="224"/>
      <c r="K108" s="224"/>
      <c r="L108" s="224"/>
      <c r="M108" s="224"/>
      <c r="N108" s="224"/>
      <c r="O108" s="224"/>
      <c r="P108" s="224"/>
    </row>
    <row r="109" spans="1:16" x14ac:dyDescent="0.2">
      <c r="A109" s="151">
        <f t="shared" si="6"/>
        <v>91</v>
      </c>
      <c r="B109" s="145" t="s">
        <v>646</v>
      </c>
      <c r="C109" s="145" t="s">
        <v>646</v>
      </c>
      <c r="D109" s="145">
        <v>7000</v>
      </c>
      <c r="E109" s="145">
        <f>INDEX('SRC-4 (S.D. Customers)'!$F$9:$F$26,MATCH(B109,'SRC-4 (S.D. Customers)'!$E$9:$E$26,0))</f>
        <v>2</v>
      </c>
      <c r="F109" s="145">
        <f t="shared" ref="F109:F171" si="10">INDEX(C$10:C$34,MATCH(D109,B$10:B$34))</f>
        <v>3</v>
      </c>
      <c r="G109" s="73">
        <v>299</v>
      </c>
      <c r="H109" s="87">
        <f t="shared" si="9"/>
        <v>5310.6</v>
      </c>
      <c r="I109" s="74">
        <f t="shared" si="8"/>
        <v>1587869.4000000001</v>
      </c>
      <c r="J109" s="224"/>
      <c r="K109" s="224"/>
      <c r="L109" s="224"/>
      <c r="M109" s="224"/>
      <c r="N109" s="224"/>
      <c r="O109" s="224"/>
      <c r="P109" s="224"/>
    </row>
    <row r="110" spans="1:16" x14ac:dyDescent="0.2">
      <c r="A110" s="151">
        <f t="shared" ref="A110:A172" si="11">A109+1</f>
        <v>92</v>
      </c>
      <c r="B110" s="145" t="s">
        <v>646</v>
      </c>
      <c r="C110" s="145" t="s">
        <v>646</v>
      </c>
      <c r="D110" s="145">
        <v>11000</v>
      </c>
      <c r="E110" s="145">
        <f>INDEX('SRC-4 (S.D. Customers)'!$F$9:$F$26,MATCH(B110,'SRC-4 (S.D. Customers)'!$E$9:$E$26,0))</f>
        <v>2</v>
      </c>
      <c r="F110" s="145">
        <f t="shared" si="10"/>
        <v>3</v>
      </c>
      <c r="G110" s="73">
        <v>166</v>
      </c>
      <c r="H110" s="87">
        <f t="shared" si="9"/>
        <v>7811</v>
      </c>
      <c r="I110" s="74">
        <f t="shared" si="8"/>
        <v>1296626</v>
      </c>
      <c r="J110" s="224"/>
      <c r="K110" s="224"/>
      <c r="L110" s="224"/>
      <c r="M110" s="224"/>
      <c r="N110" s="224"/>
      <c r="O110" s="224"/>
      <c r="P110" s="224"/>
    </row>
    <row r="111" spans="1:16" x14ac:dyDescent="0.2">
      <c r="A111" s="151">
        <f t="shared" si="11"/>
        <v>93</v>
      </c>
      <c r="B111" s="145" t="s">
        <v>646</v>
      </c>
      <c r="C111" s="145" t="s">
        <v>646</v>
      </c>
      <c r="D111" s="145">
        <v>16000</v>
      </c>
      <c r="E111" s="145">
        <f>INDEX('SRC-4 (S.D. Customers)'!$F$9:$F$26,MATCH(B111,'SRC-4 (S.D. Customers)'!$E$9:$E$26,0))</f>
        <v>2</v>
      </c>
      <c r="F111" s="145">
        <f t="shared" si="10"/>
        <v>4</v>
      </c>
      <c r="G111" s="73">
        <v>72</v>
      </c>
      <c r="H111" s="87">
        <f t="shared" si="9"/>
        <v>8513.0400000000009</v>
      </c>
      <c r="I111" s="74">
        <f t="shared" ref="I111:I141" si="12">G111*H111</f>
        <v>612938.88000000012</v>
      </c>
      <c r="J111" s="224"/>
      <c r="K111" s="224"/>
      <c r="L111" s="224"/>
      <c r="M111" s="224"/>
      <c r="N111" s="224"/>
      <c r="O111" s="224"/>
      <c r="P111" s="224"/>
    </row>
    <row r="112" spans="1:16" x14ac:dyDescent="0.2">
      <c r="A112" s="151">
        <f t="shared" si="11"/>
        <v>94</v>
      </c>
      <c r="B112" s="145" t="s">
        <v>646</v>
      </c>
      <c r="C112" s="145" t="s">
        <v>646</v>
      </c>
      <c r="D112" s="145">
        <v>23000</v>
      </c>
      <c r="E112" s="145">
        <f>INDEX('SRC-4 (S.D. Customers)'!$F$9:$F$26,MATCH(B112,'SRC-4 (S.D. Customers)'!$E$9:$E$26,0))</f>
        <v>2</v>
      </c>
      <c r="F112" s="145">
        <f t="shared" si="10"/>
        <v>4</v>
      </c>
      <c r="G112" s="73">
        <v>12</v>
      </c>
      <c r="H112" s="87">
        <f t="shared" si="9"/>
        <v>10551.93</v>
      </c>
      <c r="I112" s="74">
        <f t="shared" si="12"/>
        <v>126623.16</v>
      </c>
      <c r="J112" s="224"/>
      <c r="K112" s="224"/>
      <c r="L112" s="224"/>
      <c r="M112" s="224"/>
      <c r="N112" s="224"/>
      <c r="O112" s="224"/>
      <c r="P112" s="224"/>
    </row>
    <row r="113" spans="1:16" x14ac:dyDescent="0.2">
      <c r="A113" s="151">
        <f t="shared" si="11"/>
        <v>95</v>
      </c>
      <c r="B113" s="145" t="s">
        <v>631</v>
      </c>
      <c r="C113" s="145" t="s">
        <v>631</v>
      </c>
      <c r="D113" s="145">
        <v>250</v>
      </c>
      <c r="E113" s="145">
        <f>INDEX('SRC-4 (S.D. Customers)'!$F$9:$F$26,MATCH(B113,'SRC-4 (S.D. Customers)'!$E$9:$E$26,0))</f>
        <v>1</v>
      </c>
      <c r="F113" s="145">
        <f t="shared" si="10"/>
        <v>1</v>
      </c>
      <c r="G113" s="73">
        <v>47.234000000000002</v>
      </c>
      <c r="H113" s="87">
        <f t="shared" si="9"/>
        <v>406.5</v>
      </c>
      <c r="I113" s="74">
        <f t="shared" si="12"/>
        <v>19200.620999999999</v>
      </c>
      <c r="J113" s="224"/>
      <c r="K113" s="224"/>
      <c r="L113" s="224"/>
      <c r="M113" s="224"/>
      <c r="N113" s="224"/>
      <c r="O113" s="224"/>
      <c r="P113" s="224"/>
    </row>
    <row r="114" spans="1:16" x14ac:dyDescent="0.2">
      <c r="A114" s="151">
        <f t="shared" si="11"/>
        <v>96</v>
      </c>
      <c r="B114" s="145" t="s">
        <v>631</v>
      </c>
      <c r="C114" s="145" t="s">
        <v>979</v>
      </c>
      <c r="D114" s="145">
        <v>275</v>
      </c>
      <c r="E114" s="145">
        <f>INDEX('SRC-4 (S.D. Customers)'!$F$9:$F$26,MATCH(B114,'SRC-4 (S.D. Customers)'!$E$9:$E$26,0))</f>
        <v>1</v>
      </c>
      <c r="F114" s="145">
        <f t="shared" si="10"/>
        <v>1</v>
      </c>
      <c r="G114" s="73">
        <v>59.366</v>
      </c>
      <c r="H114" s="87">
        <f t="shared" si="9"/>
        <v>406.5</v>
      </c>
      <c r="I114" s="74">
        <f t="shared" si="12"/>
        <v>24132.278999999999</v>
      </c>
      <c r="J114" s="224"/>
      <c r="K114" s="224"/>
      <c r="L114" s="224"/>
      <c r="M114" s="224"/>
      <c r="N114" s="224"/>
      <c r="O114" s="224"/>
      <c r="P114" s="224"/>
    </row>
    <row r="115" spans="1:16" x14ac:dyDescent="0.2">
      <c r="A115" s="151">
        <f t="shared" si="11"/>
        <v>97</v>
      </c>
      <c r="B115" s="145" t="s">
        <v>631</v>
      </c>
      <c r="C115" s="145" t="s">
        <v>631</v>
      </c>
      <c r="D115" s="145">
        <v>275</v>
      </c>
      <c r="E115" s="145">
        <f>INDEX('SRC-4 (S.D. Customers)'!$F$9:$F$26,MATCH(B115,'SRC-4 (S.D. Customers)'!$E$9:$E$26,0))</f>
        <v>1</v>
      </c>
      <c r="F115" s="145">
        <f t="shared" si="10"/>
        <v>1</v>
      </c>
      <c r="G115" s="73">
        <v>1292.0329999999999</v>
      </c>
      <c r="H115" s="87">
        <f t="shared" si="9"/>
        <v>406.5</v>
      </c>
      <c r="I115" s="74">
        <f t="shared" si="12"/>
        <v>525211.41449999996</v>
      </c>
      <c r="J115" s="224"/>
      <c r="K115" s="224"/>
      <c r="L115" s="224"/>
      <c r="M115" s="224"/>
      <c r="N115" s="224"/>
      <c r="O115" s="224"/>
      <c r="P115" s="224"/>
    </row>
    <row r="116" spans="1:16" x14ac:dyDescent="0.2">
      <c r="A116" s="151">
        <f>A115+1</f>
        <v>98</v>
      </c>
      <c r="B116" s="145" t="s">
        <v>631</v>
      </c>
      <c r="C116" s="145" t="s">
        <v>979</v>
      </c>
      <c r="D116" s="145">
        <v>415</v>
      </c>
      <c r="E116" s="145">
        <f>INDEX('SRC-4 (S.D. Customers)'!$F$9:$F$26,MATCH(B116,'SRC-4 (S.D. Customers)'!$E$9:$E$26,0))</f>
        <v>1</v>
      </c>
      <c r="F116" s="145">
        <f t="shared" si="10"/>
        <v>1</v>
      </c>
      <c r="G116" s="73">
        <v>12</v>
      </c>
      <c r="H116" s="87">
        <f t="shared" si="9"/>
        <v>845.9</v>
      </c>
      <c r="I116" s="74">
        <f t="shared" si="12"/>
        <v>10150.799999999999</v>
      </c>
      <c r="J116" s="224"/>
      <c r="K116" s="224"/>
      <c r="L116" s="224"/>
      <c r="M116" s="224"/>
      <c r="N116" s="224"/>
      <c r="O116" s="224"/>
      <c r="P116" s="224"/>
    </row>
    <row r="117" spans="1:16" x14ac:dyDescent="0.2">
      <c r="A117" s="151">
        <f t="shared" si="11"/>
        <v>99</v>
      </c>
      <c r="B117" s="145" t="s">
        <v>631</v>
      </c>
      <c r="C117" s="145" t="s">
        <v>631</v>
      </c>
      <c r="D117" s="145">
        <v>800</v>
      </c>
      <c r="E117" s="145">
        <f>INDEX('SRC-4 (S.D. Customers)'!$F$9:$F$26,MATCH(B117,'SRC-4 (S.D. Customers)'!$E$9:$E$26,0))</f>
        <v>1</v>
      </c>
      <c r="F117" s="145">
        <f t="shared" si="10"/>
        <v>2</v>
      </c>
      <c r="G117" s="73">
        <v>24</v>
      </c>
      <c r="H117" s="87">
        <f t="shared" si="9"/>
        <v>1459.03</v>
      </c>
      <c r="I117" s="74">
        <f t="shared" si="12"/>
        <v>35016.720000000001</v>
      </c>
      <c r="J117" s="224"/>
      <c r="K117" s="224"/>
      <c r="L117" s="224"/>
      <c r="M117" s="224"/>
      <c r="N117" s="224"/>
      <c r="O117" s="224"/>
      <c r="P117" s="224"/>
    </row>
    <row r="118" spans="1:16" x14ac:dyDescent="0.2">
      <c r="A118" s="151">
        <f t="shared" si="11"/>
        <v>100</v>
      </c>
      <c r="B118" s="145" t="s">
        <v>631</v>
      </c>
      <c r="C118" s="145" t="s">
        <v>979</v>
      </c>
      <c r="D118" s="145">
        <v>1600</v>
      </c>
      <c r="E118" s="145">
        <f>INDEX('SRC-4 (S.D. Customers)'!$F$9:$F$26,MATCH(B118,'SRC-4 (S.D. Customers)'!$E$9:$E$26,0))</f>
        <v>1</v>
      </c>
      <c r="F118" s="145">
        <f t="shared" si="10"/>
        <v>2</v>
      </c>
      <c r="G118" s="73">
        <v>30.934000000000001</v>
      </c>
      <c r="H118" s="87">
        <f t="shared" si="9"/>
        <v>1543.73</v>
      </c>
      <c r="I118" s="74">
        <f t="shared" si="12"/>
        <v>47753.743820000003</v>
      </c>
      <c r="J118" s="224"/>
      <c r="K118" s="224"/>
      <c r="L118" s="224"/>
      <c r="M118" s="224"/>
      <c r="N118" s="224"/>
      <c r="O118" s="224"/>
      <c r="P118" s="224"/>
    </row>
    <row r="119" spans="1:16" x14ac:dyDescent="0.2">
      <c r="A119" s="151">
        <f t="shared" si="11"/>
        <v>101</v>
      </c>
      <c r="B119" s="145" t="s">
        <v>631</v>
      </c>
      <c r="C119" s="145" t="s">
        <v>631</v>
      </c>
      <c r="D119" s="145">
        <v>1600</v>
      </c>
      <c r="E119" s="145">
        <f>INDEX('SRC-4 (S.D. Customers)'!$F$9:$F$26,MATCH(B119,'SRC-4 (S.D. Customers)'!$E$9:$E$26,0))</f>
        <v>1</v>
      </c>
      <c r="F119" s="145">
        <f t="shared" si="10"/>
        <v>2</v>
      </c>
      <c r="G119" s="73">
        <v>359.66800000000001</v>
      </c>
      <c r="H119" s="87">
        <f t="shared" si="9"/>
        <v>1543.73</v>
      </c>
      <c r="I119" s="74">
        <f t="shared" si="12"/>
        <v>555230.28164000006</v>
      </c>
      <c r="J119" s="224"/>
      <c r="K119" s="224"/>
      <c r="L119" s="224"/>
      <c r="M119" s="224"/>
      <c r="N119" s="224"/>
      <c r="O119" s="224"/>
      <c r="P119" s="224"/>
    </row>
    <row r="120" spans="1:16" x14ac:dyDescent="0.2">
      <c r="A120" s="151">
        <f t="shared" si="11"/>
        <v>102</v>
      </c>
      <c r="B120" s="145" t="s">
        <v>631</v>
      </c>
      <c r="C120" s="145" t="s">
        <v>631</v>
      </c>
      <c r="D120" s="145">
        <v>3000</v>
      </c>
      <c r="E120" s="145">
        <f>INDEX('SRC-4 (S.D. Customers)'!$F$9:$F$26,MATCH(B120,'SRC-4 (S.D. Customers)'!$E$9:$E$26,0))</f>
        <v>1</v>
      </c>
      <c r="F120" s="145">
        <f t="shared" si="10"/>
        <v>2</v>
      </c>
      <c r="G120" s="73">
        <v>60</v>
      </c>
      <c r="H120" s="87">
        <f t="shared" si="9"/>
        <v>4247.3599999999997</v>
      </c>
      <c r="I120" s="74">
        <f t="shared" si="12"/>
        <v>254841.59999999998</v>
      </c>
      <c r="J120" s="224"/>
      <c r="K120" s="224"/>
      <c r="L120" s="224"/>
      <c r="M120" s="224"/>
      <c r="N120" s="224"/>
      <c r="O120" s="224"/>
      <c r="P120" s="224"/>
    </row>
    <row r="121" spans="1:16" x14ac:dyDescent="0.2">
      <c r="A121" s="151">
        <f t="shared" si="11"/>
        <v>103</v>
      </c>
      <c r="B121" s="145" t="s">
        <v>631</v>
      </c>
      <c r="C121" s="145" t="s">
        <v>631</v>
      </c>
      <c r="D121" s="145">
        <v>5000</v>
      </c>
      <c r="E121" s="145">
        <f>INDEX('SRC-4 (S.D. Customers)'!$F$9:$F$26,MATCH(B121,'SRC-4 (S.D. Customers)'!$E$9:$E$26,0))</f>
        <v>1</v>
      </c>
      <c r="F121" s="145">
        <f t="shared" si="10"/>
        <v>3</v>
      </c>
      <c r="G121" s="73">
        <v>24.166999999999998</v>
      </c>
      <c r="H121" s="87">
        <f t="shared" si="9"/>
        <v>4959.03</v>
      </c>
      <c r="I121" s="74">
        <f t="shared" si="12"/>
        <v>119844.87800999999</v>
      </c>
      <c r="J121" s="224"/>
      <c r="K121" s="224"/>
      <c r="L121" s="224"/>
      <c r="M121" s="224"/>
      <c r="N121" s="224"/>
      <c r="O121" s="224"/>
      <c r="P121" s="224"/>
    </row>
    <row r="122" spans="1:16" x14ac:dyDescent="0.2">
      <c r="A122" s="151">
        <f t="shared" si="11"/>
        <v>104</v>
      </c>
      <c r="B122" s="145" t="s">
        <v>637</v>
      </c>
      <c r="C122" s="145" t="s">
        <v>637</v>
      </c>
      <c r="D122" s="145">
        <v>998</v>
      </c>
      <c r="E122" s="145">
        <f>INDEX('SRC-4 (S.D. Customers)'!$F$9:$F$26,MATCH(B122,'SRC-4 (S.D. Customers)'!$E$9:$E$26,0))</f>
        <v>1</v>
      </c>
      <c r="F122" s="145">
        <f t="shared" si="10"/>
        <v>2</v>
      </c>
      <c r="G122" s="73">
        <v>11.9</v>
      </c>
      <c r="H122" s="87">
        <f t="shared" si="9"/>
        <v>1459.03</v>
      </c>
      <c r="I122" s="74">
        <f t="shared" si="12"/>
        <v>17362.456999999999</v>
      </c>
      <c r="J122" s="224"/>
      <c r="K122" s="224"/>
      <c r="L122" s="224"/>
      <c r="M122" s="224"/>
      <c r="N122" s="224"/>
      <c r="O122" s="224"/>
      <c r="P122" s="224"/>
    </row>
    <row r="123" spans="1:16" x14ac:dyDescent="0.2">
      <c r="A123" s="151">
        <f t="shared" si="11"/>
        <v>105</v>
      </c>
      <c r="B123" s="145" t="s">
        <v>637</v>
      </c>
      <c r="C123" s="145" t="s">
        <v>637</v>
      </c>
      <c r="D123" s="145">
        <v>3000</v>
      </c>
      <c r="E123" s="145">
        <f>INDEX('SRC-4 (S.D. Customers)'!$F$9:$F$26,MATCH(B123,'SRC-4 (S.D. Customers)'!$E$9:$E$26,0))</f>
        <v>1</v>
      </c>
      <c r="F123" s="145">
        <f t="shared" si="10"/>
        <v>2</v>
      </c>
      <c r="G123" s="73">
        <v>12</v>
      </c>
      <c r="H123" s="87">
        <f t="shared" si="9"/>
        <v>4247.3599999999997</v>
      </c>
      <c r="I123" s="74">
        <f t="shared" si="12"/>
        <v>50968.319999999992</v>
      </c>
      <c r="J123" s="224"/>
      <c r="K123" s="224"/>
      <c r="L123" s="224"/>
      <c r="M123" s="224"/>
      <c r="N123" s="224"/>
      <c r="O123" s="224"/>
      <c r="P123" s="224"/>
    </row>
    <row r="124" spans="1:16" x14ac:dyDescent="0.2">
      <c r="A124" s="151">
        <f t="shared" si="11"/>
        <v>106</v>
      </c>
      <c r="B124" s="145" t="s">
        <v>647</v>
      </c>
      <c r="C124" s="145" t="s">
        <v>647</v>
      </c>
      <c r="D124" s="145">
        <v>175</v>
      </c>
      <c r="E124" s="145">
        <f>INDEX('SRC-4 (S.D. Customers)'!$F$9:$F$26,MATCH(B124,'SRC-4 (S.D. Customers)'!$E$9:$E$26,0))</f>
        <v>1</v>
      </c>
      <c r="F124" s="145">
        <f t="shared" si="10"/>
        <v>1</v>
      </c>
      <c r="G124" s="73">
        <v>73</v>
      </c>
      <c r="H124" s="87">
        <f t="shared" si="9"/>
        <v>406.5</v>
      </c>
      <c r="I124" s="74">
        <f t="shared" si="12"/>
        <v>29674.5</v>
      </c>
      <c r="J124" s="224"/>
      <c r="K124" s="224"/>
      <c r="L124" s="224"/>
      <c r="M124" s="224"/>
      <c r="N124" s="224"/>
      <c r="O124" s="224"/>
      <c r="P124" s="224"/>
    </row>
    <row r="125" spans="1:16" x14ac:dyDescent="0.2">
      <c r="A125" s="151">
        <f t="shared" si="11"/>
        <v>107</v>
      </c>
      <c r="B125" s="145" t="s">
        <v>647</v>
      </c>
      <c r="C125" s="145" t="s">
        <v>647</v>
      </c>
      <c r="D125" s="145">
        <v>250</v>
      </c>
      <c r="E125" s="145">
        <f>INDEX('SRC-4 (S.D. Customers)'!$F$9:$F$26,MATCH(B125,'SRC-4 (S.D. Customers)'!$E$9:$E$26,0))</f>
        <v>1</v>
      </c>
      <c r="F125" s="145">
        <f t="shared" si="10"/>
        <v>1</v>
      </c>
      <c r="G125" s="73">
        <v>264.89999999999998</v>
      </c>
      <c r="H125" s="87">
        <f t="shared" si="9"/>
        <v>406.5</v>
      </c>
      <c r="I125" s="74">
        <f t="shared" si="12"/>
        <v>107681.84999999999</v>
      </c>
      <c r="J125" s="224"/>
      <c r="K125" s="224"/>
      <c r="L125" s="224"/>
      <c r="M125" s="224"/>
      <c r="N125" s="224"/>
      <c r="O125" s="224"/>
      <c r="P125" s="224"/>
    </row>
    <row r="126" spans="1:16" x14ac:dyDescent="0.2">
      <c r="A126" s="151">
        <f t="shared" si="11"/>
        <v>108</v>
      </c>
      <c r="B126" s="145" t="s">
        <v>647</v>
      </c>
      <c r="C126" s="145" t="s">
        <v>647</v>
      </c>
      <c r="D126" s="145">
        <v>275</v>
      </c>
      <c r="E126" s="145">
        <f>INDEX('SRC-4 (S.D. Customers)'!$F$9:$F$26,MATCH(B126,'SRC-4 (S.D. Customers)'!$E$9:$E$26,0))</f>
        <v>1</v>
      </c>
      <c r="F126" s="145">
        <f t="shared" si="10"/>
        <v>1</v>
      </c>
      <c r="G126" s="73">
        <v>84</v>
      </c>
      <c r="H126" s="87">
        <f t="shared" si="9"/>
        <v>406.5</v>
      </c>
      <c r="I126" s="74">
        <f t="shared" si="12"/>
        <v>34146</v>
      </c>
      <c r="J126" s="224"/>
      <c r="K126" s="224"/>
      <c r="L126" s="224"/>
      <c r="M126" s="224"/>
      <c r="N126" s="224"/>
      <c r="O126" s="224"/>
      <c r="P126" s="224"/>
    </row>
    <row r="127" spans="1:16" x14ac:dyDescent="0.2">
      <c r="A127" s="151">
        <f t="shared" si="11"/>
        <v>109</v>
      </c>
      <c r="B127" s="145" t="s">
        <v>647</v>
      </c>
      <c r="C127" s="145" t="s">
        <v>647</v>
      </c>
      <c r="D127" s="145">
        <v>400</v>
      </c>
      <c r="E127" s="145">
        <f>INDEX('SRC-4 (S.D. Customers)'!$F$9:$F$26,MATCH(B127,'SRC-4 (S.D. Customers)'!$E$9:$E$26,0))</f>
        <v>1</v>
      </c>
      <c r="F127" s="145">
        <f t="shared" si="10"/>
        <v>1</v>
      </c>
      <c r="G127" s="73">
        <v>24</v>
      </c>
      <c r="H127" s="87">
        <f t="shared" si="9"/>
        <v>845.9</v>
      </c>
      <c r="I127" s="74">
        <f t="shared" si="12"/>
        <v>20301.599999999999</v>
      </c>
      <c r="J127" s="224"/>
      <c r="K127" s="224"/>
      <c r="L127" s="224"/>
      <c r="M127" s="224"/>
      <c r="N127" s="224"/>
      <c r="O127" s="224"/>
      <c r="P127" s="224"/>
    </row>
    <row r="128" spans="1:16" x14ac:dyDescent="0.2">
      <c r="A128" s="151">
        <f t="shared" si="11"/>
        <v>110</v>
      </c>
      <c r="B128" s="145" t="s">
        <v>647</v>
      </c>
      <c r="C128" s="145" t="s">
        <v>647</v>
      </c>
      <c r="D128" s="145">
        <v>402</v>
      </c>
      <c r="E128" s="145">
        <f>INDEX('SRC-4 (S.D. Customers)'!$F$9:$F$26,MATCH(B128,'SRC-4 (S.D. Customers)'!$E$9:$E$26,0))</f>
        <v>1</v>
      </c>
      <c r="F128" s="145">
        <f t="shared" si="10"/>
        <v>1</v>
      </c>
      <c r="G128" s="73">
        <v>77</v>
      </c>
      <c r="H128" s="87">
        <f t="shared" si="9"/>
        <v>845.9</v>
      </c>
      <c r="I128" s="74">
        <f t="shared" si="12"/>
        <v>65134.299999999996</v>
      </c>
      <c r="J128" s="224"/>
      <c r="K128" s="224"/>
      <c r="L128" s="224"/>
      <c r="M128" s="224"/>
      <c r="N128" s="224"/>
      <c r="O128" s="224"/>
      <c r="P128" s="224"/>
    </row>
    <row r="129" spans="1:16" x14ac:dyDescent="0.2">
      <c r="A129" s="151">
        <f t="shared" si="11"/>
        <v>111</v>
      </c>
      <c r="B129" s="145" t="s">
        <v>647</v>
      </c>
      <c r="C129" s="145" t="s">
        <v>647</v>
      </c>
      <c r="D129" s="145">
        <v>425</v>
      </c>
      <c r="E129" s="145">
        <f>INDEX('SRC-4 (S.D. Customers)'!$F$9:$F$26,MATCH(B129,'SRC-4 (S.D. Customers)'!$E$9:$E$26,0))</f>
        <v>1</v>
      </c>
      <c r="F129" s="145">
        <f t="shared" si="10"/>
        <v>1</v>
      </c>
      <c r="G129" s="73">
        <v>371.63300000000004</v>
      </c>
      <c r="H129" s="87">
        <f t="shared" si="9"/>
        <v>845.9</v>
      </c>
      <c r="I129" s="74">
        <f t="shared" si="12"/>
        <v>314364.35470000003</v>
      </c>
      <c r="J129" s="224"/>
      <c r="K129" s="224"/>
      <c r="L129" s="224"/>
      <c r="M129" s="224"/>
      <c r="N129" s="224"/>
      <c r="O129" s="224"/>
      <c r="P129" s="224"/>
    </row>
    <row r="130" spans="1:16" x14ac:dyDescent="0.2">
      <c r="A130" s="151">
        <f t="shared" si="11"/>
        <v>112</v>
      </c>
      <c r="B130" s="145" t="s">
        <v>647</v>
      </c>
      <c r="C130" s="145" t="s">
        <v>647</v>
      </c>
      <c r="D130" s="145">
        <v>630</v>
      </c>
      <c r="E130" s="145">
        <f>INDEX('SRC-4 (S.D. Customers)'!$F$9:$F$26,MATCH(B130,'SRC-4 (S.D. Customers)'!$E$9:$E$26,0))</f>
        <v>1</v>
      </c>
      <c r="F130" s="145">
        <f t="shared" si="10"/>
        <v>1</v>
      </c>
      <c r="G130" s="73">
        <v>132.733</v>
      </c>
      <c r="H130" s="87">
        <f t="shared" si="9"/>
        <v>1459.03</v>
      </c>
      <c r="I130" s="74">
        <f t="shared" si="12"/>
        <v>193661.42899000001</v>
      </c>
      <c r="J130" s="224"/>
      <c r="K130" s="224"/>
      <c r="L130" s="224"/>
      <c r="M130" s="224"/>
      <c r="N130" s="224"/>
      <c r="O130" s="224"/>
      <c r="P130" s="224"/>
    </row>
    <row r="131" spans="1:16" x14ac:dyDescent="0.2">
      <c r="A131" s="151">
        <f t="shared" si="11"/>
        <v>113</v>
      </c>
      <c r="B131" s="145" t="s">
        <v>647</v>
      </c>
      <c r="C131" s="145" t="s">
        <v>647</v>
      </c>
      <c r="D131" s="145">
        <v>750</v>
      </c>
      <c r="E131" s="145">
        <f>INDEX('SRC-4 (S.D. Customers)'!$F$9:$F$26,MATCH(B131,'SRC-4 (S.D. Customers)'!$E$9:$E$26,0))</f>
        <v>1</v>
      </c>
      <c r="F131" s="145">
        <f t="shared" si="10"/>
        <v>1</v>
      </c>
      <c r="G131" s="73">
        <v>25</v>
      </c>
      <c r="H131" s="87">
        <f t="shared" si="9"/>
        <v>1459.03</v>
      </c>
      <c r="I131" s="74">
        <f t="shared" si="12"/>
        <v>36475.75</v>
      </c>
      <c r="J131" s="224"/>
      <c r="K131" s="224"/>
      <c r="L131" s="224"/>
      <c r="M131" s="224"/>
      <c r="N131" s="224"/>
      <c r="O131" s="224"/>
      <c r="P131" s="224"/>
    </row>
    <row r="132" spans="1:16" x14ac:dyDescent="0.2">
      <c r="A132" s="151">
        <f t="shared" si="11"/>
        <v>114</v>
      </c>
      <c r="B132" s="145" t="s">
        <v>647</v>
      </c>
      <c r="C132" s="145" t="s">
        <v>647</v>
      </c>
      <c r="D132" s="145">
        <v>800</v>
      </c>
      <c r="E132" s="145">
        <f>INDEX('SRC-4 (S.D. Customers)'!$F$9:$F$26,MATCH(B132,'SRC-4 (S.D. Customers)'!$E$9:$E$26,0))</f>
        <v>1</v>
      </c>
      <c r="F132" s="145">
        <f t="shared" si="10"/>
        <v>2</v>
      </c>
      <c r="G132" s="73">
        <v>68</v>
      </c>
      <c r="H132" s="87">
        <f t="shared" si="9"/>
        <v>1459.03</v>
      </c>
      <c r="I132" s="74">
        <f t="shared" si="12"/>
        <v>99214.04</v>
      </c>
      <c r="J132" s="224"/>
      <c r="K132" s="224"/>
      <c r="L132" s="224"/>
      <c r="M132" s="224"/>
      <c r="N132" s="224"/>
      <c r="O132" s="224"/>
      <c r="P132" s="224"/>
    </row>
    <row r="133" spans="1:16" x14ac:dyDescent="0.2">
      <c r="A133" s="151">
        <f t="shared" si="11"/>
        <v>115</v>
      </c>
      <c r="B133" s="145" t="s">
        <v>647</v>
      </c>
      <c r="C133" s="145" t="s">
        <v>647</v>
      </c>
      <c r="D133" s="145">
        <v>998</v>
      </c>
      <c r="E133" s="145">
        <f>INDEX('SRC-4 (S.D. Customers)'!$F$9:$F$26,MATCH(B133,'SRC-4 (S.D. Customers)'!$E$9:$E$26,0))</f>
        <v>1</v>
      </c>
      <c r="F133" s="145">
        <f t="shared" si="10"/>
        <v>2</v>
      </c>
      <c r="G133" s="73">
        <v>30</v>
      </c>
      <c r="H133" s="87">
        <f t="shared" si="9"/>
        <v>1459.03</v>
      </c>
      <c r="I133" s="74">
        <f t="shared" si="12"/>
        <v>43770.9</v>
      </c>
      <c r="J133" s="224"/>
      <c r="K133" s="224"/>
      <c r="L133" s="224"/>
      <c r="M133" s="224"/>
      <c r="N133" s="224"/>
      <c r="O133" s="224"/>
      <c r="P133" s="224"/>
    </row>
    <row r="134" spans="1:16" x14ac:dyDescent="0.2">
      <c r="A134" s="151">
        <f t="shared" si="11"/>
        <v>116</v>
      </c>
      <c r="B134" s="145" t="s">
        <v>647</v>
      </c>
      <c r="C134" s="145" t="s">
        <v>647</v>
      </c>
      <c r="D134" s="145">
        <v>1000</v>
      </c>
      <c r="E134" s="145">
        <f>INDEX('SRC-4 (S.D. Customers)'!$F$9:$F$26,MATCH(B134,'SRC-4 (S.D. Customers)'!$E$9:$E$26,0))</f>
        <v>1</v>
      </c>
      <c r="F134" s="145">
        <f t="shared" si="10"/>
        <v>2</v>
      </c>
      <c r="G134" s="73">
        <v>52.832999999999998</v>
      </c>
      <c r="H134" s="87">
        <f t="shared" si="9"/>
        <v>1543.73</v>
      </c>
      <c r="I134" s="74">
        <f t="shared" si="12"/>
        <v>81559.887090000004</v>
      </c>
      <c r="J134" s="224"/>
      <c r="K134" s="224"/>
      <c r="L134" s="224"/>
      <c r="M134" s="224"/>
      <c r="N134" s="224"/>
      <c r="O134" s="224"/>
      <c r="P134" s="224"/>
    </row>
    <row r="135" spans="1:16" x14ac:dyDescent="0.2">
      <c r="A135" s="151">
        <f t="shared" si="11"/>
        <v>117</v>
      </c>
      <c r="B135" s="145" t="s">
        <v>647</v>
      </c>
      <c r="C135" s="145" t="s">
        <v>647</v>
      </c>
      <c r="D135" s="145">
        <v>3000</v>
      </c>
      <c r="E135" s="145">
        <f>INDEX('SRC-4 (S.D. Customers)'!$F$9:$F$26,MATCH(B135,'SRC-4 (S.D. Customers)'!$E$9:$E$26,0))</f>
        <v>1</v>
      </c>
      <c r="F135" s="145">
        <f t="shared" si="10"/>
        <v>2</v>
      </c>
      <c r="G135" s="73">
        <v>102.733</v>
      </c>
      <c r="H135" s="87">
        <f t="shared" si="9"/>
        <v>4247.3599999999997</v>
      </c>
      <c r="I135" s="74">
        <f t="shared" si="12"/>
        <v>436344.03487999999</v>
      </c>
      <c r="J135" s="224"/>
      <c r="K135" s="224"/>
      <c r="L135" s="224"/>
      <c r="M135" s="224"/>
      <c r="N135" s="224"/>
      <c r="O135" s="224"/>
      <c r="P135" s="224"/>
    </row>
    <row r="136" spans="1:16" x14ac:dyDescent="0.2">
      <c r="A136" s="151">
        <f t="shared" si="11"/>
        <v>118</v>
      </c>
      <c r="B136" s="145" t="s">
        <v>647</v>
      </c>
      <c r="C136" s="145" t="s">
        <v>647</v>
      </c>
      <c r="D136" s="145">
        <v>5000</v>
      </c>
      <c r="E136" s="145">
        <f>INDEX('SRC-4 (S.D. Customers)'!$F$9:$F$26,MATCH(B136,'SRC-4 (S.D. Customers)'!$E$9:$E$26,0))</f>
        <v>1</v>
      </c>
      <c r="F136" s="145">
        <f t="shared" si="10"/>
        <v>3</v>
      </c>
      <c r="G136" s="73">
        <v>12</v>
      </c>
      <c r="H136" s="87">
        <f t="shared" si="9"/>
        <v>4959.03</v>
      </c>
      <c r="I136" s="74">
        <f t="shared" si="12"/>
        <v>59508.36</v>
      </c>
      <c r="J136" s="224"/>
      <c r="K136" s="224"/>
      <c r="L136" s="224"/>
      <c r="M136" s="224"/>
      <c r="N136" s="224"/>
      <c r="O136" s="224"/>
      <c r="P136" s="224"/>
    </row>
    <row r="137" spans="1:16" x14ac:dyDescent="0.2">
      <c r="A137" s="151">
        <f t="shared" si="11"/>
        <v>119</v>
      </c>
      <c r="B137" s="145" t="s">
        <v>647</v>
      </c>
      <c r="C137" s="145" t="s">
        <v>647</v>
      </c>
      <c r="D137" s="145">
        <v>7000</v>
      </c>
      <c r="E137" s="145">
        <f>INDEX('SRC-4 (S.D. Customers)'!$F$9:$F$26,MATCH(B137,'SRC-4 (S.D. Customers)'!$E$9:$E$26,0))</f>
        <v>1</v>
      </c>
      <c r="F137" s="145">
        <f t="shared" si="10"/>
        <v>3</v>
      </c>
      <c r="G137" s="73">
        <v>15.9</v>
      </c>
      <c r="H137" s="87">
        <f t="shared" si="9"/>
        <v>5310.6</v>
      </c>
      <c r="I137" s="74">
        <f t="shared" si="12"/>
        <v>84438.540000000008</v>
      </c>
      <c r="J137" s="224"/>
      <c r="K137" s="224"/>
      <c r="L137" s="224"/>
      <c r="M137" s="224"/>
      <c r="N137" s="224"/>
      <c r="O137" s="224"/>
      <c r="P137" s="224"/>
    </row>
    <row r="138" spans="1:16" x14ac:dyDescent="0.2">
      <c r="A138" s="151">
        <f t="shared" si="11"/>
        <v>120</v>
      </c>
      <c r="B138" s="145" t="s">
        <v>638</v>
      </c>
      <c r="C138" s="145" t="s">
        <v>638</v>
      </c>
      <c r="D138" s="145">
        <v>3000</v>
      </c>
      <c r="E138" s="145">
        <f>INDEX('SRC-4 (S.D. Customers)'!$F$9:$F$26,MATCH(B138,'SRC-4 (S.D. Customers)'!$E$9:$E$26,0))</f>
        <v>1</v>
      </c>
      <c r="F138" s="145">
        <f t="shared" si="10"/>
        <v>2</v>
      </c>
      <c r="G138" s="73">
        <v>12</v>
      </c>
      <c r="H138" s="87">
        <f t="shared" si="9"/>
        <v>4247.3599999999997</v>
      </c>
      <c r="I138" s="74">
        <f t="shared" si="12"/>
        <v>50968.319999999992</v>
      </c>
      <c r="J138" s="224"/>
      <c r="K138" s="224"/>
      <c r="L138" s="224"/>
      <c r="M138" s="224"/>
      <c r="N138" s="224"/>
      <c r="O138" s="224"/>
      <c r="P138" s="224"/>
    </row>
    <row r="139" spans="1:16" x14ac:dyDescent="0.2">
      <c r="A139" s="151">
        <f t="shared" si="11"/>
        <v>121</v>
      </c>
      <c r="B139" s="145" t="s">
        <v>638</v>
      </c>
      <c r="C139" s="145" t="s">
        <v>638</v>
      </c>
      <c r="D139" s="145">
        <v>11000</v>
      </c>
      <c r="E139" s="145">
        <f>INDEX('SRC-4 (S.D. Customers)'!$F$9:$F$26,MATCH(B139,'SRC-4 (S.D. Customers)'!$E$9:$E$26,0))</f>
        <v>1</v>
      </c>
      <c r="F139" s="145">
        <f t="shared" si="10"/>
        <v>3</v>
      </c>
      <c r="G139" s="73">
        <v>24</v>
      </c>
      <c r="H139" s="87">
        <f t="shared" si="9"/>
        <v>7811</v>
      </c>
      <c r="I139" s="74">
        <f t="shared" si="12"/>
        <v>187464</v>
      </c>
      <c r="J139" s="224"/>
      <c r="K139" s="224"/>
      <c r="L139" s="224"/>
      <c r="M139" s="224"/>
      <c r="N139" s="224"/>
      <c r="O139" s="224"/>
      <c r="P139" s="224"/>
    </row>
    <row r="140" spans="1:16" x14ac:dyDescent="0.2">
      <c r="A140" s="151">
        <f t="shared" si="11"/>
        <v>122</v>
      </c>
      <c r="B140" s="145" t="s">
        <v>638</v>
      </c>
      <c r="C140" s="145" t="s">
        <v>638</v>
      </c>
      <c r="D140" s="145">
        <v>16000</v>
      </c>
      <c r="E140" s="145">
        <f>INDEX('SRC-4 (S.D. Customers)'!$F$9:$F$26,MATCH(B140,'SRC-4 (S.D. Customers)'!$E$9:$E$26,0))</f>
        <v>1</v>
      </c>
      <c r="F140" s="145">
        <f t="shared" si="10"/>
        <v>4</v>
      </c>
      <c r="G140" s="73">
        <v>12</v>
      </c>
      <c r="H140" s="87">
        <f t="shared" ref="H140:H171" si="13">INDEX(D$10:D$34,MATCH(D140,B$10:B$34))</f>
        <v>8513.0400000000009</v>
      </c>
      <c r="I140" s="74">
        <f t="shared" si="12"/>
        <v>102156.48000000001</v>
      </c>
      <c r="J140" s="224"/>
      <c r="K140" s="224"/>
      <c r="L140" s="224"/>
      <c r="M140" s="224"/>
      <c r="N140" s="224"/>
      <c r="O140" s="224"/>
      <c r="P140" s="224"/>
    </row>
    <row r="141" spans="1:16" x14ac:dyDescent="0.2">
      <c r="A141" s="151">
        <f t="shared" si="11"/>
        <v>123</v>
      </c>
      <c r="B141" s="145" t="s">
        <v>638</v>
      </c>
      <c r="C141" s="145" t="s">
        <v>638</v>
      </c>
      <c r="D141" s="145">
        <v>23000</v>
      </c>
      <c r="E141" s="145">
        <f>INDEX('SRC-4 (S.D. Customers)'!$F$9:$F$26,MATCH(B141,'SRC-4 (S.D. Customers)'!$E$9:$E$26,0))</f>
        <v>1</v>
      </c>
      <c r="F141" s="145">
        <f t="shared" si="10"/>
        <v>4</v>
      </c>
      <c r="G141" s="73">
        <v>26.164999999999999</v>
      </c>
      <c r="H141" s="87">
        <f t="shared" si="13"/>
        <v>10551.93</v>
      </c>
      <c r="I141" s="74">
        <f t="shared" si="12"/>
        <v>276091.24845000001</v>
      </c>
      <c r="J141" s="224"/>
      <c r="K141" s="224"/>
      <c r="L141" s="224"/>
      <c r="M141" s="224"/>
      <c r="N141" s="224"/>
      <c r="O141" s="224"/>
      <c r="P141" s="224"/>
    </row>
    <row r="142" spans="1:16" x14ac:dyDescent="0.2">
      <c r="A142" s="151">
        <f t="shared" si="11"/>
        <v>124</v>
      </c>
      <c r="B142" s="145" t="s">
        <v>632</v>
      </c>
      <c r="C142" s="145" t="s">
        <v>980</v>
      </c>
      <c r="D142" s="145">
        <v>175</v>
      </c>
      <c r="E142" s="145">
        <f>INDEX('SRC-4 (S.D. Customers)'!$F$9:$F$26,MATCH(B142,'SRC-4 (S.D. Customers)'!$E$9:$E$26,0))</f>
        <v>1</v>
      </c>
      <c r="F142" s="145">
        <f t="shared" si="10"/>
        <v>1</v>
      </c>
      <c r="G142" s="73">
        <v>5951.0529999999999</v>
      </c>
      <c r="H142" s="87">
        <f t="shared" si="13"/>
        <v>406.5</v>
      </c>
      <c r="I142" s="74">
        <f t="shared" ref="I142:I173" si="14">G142*H142</f>
        <v>2419103.0444999998</v>
      </c>
      <c r="J142" s="224"/>
      <c r="K142" s="224"/>
      <c r="L142" s="224"/>
      <c r="M142" s="224"/>
      <c r="N142" s="224"/>
      <c r="O142" s="224"/>
      <c r="P142" s="224"/>
    </row>
    <row r="143" spans="1:16" x14ac:dyDescent="0.2">
      <c r="A143" s="151">
        <f t="shared" si="11"/>
        <v>125</v>
      </c>
      <c r="B143" s="145" t="s">
        <v>632</v>
      </c>
      <c r="C143" s="145" t="s">
        <v>632</v>
      </c>
      <c r="D143" s="145">
        <v>175</v>
      </c>
      <c r="E143" s="145">
        <f>INDEX('SRC-4 (S.D. Customers)'!$F$9:$F$26,MATCH(B143,'SRC-4 (S.D. Customers)'!$E$9:$E$26,0))</f>
        <v>1</v>
      </c>
      <c r="F143" s="145">
        <f t="shared" si="10"/>
        <v>1</v>
      </c>
      <c r="G143" s="73">
        <v>168332.16099999999</v>
      </c>
      <c r="H143" s="87">
        <f t="shared" si="13"/>
        <v>406.5</v>
      </c>
      <c r="I143" s="74">
        <f t="shared" si="14"/>
        <v>68427023.446500003</v>
      </c>
      <c r="J143" s="224"/>
      <c r="K143" s="224"/>
      <c r="L143" s="224"/>
      <c r="M143" s="224"/>
      <c r="N143" s="224"/>
      <c r="O143" s="224"/>
      <c r="P143" s="224"/>
    </row>
    <row r="144" spans="1:16" x14ac:dyDescent="0.2">
      <c r="A144" s="151">
        <f t="shared" si="11"/>
        <v>126</v>
      </c>
      <c r="B144" s="145" t="s">
        <v>632</v>
      </c>
      <c r="C144" s="145" t="s">
        <v>980</v>
      </c>
      <c r="D144" s="145">
        <v>200</v>
      </c>
      <c r="E144" s="145">
        <f>INDEX('SRC-4 (S.D. Customers)'!$F$9:$F$26,MATCH(B144,'SRC-4 (S.D. Customers)'!$E$9:$E$26,0))</f>
        <v>1</v>
      </c>
      <c r="F144" s="145">
        <f t="shared" si="10"/>
        <v>1</v>
      </c>
      <c r="G144" s="73">
        <v>309.43000000000006</v>
      </c>
      <c r="H144" s="87">
        <f t="shared" si="13"/>
        <v>406.5</v>
      </c>
      <c r="I144" s="74">
        <f t="shared" si="14"/>
        <v>125783.29500000003</v>
      </c>
      <c r="J144" s="224"/>
      <c r="K144" s="224"/>
      <c r="L144" s="224"/>
      <c r="M144" s="224"/>
      <c r="N144" s="224"/>
      <c r="O144" s="224"/>
      <c r="P144" s="224"/>
    </row>
    <row r="145" spans="1:16" x14ac:dyDescent="0.2">
      <c r="A145" s="151">
        <f t="shared" si="11"/>
        <v>127</v>
      </c>
      <c r="B145" s="145" t="s">
        <v>632</v>
      </c>
      <c r="C145" s="145" t="s">
        <v>632</v>
      </c>
      <c r="D145" s="145">
        <v>200</v>
      </c>
      <c r="E145" s="145">
        <f>INDEX('SRC-4 (S.D. Customers)'!$F$9:$F$26,MATCH(B145,'SRC-4 (S.D. Customers)'!$E$9:$E$26,0))</f>
        <v>1</v>
      </c>
      <c r="F145" s="145">
        <f t="shared" si="10"/>
        <v>1</v>
      </c>
      <c r="G145" s="73">
        <v>4987.2719999999999</v>
      </c>
      <c r="H145" s="87">
        <f t="shared" si="13"/>
        <v>406.5</v>
      </c>
      <c r="I145" s="74">
        <f t="shared" si="14"/>
        <v>2027326.068</v>
      </c>
      <c r="J145" s="224"/>
      <c r="K145" s="224"/>
      <c r="L145" s="224"/>
      <c r="M145" s="224"/>
      <c r="N145" s="224"/>
      <c r="O145" s="224"/>
      <c r="P145" s="224"/>
    </row>
    <row r="146" spans="1:16" x14ac:dyDescent="0.2">
      <c r="A146" s="151">
        <f t="shared" si="11"/>
        <v>128</v>
      </c>
      <c r="B146" s="145" t="s">
        <v>632</v>
      </c>
      <c r="C146" s="145" t="s">
        <v>980</v>
      </c>
      <c r="D146" s="145">
        <v>225</v>
      </c>
      <c r="E146" s="145">
        <f>INDEX('SRC-4 (S.D. Customers)'!$F$9:$F$26,MATCH(B146,'SRC-4 (S.D. Customers)'!$E$9:$E$26,0))</f>
        <v>1</v>
      </c>
      <c r="F146" s="145">
        <f t="shared" si="10"/>
        <v>1</v>
      </c>
      <c r="G146" s="73">
        <v>756.76600000000019</v>
      </c>
      <c r="H146" s="87">
        <f t="shared" si="13"/>
        <v>406.5</v>
      </c>
      <c r="I146" s="74">
        <f t="shared" si="14"/>
        <v>307625.37900000007</v>
      </c>
      <c r="J146" s="224"/>
      <c r="K146" s="224"/>
      <c r="L146" s="224"/>
      <c r="M146" s="224"/>
      <c r="N146" s="224"/>
      <c r="O146" s="224"/>
      <c r="P146" s="224"/>
    </row>
    <row r="147" spans="1:16" x14ac:dyDescent="0.2">
      <c r="A147" s="151">
        <f t="shared" si="11"/>
        <v>129</v>
      </c>
      <c r="B147" s="145" t="s">
        <v>632</v>
      </c>
      <c r="C147" s="145" t="s">
        <v>632</v>
      </c>
      <c r="D147" s="145">
        <v>225</v>
      </c>
      <c r="E147" s="145">
        <f>INDEX('SRC-4 (S.D. Customers)'!$F$9:$F$26,MATCH(B147,'SRC-4 (S.D. Customers)'!$E$9:$E$26,0))</f>
        <v>1</v>
      </c>
      <c r="F147" s="145">
        <f t="shared" si="10"/>
        <v>1</v>
      </c>
      <c r="G147" s="73">
        <v>20105.02199999999</v>
      </c>
      <c r="H147" s="87">
        <f t="shared" si="13"/>
        <v>406.5</v>
      </c>
      <c r="I147" s="74">
        <f t="shared" si="14"/>
        <v>8172691.4429999962</v>
      </c>
      <c r="J147" s="224"/>
      <c r="K147" s="224"/>
      <c r="L147" s="224"/>
      <c r="M147" s="224"/>
      <c r="N147" s="224"/>
      <c r="O147" s="224"/>
      <c r="P147" s="224"/>
    </row>
    <row r="148" spans="1:16" x14ac:dyDescent="0.2">
      <c r="A148" s="151">
        <f t="shared" si="11"/>
        <v>130</v>
      </c>
      <c r="B148" s="145" t="s">
        <v>632</v>
      </c>
      <c r="C148" s="145" t="s">
        <v>980</v>
      </c>
      <c r="D148" s="145">
        <v>240</v>
      </c>
      <c r="E148" s="145">
        <f>INDEX('SRC-4 (S.D. Customers)'!$F$9:$F$26,MATCH(B148,'SRC-4 (S.D. Customers)'!$E$9:$E$26,0))</f>
        <v>1</v>
      </c>
      <c r="F148" s="145">
        <f t="shared" si="10"/>
        <v>1</v>
      </c>
      <c r="G148" s="73">
        <v>324.89699999999993</v>
      </c>
      <c r="H148" s="87">
        <f t="shared" si="13"/>
        <v>406.5</v>
      </c>
      <c r="I148" s="74">
        <f t="shared" si="14"/>
        <v>132070.63049999997</v>
      </c>
      <c r="J148" s="224"/>
      <c r="K148" s="224"/>
      <c r="L148" s="224"/>
      <c r="M148" s="224"/>
      <c r="N148" s="224"/>
      <c r="O148" s="224"/>
      <c r="P148" s="224"/>
    </row>
    <row r="149" spans="1:16" x14ac:dyDescent="0.2">
      <c r="A149" s="151">
        <f t="shared" si="11"/>
        <v>131</v>
      </c>
      <c r="B149" s="145" t="s">
        <v>632</v>
      </c>
      <c r="C149" s="145" t="s">
        <v>632</v>
      </c>
      <c r="D149" s="145">
        <v>240</v>
      </c>
      <c r="E149" s="145">
        <f>INDEX('SRC-4 (S.D. Customers)'!$F$9:$F$26,MATCH(B149,'SRC-4 (S.D. Customers)'!$E$9:$E$26,0))</f>
        <v>1</v>
      </c>
      <c r="F149" s="145">
        <f t="shared" si="10"/>
        <v>1</v>
      </c>
      <c r="G149" s="73">
        <v>5608.338999999999</v>
      </c>
      <c r="H149" s="87">
        <f t="shared" si="13"/>
        <v>406.5</v>
      </c>
      <c r="I149" s="74">
        <f t="shared" si="14"/>
        <v>2279789.8034999995</v>
      </c>
      <c r="J149" s="224"/>
      <c r="K149" s="224"/>
      <c r="L149" s="224"/>
      <c r="M149" s="224"/>
      <c r="N149" s="224"/>
      <c r="O149" s="224"/>
      <c r="P149" s="224"/>
    </row>
    <row r="150" spans="1:16" x14ac:dyDescent="0.2">
      <c r="A150" s="151">
        <f t="shared" si="11"/>
        <v>132</v>
      </c>
      <c r="B150" s="145" t="s">
        <v>632</v>
      </c>
      <c r="C150" s="145" t="s">
        <v>980</v>
      </c>
      <c r="D150" s="145">
        <v>250</v>
      </c>
      <c r="E150" s="145">
        <f>INDEX('SRC-4 (S.D. Customers)'!$F$9:$F$26,MATCH(B150,'SRC-4 (S.D. Customers)'!$E$9:$E$26,0))</f>
        <v>1</v>
      </c>
      <c r="F150" s="145">
        <f t="shared" si="10"/>
        <v>1</v>
      </c>
      <c r="G150" s="73">
        <v>49951.93799999998</v>
      </c>
      <c r="H150" s="87">
        <f t="shared" si="13"/>
        <v>406.5</v>
      </c>
      <c r="I150" s="74">
        <f t="shared" si="14"/>
        <v>20305462.796999991</v>
      </c>
      <c r="J150" s="224"/>
      <c r="K150" s="224"/>
      <c r="L150" s="224"/>
      <c r="M150" s="224"/>
      <c r="N150" s="224"/>
      <c r="O150" s="224"/>
      <c r="P150" s="224"/>
    </row>
    <row r="151" spans="1:16" x14ac:dyDescent="0.2">
      <c r="A151" s="151">
        <f t="shared" si="11"/>
        <v>133</v>
      </c>
      <c r="B151" s="145" t="s">
        <v>632</v>
      </c>
      <c r="C151" s="145" t="s">
        <v>632</v>
      </c>
      <c r="D151" s="145">
        <v>250</v>
      </c>
      <c r="E151" s="145">
        <f>INDEX('SRC-4 (S.D. Customers)'!$F$9:$F$26,MATCH(B151,'SRC-4 (S.D. Customers)'!$E$9:$E$26,0))</f>
        <v>1</v>
      </c>
      <c r="F151" s="145">
        <f t="shared" si="10"/>
        <v>1</v>
      </c>
      <c r="G151" s="73">
        <v>772946.43199999991</v>
      </c>
      <c r="H151" s="87">
        <f t="shared" si="13"/>
        <v>406.5</v>
      </c>
      <c r="I151" s="74">
        <f t="shared" si="14"/>
        <v>314202724.60799998</v>
      </c>
      <c r="J151" s="224"/>
      <c r="K151" s="224"/>
      <c r="L151" s="224"/>
      <c r="M151" s="224"/>
      <c r="N151" s="224"/>
      <c r="O151" s="224"/>
      <c r="P151" s="224"/>
    </row>
    <row r="152" spans="1:16" x14ac:dyDescent="0.2">
      <c r="A152" s="151">
        <f t="shared" si="11"/>
        <v>134</v>
      </c>
      <c r="B152" s="145" t="s">
        <v>632</v>
      </c>
      <c r="C152" s="145" t="s">
        <v>980</v>
      </c>
      <c r="D152" s="145">
        <v>275</v>
      </c>
      <c r="E152" s="145">
        <f>INDEX('SRC-4 (S.D. Customers)'!$F$9:$F$26,MATCH(B152,'SRC-4 (S.D. Customers)'!$E$9:$E$26,0))</f>
        <v>1</v>
      </c>
      <c r="F152" s="145">
        <f t="shared" si="10"/>
        <v>1</v>
      </c>
      <c r="G152" s="73">
        <v>7564.3079999999991</v>
      </c>
      <c r="H152" s="87">
        <f t="shared" si="13"/>
        <v>406.5</v>
      </c>
      <c r="I152" s="74">
        <f t="shared" si="14"/>
        <v>3074891.2019999996</v>
      </c>
      <c r="J152" s="224"/>
      <c r="K152" s="224"/>
      <c r="L152" s="224"/>
      <c r="M152" s="224"/>
      <c r="N152" s="224"/>
      <c r="O152" s="224"/>
      <c r="P152" s="224"/>
    </row>
    <row r="153" spans="1:16" x14ac:dyDescent="0.2">
      <c r="A153" s="151">
        <f t="shared" si="11"/>
        <v>135</v>
      </c>
      <c r="B153" s="145" t="s">
        <v>632</v>
      </c>
      <c r="C153" s="145" t="s">
        <v>632</v>
      </c>
      <c r="D153" s="145">
        <v>275</v>
      </c>
      <c r="E153" s="145">
        <f>INDEX('SRC-4 (S.D. Customers)'!$F$9:$F$26,MATCH(B153,'SRC-4 (S.D. Customers)'!$E$9:$E$26,0))</f>
        <v>1</v>
      </c>
      <c r="F153" s="145">
        <f t="shared" si="10"/>
        <v>1</v>
      </c>
      <c r="G153" s="73">
        <v>133152.97799999994</v>
      </c>
      <c r="H153" s="87">
        <f t="shared" si="13"/>
        <v>406.5</v>
      </c>
      <c r="I153" s="74">
        <f t="shared" si="14"/>
        <v>54126685.556999974</v>
      </c>
      <c r="J153" s="224"/>
      <c r="K153" s="224"/>
      <c r="L153" s="224"/>
      <c r="M153" s="224"/>
      <c r="N153" s="224"/>
      <c r="O153" s="224"/>
      <c r="P153" s="224"/>
    </row>
    <row r="154" spans="1:16" x14ac:dyDescent="0.2">
      <c r="A154" s="151">
        <f t="shared" si="11"/>
        <v>136</v>
      </c>
      <c r="B154" s="145" t="s">
        <v>632</v>
      </c>
      <c r="C154" s="145" t="s">
        <v>632</v>
      </c>
      <c r="D154" s="145">
        <v>305</v>
      </c>
      <c r="E154" s="145">
        <f>INDEX('SRC-4 (S.D. Customers)'!$F$9:$F$26,MATCH(B154,'SRC-4 (S.D. Customers)'!$E$9:$E$26,0))</f>
        <v>1</v>
      </c>
      <c r="F154" s="145">
        <f t="shared" si="10"/>
        <v>1</v>
      </c>
      <c r="G154" s="73">
        <v>12</v>
      </c>
      <c r="H154" s="87">
        <f t="shared" si="13"/>
        <v>406.5</v>
      </c>
      <c r="I154" s="74">
        <f t="shared" si="14"/>
        <v>4878</v>
      </c>
      <c r="J154" s="224"/>
      <c r="K154" s="224"/>
      <c r="L154" s="224"/>
      <c r="M154" s="224"/>
      <c r="N154" s="224"/>
      <c r="O154" s="224"/>
      <c r="P154" s="224"/>
    </row>
    <row r="155" spans="1:16" x14ac:dyDescent="0.2">
      <c r="A155" s="151">
        <f t="shared" si="11"/>
        <v>137</v>
      </c>
      <c r="B155" s="145" t="s">
        <v>632</v>
      </c>
      <c r="C155" s="145" t="s">
        <v>980</v>
      </c>
      <c r="D155" s="145">
        <v>310</v>
      </c>
      <c r="E155" s="145">
        <f>INDEX('SRC-4 (S.D. Customers)'!$F$9:$F$26,MATCH(B155,'SRC-4 (S.D. Customers)'!$E$9:$E$26,0))</f>
        <v>1</v>
      </c>
      <c r="F155" s="145">
        <f t="shared" si="10"/>
        <v>1</v>
      </c>
      <c r="G155" s="73">
        <v>11.833</v>
      </c>
      <c r="H155" s="87">
        <f t="shared" si="13"/>
        <v>406.5</v>
      </c>
      <c r="I155" s="74">
        <f t="shared" si="14"/>
        <v>4810.1144999999997</v>
      </c>
      <c r="J155" s="224"/>
      <c r="K155" s="224"/>
      <c r="L155" s="224"/>
      <c r="M155" s="224"/>
      <c r="N155" s="224"/>
      <c r="O155" s="224"/>
      <c r="P155" s="224"/>
    </row>
    <row r="156" spans="1:16" x14ac:dyDescent="0.2">
      <c r="A156" s="151">
        <f t="shared" si="11"/>
        <v>138</v>
      </c>
      <c r="B156" s="145" t="s">
        <v>632</v>
      </c>
      <c r="C156" s="145" t="s">
        <v>632</v>
      </c>
      <c r="D156" s="145">
        <v>310</v>
      </c>
      <c r="E156" s="145">
        <f>INDEX('SRC-4 (S.D. Customers)'!$F$9:$F$26,MATCH(B156,'SRC-4 (S.D. Customers)'!$E$9:$E$26,0))</f>
        <v>1</v>
      </c>
      <c r="F156" s="145">
        <f t="shared" si="10"/>
        <v>1</v>
      </c>
      <c r="G156" s="73">
        <v>4</v>
      </c>
      <c r="H156" s="87">
        <f t="shared" si="13"/>
        <v>406.5</v>
      </c>
      <c r="I156" s="74">
        <f t="shared" si="14"/>
        <v>1626</v>
      </c>
      <c r="J156" s="224"/>
      <c r="K156" s="224"/>
      <c r="L156" s="224"/>
      <c r="M156" s="224"/>
      <c r="N156" s="224"/>
      <c r="O156" s="224"/>
      <c r="P156" s="224"/>
    </row>
    <row r="157" spans="1:16" x14ac:dyDescent="0.2">
      <c r="A157" s="151">
        <f t="shared" si="11"/>
        <v>139</v>
      </c>
      <c r="B157" s="145" t="s">
        <v>632</v>
      </c>
      <c r="C157" s="145" t="s">
        <v>980</v>
      </c>
      <c r="D157" s="145">
        <v>400</v>
      </c>
      <c r="E157" s="145">
        <f>INDEX('SRC-4 (S.D. Customers)'!$F$9:$F$26,MATCH(B157,'SRC-4 (S.D. Customers)'!$E$9:$E$26,0))</f>
        <v>1</v>
      </c>
      <c r="F157" s="145">
        <f t="shared" si="10"/>
        <v>1</v>
      </c>
      <c r="G157" s="73">
        <v>932.09899999999993</v>
      </c>
      <c r="H157" s="87">
        <f t="shared" si="13"/>
        <v>845.9</v>
      </c>
      <c r="I157" s="74">
        <f t="shared" si="14"/>
        <v>788462.54409999994</v>
      </c>
      <c r="J157" s="224"/>
      <c r="K157" s="224"/>
      <c r="L157" s="224"/>
      <c r="M157" s="224"/>
      <c r="N157" s="224"/>
      <c r="O157" s="224"/>
      <c r="P157" s="224"/>
    </row>
    <row r="158" spans="1:16" x14ac:dyDescent="0.2">
      <c r="A158" s="151">
        <f t="shared" si="11"/>
        <v>140</v>
      </c>
      <c r="B158" s="145" t="s">
        <v>632</v>
      </c>
      <c r="C158" s="145" t="s">
        <v>632</v>
      </c>
      <c r="D158" s="145">
        <v>400</v>
      </c>
      <c r="E158" s="145">
        <f>INDEX('SRC-4 (S.D. Customers)'!$F$9:$F$26,MATCH(B158,'SRC-4 (S.D. Customers)'!$E$9:$E$26,0))</f>
        <v>1</v>
      </c>
      <c r="F158" s="145">
        <f t="shared" si="10"/>
        <v>1</v>
      </c>
      <c r="G158" s="73">
        <v>294.86500000000001</v>
      </c>
      <c r="H158" s="87">
        <f t="shared" si="13"/>
        <v>845.9</v>
      </c>
      <c r="I158" s="74">
        <f t="shared" si="14"/>
        <v>249426.30350000001</v>
      </c>
      <c r="J158" s="224"/>
      <c r="K158" s="224"/>
      <c r="L158" s="224"/>
      <c r="M158" s="224"/>
      <c r="N158" s="224"/>
      <c r="O158" s="224"/>
      <c r="P158" s="224"/>
    </row>
    <row r="159" spans="1:16" x14ac:dyDescent="0.2">
      <c r="A159" s="151">
        <f t="shared" si="11"/>
        <v>141</v>
      </c>
      <c r="B159" s="145" t="s">
        <v>632</v>
      </c>
      <c r="C159" s="145" t="s">
        <v>980</v>
      </c>
      <c r="D159" s="145">
        <v>401</v>
      </c>
      <c r="E159" s="145">
        <f>INDEX('SRC-4 (S.D. Customers)'!$F$9:$F$26,MATCH(B159,'SRC-4 (S.D. Customers)'!$E$9:$E$26,0))</f>
        <v>1</v>
      </c>
      <c r="F159" s="145">
        <f t="shared" si="10"/>
        <v>1</v>
      </c>
      <c r="G159" s="73">
        <v>23.8</v>
      </c>
      <c r="H159" s="87">
        <f t="shared" si="13"/>
        <v>845.9</v>
      </c>
      <c r="I159" s="74">
        <f t="shared" si="14"/>
        <v>20132.419999999998</v>
      </c>
      <c r="J159" s="224"/>
      <c r="K159" s="224"/>
      <c r="L159" s="224"/>
      <c r="M159" s="224"/>
      <c r="N159" s="224"/>
      <c r="O159" s="224"/>
      <c r="P159" s="224"/>
    </row>
    <row r="160" spans="1:16" x14ac:dyDescent="0.2">
      <c r="A160" s="151">
        <f t="shared" si="11"/>
        <v>142</v>
      </c>
      <c r="B160" s="145" t="s">
        <v>632</v>
      </c>
      <c r="C160" s="145" t="s">
        <v>980</v>
      </c>
      <c r="D160" s="145">
        <v>402</v>
      </c>
      <c r="E160" s="145">
        <f>INDEX('SRC-4 (S.D. Customers)'!$F$9:$F$26,MATCH(B160,'SRC-4 (S.D. Customers)'!$E$9:$E$26,0))</f>
        <v>1</v>
      </c>
      <c r="F160" s="145">
        <f t="shared" si="10"/>
        <v>1</v>
      </c>
      <c r="G160" s="73">
        <v>5660.3530000000001</v>
      </c>
      <c r="H160" s="87">
        <f t="shared" si="13"/>
        <v>845.9</v>
      </c>
      <c r="I160" s="74">
        <f t="shared" si="14"/>
        <v>4788092.6026999997</v>
      </c>
      <c r="J160" s="224"/>
      <c r="K160" s="224"/>
      <c r="L160" s="224"/>
      <c r="M160" s="224"/>
      <c r="N160" s="224"/>
      <c r="O160" s="224"/>
      <c r="P160" s="224"/>
    </row>
    <row r="161" spans="1:16" x14ac:dyDescent="0.2">
      <c r="A161" s="151">
        <f t="shared" si="11"/>
        <v>143</v>
      </c>
      <c r="B161" s="145" t="s">
        <v>632</v>
      </c>
      <c r="C161" s="145" t="s">
        <v>632</v>
      </c>
      <c r="D161" s="145">
        <v>402</v>
      </c>
      <c r="E161" s="145">
        <f>INDEX('SRC-4 (S.D. Customers)'!$F$9:$F$26,MATCH(B161,'SRC-4 (S.D. Customers)'!$E$9:$E$26,0))</f>
        <v>1</v>
      </c>
      <c r="F161" s="145">
        <f t="shared" si="10"/>
        <v>1</v>
      </c>
      <c r="G161" s="73">
        <v>4562.2689999999993</v>
      </c>
      <c r="H161" s="87">
        <f t="shared" si="13"/>
        <v>845.9</v>
      </c>
      <c r="I161" s="74">
        <f t="shared" si="14"/>
        <v>3859223.3470999994</v>
      </c>
      <c r="J161" s="224"/>
      <c r="K161" s="224"/>
      <c r="L161" s="224"/>
      <c r="M161" s="224"/>
      <c r="N161" s="224"/>
      <c r="O161" s="224"/>
      <c r="P161" s="224"/>
    </row>
    <row r="162" spans="1:16" x14ac:dyDescent="0.2">
      <c r="A162" s="151">
        <f t="shared" si="11"/>
        <v>144</v>
      </c>
      <c r="B162" s="145" t="s">
        <v>632</v>
      </c>
      <c r="C162" s="145" t="s">
        <v>980</v>
      </c>
      <c r="D162" s="145">
        <v>415</v>
      </c>
      <c r="E162" s="145">
        <f>INDEX('SRC-4 (S.D. Customers)'!$F$9:$F$26,MATCH(B162,'SRC-4 (S.D. Customers)'!$E$9:$E$26,0))</f>
        <v>1</v>
      </c>
      <c r="F162" s="145">
        <f t="shared" si="10"/>
        <v>1</v>
      </c>
      <c r="G162" s="73">
        <v>239.499</v>
      </c>
      <c r="H162" s="87">
        <f t="shared" si="13"/>
        <v>845.9</v>
      </c>
      <c r="I162" s="74">
        <f t="shared" si="14"/>
        <v>202592.2041</v>
      </c>
      <c r="J162" s="224"/>
      <c r="K162" s="224"/>
      <c r="L162" s="224"/>
      <c r="M162" s="224"/>
      <c r="N162" s="224"/>
      <c r="O162" s="224"/>
      <c r="P162" s="224"/>
    </row>
    <row r="163" spans="1:16" x14ac:dyDescent="0.2">
      <c r="A163" s="151">
        <f t="shared" si="11"/>
        <v>145</v>
      </c>
      <c r="B163" s="145" t="s">
        <v>632</v>
      </c>
      <c r="C163" s="145" t="s">
        <v>632</v>
      </c>
      <c r="D163" s="145">
        <v>415</v>
      </c>
      <c r="E163" s="145">
        <f>INDEX('SRC-4 (S.D. Customers)'!$F$9:$F$26,MATCH(B163,'SRC-4 (S.D. Customers)'!$E$9:$E$26,0))</f>
        <v>1</v>
      </c>
      <c r="F163" s="145">
        <f t="shared" si="10"/>
        <v>1</v>
      </c>
      <c r="G163" s="73">
        <v>94.665999999999997</v>
      </c>
      <c r="H163" s="87">
        <f t="shared" si="13"/>
        <v>845.9</v>
      </c>
      <c r="I163" s="74">
        <f t="shared" si="14"/>
        <v>80077.969400000002</v>
      </c>
      <c r="J163" s="224"/>
      <c r="K163" s="224"/>
      <c r="L163" s="224"/>
      <c r="M163" s="224"/>
      <c r="N163" s="224"/>
      <c r="O163" s="224"/>
      <c r="P163" s="224"/>
    </row>
    <row r="164" spans="1:16" x14ac:dyDescent="0.2">
      <c r="A164" s="151">
        <f t="shared" si="11"/>
        <v>146</v>
      </c>
      <c r="B164" s="145" t="s">
        <v>632</v>
      </c>
      <c r="C164" s="145" t="s">
        <v>980</v>
      </c>
      <c r="D164" s="145">
        <v>416</v>
      </c>
      <c r="E164" s="145">
        <f>INDEX('SRC-4 (S.D. Customers)'!$F$9:$F$26,MATCH(B164,'SRC-4 (S.D. Customers)'!$E$9:$E$26,0))</f>
        <v>1</v>
      </c>
      <c r="F164" s="145">
        <f t="shared" si="10"/>
        <v>1</v>
      </c>
      <c r="G164" s="73">
        <v>730.63100000000009</v>
      </c>
      <c r="H164" s="87">
        <f t="shared" si="13"/>
        <v>845.9</v>
      </c>
      <c r="I164" s="74">
        <f t="shared" si="14"/>
        <v>618040.76290000009</v>
      </c>
      <c r="J164" s="224"/>
      <c r="K164" s="224"/>
      <c r="L164" s="224"/>
      <c r="M164" s="224"/>
      <c r="N164" s="224"/>
      <c r="O164" s="224"/>
      <c r="P164" s="224"/>
    </row>
    <row r="165" spans="1:16" x14ac:dyDescent="0.2">
      <c r="A165" s="151">
        <f t="shared" si="11"/>
        <v>147</v>
      </c>
      <c r="B165" s="145" t="s">
        <v>632</v>
      </c>
      <c r="C165" s="145" t="s">
        <v>632</v>
      </c>
      <c r="D165" s="145">
        <v>416</v>
      </c>
      <c r="E165" s="145">
        <f>INDEX('SRC-4 (S.D. Customers)'!$F$9:$F$26,MATCH(B165,'SRC-4 (S.D. Customers)'!$E$9:$E$26,0))</f>
        <v>1</v>
      </c>
      <c r="F165" s="145">
        <f t="shared" si="10"/>
        <v>1</v>
      </c>
      <c r="G165" s="73">
        <v>811.5920000000001</v>
      </c>
      <c r="H165" s="87">
        <f t="shared" si="13"/>
        <v>845.9</v>
      </c>
      <c r="I165" s="74">
        <f t="shared" si="14"/>
        <v>686525.67280000006</v>
      </c>
      <c r="J165" s="224"/>
      <c r="K165" s="224"/>
      <c r="L165" s="224"/>
      <c r="M165" s="224"/>
      <c r="N165" s="224"/>
      <c r="O165" s="224"/>
      <c r="P165" s="224"/>
    </row>
    <row r="166" spans="1:16" x14ac:dyDescent="0.2">
      <c r="A166" s="151">
        <f t="shared" si="11"/>
        <v>148</v>
      </c>
      <c r="B166" s="145" t="s">
        <v>632</v>
      </c>
      <c r="C166" s="145" t="s">
        <v>980</v>
      </c>
      <c r="D166" s="145">
        <v>425</v>
      </c>
      <c r="E166" s="145">
        <f>INDEX('SRC-4 (S.D. Customers)'!$F$9:$F$26,MATCH(B166,'SRC-4 (S.D. Customers)'!$E$9:$E$26,0))</f>
        <v>1</v>
      </c>
      <c r="F166" s="145">
        <f t="shared" si="10"/>
        <v>1</v>
      </c>
      <c r="G166" s="73">
        <v>17912.747000000003</v>
      </c>
      <c r="H166" s="87">
        <f t="shared" si="13"/>
        <v>845.9</v>
      </c>
      <c r="I166" s="74">
        <f t="shared" si="14"/>
        <v>15152392.687300002</v>
      </c>
      <c r="J166" s="224"/>
      <c r="K166" s="224"/>
      <c r="L166" s="224"/>
      <c r="M166" s="224"/>
      <c r="N166" s="224"/>
      <c r="O166" s="224"/>
      <c r="P166" s="224"/>
    </row>
    <row r="167" spans="1:16" x14ac:dyDescent="0.2">
      <c r="A167" s="151">
        <f t="shared" si="11"/>
        <v>149</v>
      </c>
      <c r="B167" s="145" t="s">
        <v>632</v>
      </c>
      <c r="C167" s="145" t="s">
        <v>632</v>
      </c>
      <c r="D167" s="145">
        <v>425</v>
      </c>
      <c r="E167" s="145">
        <f>INDEX('SRC-4 (S.D. Customers)'!$F$9:$F$26,MATCH(B167,'SRC-4 (S.D. Customers)'!$E$9:$E$26,0))</f>
        <v>1</v>
      </c>
      <c r="F167" s="145">
        <f t="shared" si="10"/>
        <v>1</v>
      </c>
      <c r="G167" s="73">
        <v>4976.8780000000006</v>
      </c>
      <c r="H167" s="87">
        <f t="shared" si="13"/>
        <v>845.9</v>
      </c>
      <c r="I167" s="74">
        <f t="shared" si="14"/>
        <v>4209941.1002000002</v>
      </c>
      <c r="J167" s="224"/>
      <c r="K167" s="224"/>
      <c r="L167" s="224"/>
      <c r="M167" s="224"/>
      <c r="N167" s="224"/>
      <c r="O167" s="224"/>
      <c r="P167" s="224"/>
    </row>
    <row r="168" spans="1:16" x14ac:dyDescent="0.2">
      <c r="A168" s="151">
        <f t="shared" si="11"/>
        <v>150</v>
      </c>
      <c r="B168" s="145" t="s">
        <v>632</v>
      </c>
      <c r="C168" s="145" t="s">
        <v>980</v>
      </c>
      <c r="D168" s="145">
        <v>630</v>
      </c>
      <c r="E168" s="145">
        <f>INDEX('SRC-4 (S.D. Customers)'!$F$9:$F$26,MATCH(B168,'SRC-4 (S.D. Customers)'!$E$9:$E$26,0))</f>
        <v>1</v>
      </c>
      <c r="F168" s="145">
        <f t="shared" si="10"/>
        <v>1</v>
      </c>
      <c r="G168" s="73">
        <v>5941.8550000000005</v>
      </c>
      <c r="H168" s="87">
        <f t="shared" si="13"/>
        <v>1459.03</v>
      </c>
      <c r="I168" s="74">
        <f t="shared" si="14"/>
        <v>8669344.7006500009</v>
      </c>
      <c r="J168" s="224"/>
      <c r="K168" s="224"/>
      <c r="L168" s="224"/>
      <c r="M168" s="224"/>
      <c r="N168" s="224"/>
      <c r="O168" s="224"/>
      <c r="P168" s="224"/>
    </row>
    <row r="169" spans="1:16" x14ac:dyDescent="0.2">
      <c r="A169" s="151">
        <f t="shared" si="11"/>
        <v>151</v>
      </c>
      <c r="B169" s="145" t="s">
        <v>632</v>
      </c>
      <c r="C169" s="145" t="s">
        <v>632</v>
      </c>
      <c r="D169" s="145">
        <v>630</v>
      </c>
      <c r="E169" s="145">
        <f>INDEX('SRC-4 (S.D. Customers)'!$F$9:$F$26,MATCH(B169,'SRC-4 (S.D. Customers)'!$E$9:$E$26,0))</f>
        <v>1</v>
      </c>
      <c r="F169" s="145">
        <f t="shared" si="10"/>
        <v>1</v>
      </c>
      <c r="G169" s="73">
        <v>1075.327</v>
      </c>
      <c r="H169" s="87">
        <f t="shared" si="13"/>
        <v>1459.03</v>
      </c>
      <c r="I169" s="74">
        <f t="shared" si="14"/>
        <v>1568934.3528100001</v>
      </c>
      <c r="J169" s="224"/>
      <c r="K169" s="224"/>
      <c r="L169" s="224"/>
      <c r="M169" s="224"/>
      <c r="N169" s="224"/>
      <c r="O169" s="224"/>
      <c r="P169" s="224"/>
    </row>
    <row r="170" spans="1:16" x14ac:dyDescent="0.2">
      <c r="A170" s="151">
        <f t="shared" si="11"/>
        <v>152</v>
      </c>
      <c r="B170" s="145" t="s">
        <v>632</v>
      </c>
      <c r="C170" s="145" t="s">
        <v>980</v>
      </c>
      <c r="D170" s="145">
        <v>675</v>
      </c>
      <c r="E170" s="145">
        <f>INDEX('SRC-4 (S.D. Customers)'!$F$9:$F$26,MATCH(B170,'SRC-4 (S.D. Customers)'!$E$9:$E$26,0))</f>
        <v>1</v>
      </c>
      <c r="F170" s="145">
        <f t="shared" si="10"/>
        <v>1</v>
      </c>
      <c r="G170" s="73">
        <v>504.33299999999997</v>
      </c>
      <c r="H170" s="87">
        <f t="shared" si="13"/>
        <v>1459.03</v>
      </c>
      <c r="I170" s="74">
        <f t="shared" si="14"/>
        <v>735836.97699</v>
      </c>
      <c r="J170" s="224"/>
      <c r="K170" s="224"/>
      <c r="L170" s="224"/>
      <c r="M170" s="224"/>
      <c r="N170" s="224"/>
      <c r="O170" s="224"/>
      <c r="P170" s="224"/>
    </row>
    <row r="171" spans="1:16" x14ac:dyDescent="0.2">
      <c r="A171" s="151">
        <f t="shared" si="11"/>
        <v>153</v>
      </c>
      <c r="B171" s="145" t="s">
        <v>632</v>
      </c>
      <c r="C171" s="145" t="s">
        <v>632</v>
      </c>
      <c r="D171" s="145">
        <v>675</v>
      </c>
      <c r="E171" s="145">
        <f>INDEX('SRC-4 (S.D. Customers)'!$F$9:$F$26,MATCH(B171,'SRC-4 (S.D. Customers)'!$E$9:$E$26,0))</f>
        <v>1</v>
      </c>
      <c r="F171" s="145">
        <f t="shared" si="10"/>
        <v>1</v>
      </c>
      <c r="G171" s="73">
        <v>47.9</v>
      </c>
      <c r="H171" s="87">
        <f t="shared" si="13"/>
        <v>1459.03</v>
      </c>
      <c r="I171" s="74">
        <f t="shared" si="14"/>
        <v>69887.536999999997</v>
      </c>
      <c r="J171" s="224"/>
      <c r="K171" s="224"/>
      <c r="L171" s="224"/>
      <c r="M171" s="224"/>
      <c r="N171" s="224"/>
      <c r="O171" s="224"/>
      <c r="P171" s="224"/>
    </row>
    <row r="172" spans="1:16" x14ac:dyDescent="0.2">
      <c r="A172" s="151">
        <f t="shared" si="11"/>
        <v>154</v>
      </c>
      <c r="B172" s="145" t="s">
        <v>632</v>
      </c>
      <c r="C172" s="145" t="s">
        <v>980</v>
      </c>
      <c r="D172" s="145">
        <v>750</v>
      </c>
      <c r="E172" s="145">
        <f>INDEX('SRC-4 (S.D. Customers)'!$F$9:$F$26,MATCH(B172,'SRC-4 (S.D. Customers)'!$E$9:$E$26,0))</f>
        <v>1</v>
      </c>
      <c r="F172" s="145">
        <f t="shared" ref="F172:F192" si="15">INDEX(C$10:C$34,MATCH(D172,B$10:B$34))</f>
        <v>1</v>
      </c>
      <c r="G172" s="73">
        <v>859.4</v>
      </c>
      <c r="H172" s="87">
        <f t="shared" ref="H172:H192" si="16">INDEX(D$10:D$34,MATCH(D172,B$10:B$34))</f>
        <v>1459.03</v>
      </c>
      <c r="I172" s="74">
        <f t="shared" si="14"/>
        <v>1253890.382</v>
      </c>
      <c r="J172" s="224"/>
      <c r="K172" s="224"/>
      <c r="L172" s="224"/>
      <c r="M172" s="224"/>
      <c r="N172" s="224"/>
      <c r="O172" s="224"/>
      <c r="P172" s="224"/>
    </row>
    <row r="173" spans="1:16" x14ac:dyDescent="0.2">
      <c r="A173" s="151">
        <f t="shared" ref="A173:A191" si="17">A172+1</f>
        <v>155</v>
      </c>
      <c r="B173" s="145" t="s">
        <v>632</v>
      </c>
      <c r="C173" s="145" t="s">
        <v>632</v>
      </c>
      <c r="D173" s="145">
        <v>750</v>
      </c>
      <c r="E173" s="145">
        <f>INDEX('SRC-4 (S.D. Customers)'!$F$9:$F$26,MATCH(B173,'SRC-4 (S.D. Customers)'!$E$9:$E$26,0))</f>
        <v>1</v>
      </c>
      <c r="F173" s="145">
        <f t="shared" si="15"/>
        <v>1</v>
      </c>
      <c r="G173" s="73">
        <v>12</v>
      </c>
      <c r="H173" s="87">
        <f t="shared" si="16"/>
        <v>1459.03</v>
      </c>
      <c r="I173" s="74">
        <f t="shared" si="14"/>
        <v>17508.36</v>
      </c>
      <c r="J173" s="224"/>
      <c r="K173" s="224"/>
      <c r="L173" s="224"/>
      <c r="M173" s="224"/>
      <c r="N173" s="224"/>
      <c r="O173" s="224"/>
      <c r="P173" s="224"/>
    </row>
    <row r="174" spans="1:16" x14ac:dyDescent="0.2">
      <c r="A174" s="151">
        <f t="shared" si="17"/>
        <v>156</v>
      </c>
      <c r="B174" s="145" t="s">
        <v>632</v>
      </c>
      <c r="C174" s="145" t="s">
        <v>980</v>
      </c>
      <c r="D174" s="145">
        <v>800</v>
      </c>
      <c r="E174" s="145">
        <f>INDEX('SRC-4 (S.D. Customers)'!$F$9:$F$26,MATCH(B174,'SRC-4 (S.D. Customers)'!$E$9:$E$26,0))</f>
        <v>1</v>
      </c>
      <c r="F174" s="145">
        <f t="shared" si="15"/>
        <v>2</v>
      </c>
      <c r="G174" s="73">
        <v>1954.1969999999999</v>
      </c>
      <c r="H174" s="87">
        <f t="shared" si="16"/>
        <v>1459.03</v>
      </c>
      <c r="I174" s="74">
        <f t="shared" ref="I174:I190" si="18">G174*H174</f>
        <v>2851232.0489099999</v>
      </c>
      <c r="J174" s="224"/>
      <c r="K174" s="224"/>
      <c r="L174" s="224"/>
      <c r="M174" s="224"/>
      <c r="N174" s="224"/>
      <c r="O174" s="224"/>
      <c r="P174" s="224"/>
    </row>
    <row r="175" spans="1:16" x14ac:dyDescent="0.2">
      <c r="A175" s="151">
        <f t="shared" si="17"/>
        <v>157</v>
      </c>
      <c r="B175" s="145" t="s">
        <v>632</v>
      </c>
      <c r="C175" s="145" t="s">
        <v>632</v>
      </c>
      <c r="D175" s="145">
        <v>800</v>
      </c>
      <c r="E175" s="145">
        <f>INDEX('SRC-4 (S.D. Customers)'!$F$9:$F$26,MATCH(B175,'SRC-4 (S.D. Customers)'!$E$9:$E$26,0))</f>
        <v>1</v>
      </c>
      <c r="F175" s="145">
        <f t="shared" si="15"/>
        <v>2</v>
      </c>
      <c r="G175" s="73">
        <v>36</v>
      </c>
      <c r="H175" s="87">
        <f t="shared" si="16"/>
        <v>1459.03</v>
      </c>
      <c r="I175" s="74">
        <f t="shared" si="18"/>
        <v>52525.08</v>
      </c>
      <c r="J175" s="224"/>
      <c r="K175" s="224"/>
      <c r="L175" s="224"/>
      <c r="M175" s="224"/>
      <c r="N175" s="224"/>
      <c r="O175" s="224"/>
      <c r="P175" s="224"/>
    </row>
    <row r="176" spans="1:16" x14ac:dyDescent="0.2">
      <c r="A176" s="151">
        <f t="shared" si="17"/>
        <v>158</v>
      </c>
      <c r="B176" s="145" t="s">
        <v>632</v>
      </c>
      <c r="C176" s="145" t="s">
        <v>980</v>
      </c>
      <c r="D176" s="145">
        <v>998</v>
      </c>
      <c r="E176" s="145">
        <f>INDEX('SRC-4 (S.D. Customers)'!$F$9:$F$26,MATCH(B176,'SRC-4 (S.D. Customers)'!$E$9:$E$26,0))</f>
        <v>1</v>
      </c>
      <c r="F176" s="145">
        <f t="shared" si="15"/>
        <v>2</v>
      </c>
      <c r="G176" s="73">
        <v>1221.4320000000002</v>
      </c>
      <c r="H176" s="87">
        <f t="shared" si="16"/>
        <v>1459.03</v>
      </c>
      <c r="I176" s="74">
        <f t="shared" si="18"/>
        <v>1782105.9309600003</v>
      </c>
      <c r="J176" s="224"/>
      <c r="K176" s="224"/>
      <c r="L176" s="224"/>
      <c r="M176" s="224"/>
      <c r="N176" s="224"/>
      <c r="O176" s="224"/>
      <c r="P176" s="224"/>
    </row>
    <row r="177" spans="1:16" x14ac:dyDescent="0.2">
      <c r="A177" s="151">
        <f t="shared" si="17"/>
        <v>159</v>
      </c>
      <c r="B177" s="145" t="s">
        <v>632</v>
      </c>
      <c r="C177" s="145" t="s">
        <v>632</v>
      </c>
      <c r="D177" s="145">
        <v>998</v>
      </c>
      <c r="E177" s="145">
        <f>INDEX('SRC-4 (S.D. Customers)'!$F$9:$F$26,MATCH(B177,'SRC-4 (S.D. Customers)'!$E$9:$E$26,0))</f>
        <v>1</v>
      </c>
      <c r="F177" s="145">
        <f t="shared" si="15"/>
        <v>2</v>
      </c>
      <c r="G177" s="73">
        <v>190.93299999999999</v>
      </c>
      <c r="H177" s="87">
        <f t="shared" si="16"/>
        <v>1459.03</v>
      </c>
      <c r="I177" s="74">
        <f t="shared" si="18"/>
        <v>278576.97498999996</v>
      </c>
      <c r="J177" s="224"/>
      <c r="K177" s="224"/>
      <c r="L177" s="224"/>
      <c r="M177" s="224"/>
      <c r="N177" s="224"/>
      <c r="O177" s="224"/>
      <c r="P177" s="224"/>
    </row>
    <row r="178" spans="1:16" x14ac:dyDescent="0.2">
      <c r="A178" s="151">
        <f t="shared" si="17"/>
        <v>160</v>
      </c>
      <c r="B178" s="145" t="s">
        <v>632</v>
      </c>
      <c r="C178" s="145" t="s">
        <v>980</v>
      </c>
      <c r="D178" s="145">
        <v>1000</v>
      </c>
      <c r="E178" s="145">
        <f>INDEX('SRC-4 (S.D. Customers)'!$F$9:$F$26,MATCH(B178,'SRC-4 (S.D. Customers)'!$E$9:$E$26,0))</f>
        <v>1</v>
      </c>
      <c r="F178" s="145">
        <f t="shared" si="15"/>
        <v>2</v>
      </c>
      <c r="G178" s="73">
        <v>2985.2289999999998</v>
      </c>
      <c r="H178" s="87">
        <f t="shared" si="16"/>
        <v>1543.73</v>
      </c>
      <c r="I178" s="74">
        <f t="shared" si="18"/>
        <v>4608387.5641700001</v>
      </c>
      <c r="J178" s="224"/>
      <c r="K178" s="224"/>
      <c r="L178" s="224"/>
      <c r="M178" s="224"/>
      <c r="N178" s="224"/>
      <c r="O178" s="224"/>
      <c r="P178" s="224"/>
    </row>
    <row r="179" spans="1:16" x14ac:dyDescent="0.2">
      <c r="A179" s="151">
        <f t="shared" si="17"/>
        <v>161</v>
      </c>
      <c r="B179" s="145" t="s">
        <v>632</v>
      </c>
      <c r="C179" s="145" t="s">
        <v>632</v>
      </c>
      <c r="D179" s="145">
        <v>1000</v>
      </c>
      <c r="E179" s="145">
        <f>INDEX('SRC-4 (S.D. Customers)'!$F$9:$F$26,MATCH(B179,'SRC-4 (S.D. Customers)'!$E$9:$E$26,0))</f>
        <v>1</v>
      </c>
      <c r="F179" s="145">
        <f t="shared" si="15"/>
        <v>2</v>
      </c>
      <c r="G179" s="73">
        <v>232.09899999999999</v>
      </c>
      <c r="H179" s="87">
        <f t="shared" si="16"/>
        <v>1543.73</v>
      </c>
      <c r="I179" s="74">
        <f t="shared" si="18"/>
        <v>358298.18926999997</v>
      </c>
      <c r="J179" s="224"/>
      <c r="K179" s="224"/>
      <c r="L179" s="224"/>
      <c r="M179" s="224"/>
      <c r="N179" s="224"/>
      <c r="O179" s="224"/>
      <c r="P179" s="224"/>
    </row>
    <row r="180" spans="1:16" x14ac:dyDescent="0.2">
      <c r="A180" s="151">
        <f t="shared" si="17"/>
        <v>162</v>
      </c>
      <c r="B180" s="145" t="s">
        <v>632</v>
      </c>
      <c r="C180" s="145" t="s">
        <v>980</v>
      </c>
      <c r="D180" s="145">
        <v>1200</v>
      </c>
      <c r="E180" s="145">
        <f>INDEX('SRC-4 (S.D. Customers)'!$F$9:$F$26,MATCH(B180,'SRC-4 (S.D. Customers)'!$E$9:$E$26,0))</f>
        <v>1</v>
      </c>
      <c r="F180" s="145">
        <f t="shared" si="15"/>
        <v>2</v>
      </c>
      <c r="G180" s="73">
        <v>35.9</v>
      </c>
      <c r="H180" s="87">
        <f t="shared" si="16"/>
        <v>1543.73</v>
      </c>
      <c r="I180" s="74">
        <f t="shared" si="18"/>
        <v>55419.906999999999</v>
      </c>
      <c r="J180" s="224"/>
      <c r="K180" s="224"/>
      <c r="L180" s="224"/>
      <c r="M180" s="224"/>
      <c r="N180" s="224"/>
      <c r="O180" s="224"/>
      <c r="P180" s="224"/>
    </row>
    <row r="181" spans="1:16" x14ac:dyDescent="0.2">
      <c r="A181" s="151">
        <f t="shared" si="17"/>
        <v>163</v>
      </c>
      <c r="B181" s="145" t="s">
        <v>632</v>
      </c>
      <c r="C181" s="145" t="s">
        <v>980</v>
      </c>
      <c r="D181" s="145">
        <v>1400</v>
      </c>
      <c r="E181" s="145">
        <f>INDEX('SRC-4 (S.D. Customers)'!$F$9:$F$26,MATCH(B181,'SRC-4 (S.D. Customers)'!$E$9:$E$26,0))</f>
        <v>1</v>
      </c>
      <c r="F181" s="145">
        <f t="shared" si="15"/>
        <v>2</v>
      </c>
      <c r="G181" s="73">
        <v>74.099999999999994</v>
      </c>
      <c r="H181" s="87">
        <f t="shared" si="16"/>
        <v>1543.73</v>
      </c>
      <c r="I181" s="74">
        <f t="shared" si="18"/>
        <v>114390.393</v>
      </c>
      <c r="J181" s="224"/>
      <c r="K181" s="224"/>
      <c r="L181" s="224"/>
      <c r="M181" s="224"/>
      <c r="N181" s="224"/>
      <c r="O181" s="224"/>
      <c r="P181" s="224"/>
    </row>
    <row r="182" spans="1:16" x14ac:dyDescent="0.2">
      <c r="A182" s="151">
        <f t="shared" si="17"/>
        <v>164</v>
      </c>
      <c r="B182" s="145" t="s">
        <v>632</v>
      </c>
      <c r="C182" s="145" t="s">
        <v>980</v>
      </c>
      <c r="D182" s="145">
        <v>1500</v>
      </c>
      <c r="E182" s="145">
        <f>INDEX('SRC-4 (S.D. Customers)'!$F$9:$F$26,MATCH(B182,'SRC-4 (S.D. Customers)'!$E$9:$E$26,0))</f>
        <v>1</v>
      </c>
      <c r="F182" s="145">
        <f t="shared" si="15"/>
        <v>2</v>
      </c>
      <c r="G182" s="73">
        <v>12</v>
      </c>
      <c r="H182" s="87">
        <f t="shared" si="16"/>
        <v>1543.73</v>
      </c>
      <c r="I182" s="74">
        <f t="shared" si="18"/>
        <v>18524.760000000002</v>
      </c>
      <c r="J182" s="224"/>
      <c r="K182" s="224"/>
      <c r="L182" s="224"/>
      <c r="M182" s="224"/>
      <c r="N182" s="224"/>
      <c r="O182" s="224"/>
      <c r="P182" s="224"/>
    </row>
    <row r="183" spans="1:16" x14ac:dyDescent="0.2">
      <c r="A183" s="151">
        <f t="shared" si="17"/>
        <v>165</v>
      </c>
      <c r="B183" s="145" t="s">
        <v>632</v>
      </c>
      <c r="C183" s="145" t="s">
        <v>980</v>
      </c>
      <c r="D183" s="145">
        <v>2300</v>
      </c>
      <c r="E183" s="145">
        <f>INDEX('SRC-4 (S.D. Customers)'!$F$9:$F$26,MATCH(B183,'SRC-4 (S.D. Customers)'!$E$9:$E$26,0))</f>
        <v>1</v>
      </c>
      <c r="F183" s="145">
        <f t="shared" si="15"/>
        <v>2</v>
      </c>
      <c r="G183" s="73">
        <v>23.832999999999998</v>
      </c>
      <c r="H183" s="87">
        <f t="shared" si="16"/>
        <v>1543.73</v>
      </c>
      <c r="I183" s="74">
        <f t="shared" si="18"/>
        <v>36791.717089999998</v>
      </c>
      <c r="J183" s="224"/>
      <c r="K183" s="224"/>
      <c r="L183" s="224"/>
      <c r="M183" s="224"/>
      <c r="N183" s="224"/>
      <c r="O183" s="224"/>
      <c r="P183" s="224"/>
    </row>
    <row r="184" spans="1:16" x14ac:dyDescent="0.2">
      <c r="A184" s="151">
        <f t="shared" si="17"/>
        <v>166</v>
      </c>
      <c r="B184" s="145" t="s">
        <v>632</v>
      </c>
      <c r="C184" s="145" t="s">
        <v>980</v>
      </c>
      <c r="D184" s="145">
        <v>3000</v>
      </c>
      <c r="E184" s="145">
        <f>INDEX('SRC-4 (S.D. Customers)'!$F$9:$F$26,MATCH(B184,'SRC-4 (S.D. Customers)'!$E$9:$E$26,0))</f>
        <v>1</v>
      </c>
      <c r="F184" s="145">
        <f t="shared" si="15"/>
        <v>2</v>
      </c>
      <c r="G184" s="73">
        <v>806.29700000000014</v>
      </c>
      <c r="H184" s="87">
        <f t="shared" si="16"/>
        <v>4247.3599999999997</v>
      </c>
      <c r="I184" s="74">
        <f t="shared" si="18"/>
        <v>3424633.6259200005</v>
      </c>
      <c r="J184" s="224"/>
      <c r="K184" s="224"/>
      <c r="L184" s="224"/>
      <c r="M184" s="224"/>
      <c r="N184" s="224"/>
      <c r="O184" s="224"/>
      <c r="P184" s="224"/>
    </row>
    <row r="185" spans="1:16" x14ac:dyDescent="0.2">
      <c r="A185" s="151">
        <f t="shared" si="17"/>
        <v>167</v>
      </c>
      <c r="B185" s="145" t="s">
        <v>632</v>
      </c>
      <c r="C185" s="145" t="s">
        <v>632</v>
      </c>
      <c r="D185" s="145">
        <v>3000</v>
      </c>
      <c r="E185" s="145">
        <f>INDEX('SRC-4 (S.D. Customers)'!$F$9:$F$26,MATCH(B185,'SRC-4 (S.D. Customers)'!$E$9:$E$26,0))</f>
        <v>1</v>
      </c>
      <c r="F185" s="145">
        <f t="shared" si="15"/>
        <v>2</v>
      </c>
      <c r="G185" s="73">
        <v>12</v>
      </c>
      <c r="H185" s="87">
        <f t="shared" si="16"/>
        <v>4247.3599999999997</v>
      </c>
      <c r="I185" s="74">
        <f t="shared" si="18"/>
        <v>50968.319999999992</v>
      </c>
      <c r="J185" s="224"/>
      <c r="K185" s="224"/>
      <c r="L185" s="224"/>
      <c r="M185" s="224"/>
      <c r="N185" s="224"/>
      <c r="O185" s="224"/>
      <c r="P185" s="224"/>
    </row>
    <row r="186" spans="1:16" x14ac:dyDescent="0.2">
      <c r="A186" s="151">
        <f t="shared" si="17"/>
        <v>168</v>
      </c>
      <c r="B186" s="145" t="s">
        <v>632</v>
      </c>
      <c r="C186" s="145" t="s">
        <v>980</v>
      </c>
      <c r="D186" s="145">
        <v>5000</v>
      </c>
      <c r="E186" s="145">
        <f>INDEX('SRC-4 (S.D. Customers)'!$F$9:$F$26,MATCH(B186,'SRC-4 (S.D. Customers)'!$E$9:$E$26,0))</f>
        <v>1</v>
      </c>
      <c r="F186" s="145">
        <f t="shared" si="15"/>
        <v>3</v>
      </c>
      <c r="G186" s="73">
        <v>294.63300000000004</v>
      </c>
      <c r="H186" s="87">
        <f t="shared" si="16"/>
        <v>4959.03</v>
      </c>
      <c r="I186" s="74">
        <f t="shared" si="18"/>
        <v>1461093.8859900001</v>
      </c>
      <c r="J186" s="224"/>
      <c r="K186" s="224"/>
      <c r="L186" s="224"/>
      <c r="M186" s="224"/>
      <c r="N186" s="224"/>
      <c r="O186" s="224"/>
      <c r="P186" s="224"/>
    </row>
    <row r="187" spans="1:16" x14ac:dyDescent="0.2">
      <c r="A187" s="151">
        <f t="shared" si="17"/>
        <v>169</v>
      </c>
      <c r="B187" s="145" t="s">
        <v>632</v>
      </c>
      <c r="C187" s="145" t="s">
        <v>632</v>
      </c>
      <c r="D187" s="145">
        <v>5000</v>
      </c>
      <c r="E187" s="145">
        <f>INDEX('SRC-4 (S.D. Customers)'!$F$9:$F$26,MATCH(B187,'SRC-4 (S.D. Customers)'!$E$9:$E$26,0))</f>
        <v>1</v>
      </c>
      <c r="F187" s="145">
        <f t="shared" si="15"/>
        <v>3</v>
      </c>
      <c r="G187" s="73">
        <v>10</v>
      </c>
      <c r="H187" s="87">
        <f t="shared" si="16"/>
        <v>4959.03</v>
      </c>
      <c r="I187" s="74">
        <f t="shared" si="18"/>
        <v>49590.299999999996</v>
      </c>
      <c r="J187" s="224"/>
      <c r="K187" s="224"/>
      <c r="L187" s="224"/>
      <c r="M187" s="224"/>
      <c r="N187" s="224"/>
      <c r="O187" s="224"/>
      <c r="P187" s="224"/>
    </row>
    <row r="188" spans="1:16" x14ac:dyDescent="0.2">
      <c r="A188" s="151">
        <f t="shared" si="17"/>
        <v>170</v>
      </c>
      <c r="B188" s="145" t="s">
        <v>632</v>
      </c>
      <c r="C188" s="145" t="s">
        <v>980</v>
      </c>
      <c r="D188" s="145">
        <v>7000</v>
      </c>
      <c r="E188" s="145">
        <f>INDEX('SRC-4 (S.D. Customers)'!$F$9:$F$26,MATCH(B188,'SRC-4 (S.D. Customers)'!$E$9:$E$26,0))</f>
        <v>1</v>
      </c>
      <c r="F188" s="145">
        <f t="shared" si="15"/>
        <v>3</v>
      </c>
      <c r="G188" s="73">
        <v>104.06700000000001</v>
      </c>
      <c r="H188" s="87">
        <f t="shared" si="16"/>
        <v>5310.6</v>
      </c>
      <c r="I188" s="74">
        <f t="shared" si="18"/>
        <v>552658.21020000009</v>
      </c>
      <c r="J188" s="224"/>
      <c r="K188" s="224"/>
      <c r="L188" s="224"/>
      <c r="M188" s="224"/>
      <c r="N188" s="224"/>
      <c r="O188" s="224"/>
      <c r="P188" s="224"/>
    </row>
    <row r="189" spans="1:16" x14ac:dyDescent="0.2">
      <c r="A189" s="151">
        <f t="shared" si="17"/>
        <v>171</v>
      </c>
      <c r="B189" s="145" t="s">
        <v>632</v>
      </c>
      <c r="C189" s="145" t="s">
        <v>632</v>
      </c>
      <c r="D189" s="145">
        <v>7000</v>
      </c>
      <c r="E189" s="145">
        <f>INDEX('SRC-4 (S.D. Customers)'!$F$9:$F$26,MATCH(B189,'SRC-4 (S.D. Customers)'!$E$9:$E$26,0))</f>
        <v>1</v>
      </c>
      <c r="F189" s="145">
        <f t="shared" si="15"/>
        <v>3</v>
      </c>
      <c r="G189" s="73">
        <v>1.667</v>
      </c>
      <c r="H189" s="87">
        <f t="shared" si="16"/>
        <v>5310.6</v>
      </c>
      <c r="I189" s="74">
        <f t="shared" si="18"/>
        <v>8852.7702000000008</v>
      </c>
      <c r="J189" s="224"/>
      <c r="K189" s="224"/>
      <c r="L189" s="224"/>
      <c r="M189" s="224"/>
      <c r="N189" s="224"/>
      <c r="O189" s="224"/>
      <c r="P189" s="224"/>
    </row>
    <row r="190" spans="1:16" x14ac:dyDescent="0.2">
      <c r="A190" s="151">
        <f t="shared" si="17"/>
        <v>172</v>
      </c>
      <c r="B190" s="145" t="s">
        <v>632</v>
      </c>
      <c r="C190" s="145" t="s">
        <v>980</v>
      </c>
      <c r="D190" s="145">
        <v>11000</v>
      </c>
      <c r="E190" s="145">
        <f>INDEX('SRC-4 (S.D. Customers)'!$F$9:$F$26,MATCH(B190,'SRC-4 (S.D. Customers)'!$E$9:$E$26,0))</f>
        <v>1</v>
      </c>
      <c r="F190" s="145">
        <f t="shared" si="15"/>
        <v>3</v>
      </c>
      <c r="G190" s="73">
        <v>27.867000000000001</v>
      </c>
      <c r="H190" s="87">
        <f t="shared" si="16"/>
        <v>7811</v>
      </c>
      <c r="I190" s="74">
        <f t="shared" si="18"/>
        <v>217669.13700000002</v>
      </c>
      <c r="J190" s="224"/>
      <c r="K190" s="224"/>
      <c r="L190" s="224"/>
      <c r="M190" s="224"/>
      <c r="N190" s="224"/>
      <c r="O190" s="224"/>
      <c r="P190" s="224"/>
    </row>
    <row r="191" spans="1:16" x14ac:dyDescent="0.2">
      <c r="A191" s="151">
        <f t="shared" si="17"/>
        <v>173</v>
      </c>
      <c r="B191" s="145" t="s">
        <v>632</v>
      </c>
      <c r="C191" s="145" t="s">
        <v>980</v>
      </c>
      <c r="D191" s="145">
        <v>30000</v>
      </c>
      <c r="E191" s="145">
        <f>INDEX('SRC-4 (S.D. Customers)'!$F$9:$F$26,MATCH(B191,'SRC-4 (S.D. Customers)'!$E$9:$E$26,0))</f>
        <v>1</v>
      </c>
      <c r="F191" s="145">
        <f t="shared" si="15"/>
        <v>4</v>
      </c>
      <c r="G191" s="73">
        <v>12</v>
      </c>
      <c r="H191" s="87">
        <f t="shared" si="16"/>
        <v>10551.93</v>
      </c>
      <c r="I191" s="74">
        <f>G191*H191</f>
        <v>126623.16</v>
      </c>
      <c r="J191" s="224"/>
      <c r="K191" s="224"/>
      <c r="L191" s="224"/>
      <c r="M191" s="224"/>
      <c r="N191" s="224"/>
      <c r="O191" s="224"/>
      <c r="P191" s="224"/>
    </row>
    <row r="192" spans="1:16" x14ac:dyDescent="0.2">
      <c r="A192" s="151">
        <f>A191+1</f>
        <v>174</v>
      </c>
      <c r="B192" s="145" t="s">
        <v>648</v>
      </c>
      <c r="C192" s="145" t="s">
        <v>648</v>
      </c>
      <c r="D192" s="145">
        <v>1000</v>
      </c>
      <c r="E192" s="145">
        <f>INDEX('SRC-4 (S.D. Customers)'!$F$9:$F$26,MATCH(B192,'SRC-4 (S.D. Customers)'!$E$9:$E$26,0))</f>
        <v>1</v>
      </c>
      <c r="F192" s="145">
        <f t="shared" si="15"/>
        <v>2</v>
      </c>
      <c r="G192" s="73">
        <v>11</v>
      </c>
      <c r="H192" s="87">
        <f t="shared" si="16"/>
        <v>1543.73</v>
      </c>
      <c r="I192" s="74">
        <f t="shared" ref="I192" si="19">G192*H192</f>
        <v>16981.03</v>
      </c>
      <c r="J192" s="224"/>
      <c r="K192" s="224"/>
      <c r="L192" s="224"/>
      <c r="M192" s="224"/>
      <c r="N192" s="224"/>
      <c r="O192" s="224"/>
      <c r="P192" s="224"/>
    </row>
    <row r="193" spans="1:12" x14ac:dyDescent="0.2">
      <c r="G193" s="86"/>
    </row>
    <row r="194" spans="1:12" x14ac:dyDescent="0.2">
      <c r="A194" s="145" t="s">
        <v>981</v>
      </c>
    </row>
    <row r="195" spans="1:12" x14ac:dyDescent="0.2">
      <c r="A195" s="32" t="s">
        <v>982</v>
      </c>
    </row>
    <row r="196" spans="1:12" x14ac:dyDescent="0.2">
      <c r="A196" s="145" t="s">
        <v>983</v>
      </c>
    </row>
    <row r="197" spans="1:12" x14ac:dyDescent="0.2">
      <c r="A197" s="145" t="s">
        <v>984</v>
      </c>
    </row>
    <row r="198" spans="1:12" x14ac:dyDescent="0.2">
      <c r="A198" s="145" t="s">
        <v>985</v>
      </c>
    </row>
    <row r="199" spans="1:12" x14ac:dyDescent="0.2">
      <c r="A199" s="32"/>
    </row>
    <row r="201" spans="1:12" ht="15" x14ac:dyDescent="0.2">
      <c r="A201" s="83" t="s">
        <v>986</v>
      </c>
    </row>
    <row r="202" spans="1:12" x14ac:dyDescent="0.2">
      <c r="F202" s="146" t="s">
        <v>987</v>
      </c>
      <c r="G202" s="146" t="s">
        <v>988</v>
      </c>
      <c r="H202" s="146" t="s">
        <v>989</v>
      </c>
    </row>
    <row r="203" spans="1:12" x14ac:dyDescent="0.2">
      <c r="B203" s="146"/>
      <c r="C203" s="146"/>
      <c r="D203" s="146" t="s">
        <v>970</v>
      </c>
      <c r="E203" s="146" t="s">
        <v>989</v>
      </c>
      <c r="F203" s="146" t="s">
        <v>990</v>
      </c>
      <c r="G203" s="146" t="s">
        <v>990</v>
      </c>
      <c r="H203" s="146" t="s">
        <v>991</v>
      </c>
    </row>
    <row r="204" spans="1:12" x14ac:dyDescent="0.2">
      <c r="A204" s="147" t="s">
        <v>10</v>
      </c>
      <c r="B204" s="148" t="s">
        <v>972</v>
      </c>
      <c r="C204" s="148" t="s">
        <v>865</v>
      </c>
      <c r="D204" s="148" t="s">
        <v>973</v>
      </c>
      <c r="E204" s="148" t="s">
        <v>973</v>
      </c>
      <c r="F204" s="148" t="s">
        <v>973</v>
      </c>
      <c r="G204" s="148" t="s">
        <v>973</v>
      </c>
      <c r="H204" s="148" t="s">
        <v>973</v>
      </c>
      <c r="I204" s="148" t="s">
        <v>530</v>
      </c>
      <c r="J204" s="149" t="s">
        <v>23</v>
      </c>
      <c r="K204" s="147"/>
      <c r="L204" s="147"/>
    </row>
    <row r="205" spans="1:12" x14ac:dyDescent="0.2">
      <c r="B205" s="222" t="s">
        <v>24</v>
      </c>
      <c r="C205" s="222" t="s">
        <v>25</v>
      </c>
      <c r="D205" s="222" t="s">
        <v>26</v>
      </c>
      <c r="E205" s="222" t="s">
        <v>27</v>
      </c>
      <c r="F205" s="222" t="s">
        <v>28</v>
      </c>
      <c r="G205" s="150" t="s">
        <v>29</v>
      </c>
      <c r="H205" s="150" t="s">
        <v>30</v>
      </c>
      <c r="I205" s="150" t="s">
        <v>31</v>
      </c>
    </row>
    <row r="206" spans="1:12" x14ac:dyDescent="0.2">
      <c r="B206" s="146"/>
      <c r="C206" s="146"/>
      <c r="D206" s="146"/>
      <c r="E206" s="146"/>
      <c r="F206" s="146"/>
    </row>
    <row r="207" spans="1:12" x14ac:dyDescent="0.2">
      <c r="A207" s="151">
        <f>A192+1</f>
        <v>175</v>
      </c>
      <c r="B207" s="224">
        <v>1</v>
      </c>
      <c r="C207" s="9">
        <f>SUMIF($F$44:$F$192,$B207,G$44:G$192)</f>
        <v>1223400.3979999998</v>
      </c>
      <c r="D207" s="2">
        <f>SUMIF($F$44:$F$192,$B207,I$44:I$192)</f>
        <v>527134242.41033006</v>
      </c>
      <c r="E207" s="2">
        <f>D207*$E$214</f>
        <v>3695761.2046979978</v>
      </c>
      <c r="F207" s="34">
        <f>E207/C207</f>
        <v>3.0208925963566657</v>
      </c>
      <c r="G207" s="226">
        <v>3</v>
      </c>
      <c r="H207" s="2">
        <f>G207*C207</f>
        <v>3670201.1939999992</v>
      </c>
      <c r="I207" s="2"/>
      <c r="J207" s="145" t="s">
        <v>992</v>
      </c>
    </row>
    <row r="208" spans="1:12" x14ac:dyDescent="0.2">
      <c r="A208" s="151">
        <f>A207+1</f>
        <v>176</v>
      </c>
      <c r="B208" s="224">
        <v>2</v>
      </c>
      <c r="C208" s="9">
        <f>SUMIF($F$44:$F$192,$B208,G$44:G$192)</f>
        <v>19816.900999999994</v>
      </c>
      <c r="D208" s="2">
        <f>SUMIF($F$44:$F$192,$B208,I$44:I$192)</f>
        <v>42580506.443229996</v>
      </c>
      <c r="E208" s="2">
        <f>D208*$E$214</f>
        <v>298533.79106945806</v>
      </c>
      <c r="F208" s="34">
        <f>E208/C208</f>
        <v>15.064605261410861</v>
      </c>
      <c r="G208" s="227">
        <v>15</v>
      </c>
      <c r="H208" s="2">
        <f t="shared" ref="H208:H210" si="20">G208*C208</f>
        <v>297253.5149999999</v>
      </c>
      <c r="I208" s="2"/>
      <c r="J208" s="145" t="s">
        <v>993</v>
      </c>
    </row>
    <row r="209" spans="1:10" x14ac:dyDescent="0.2">
      <c r="A209" s="151">
        <f t="shared" ref="A209:A211" si="21">A208+1</f>
        <v>177</v>
      </c>
      <c r="B209" s="224">
        <v>3</v>
      </c>
      <c r="C209" s="9">
        <f>SUMIF($F$44:$F$192,$B209,G$44:G$192)</f>
        <v>5015.3270000000002</v>
      </c>
      <c r="D209" s="2">
        <f>SUMIF($F$44:$F$192,$B209,I$44:I$192)</f>
        <v>27754583.857239999</v>
      </c>
      <c r="E209" s="2">
        <f>D209*$E$214</f>
        <v>194588.60005584563</v>
      </c>
      <c r="F209" s="34">
        <f t="shared" ref="F209:F211" si="22">E209/C209</f>
        <v>38.798786211915122</v>
      </c>
      <c r="G209" s="227">
        <v>40</v>
      </c>
      <c r="H209" s="2">
        <f t="shared" si="20"/>
        <v>200613.08000000002</v>
      </c>
      <c r="I209" s="2"/>
      <c r="J209" s="145" t="s">
        <v>994</v>
      </c>
    </row>
    <row r="210" spans="1:10" x14ac:dyDescent="0.2">
      <c r="A210" s="149">
        <f t="shared" si="21"/>
        <v>178</v>
      </c>
      <c r="B210" s="228">
        <v>4</v>
      </c>
      <c r="C210" s="69">
        <f>SUMIF($F$44:$F$192,$B210,G$44:G$192)</f>
        <v>441.63100000000009</v>
      </c>
      <c r="D210" s="36">
        <f>SUMIF($F$44:$F$192,$B210,I$44:I$192)</f>
        <v>4250251.8204600001</v>
      </c>
      <c r="E210" s="36">
        <f>D210*$E$214</f>
        <v>29798.701212101878</v>
      </c>
      <c r="F210" s="84">
        <f t="shared" si="22"/>
        <v>67.474206321797766</v>
      </c>
      <c r="G210" s="229">
        <v>70</v>
      </c>
      <c r="H210" s="102">
        <f t="shared" si="20"/>
        <v>30914.170000000006</v>
      </c>
      <c r="I210" s="36"/>
      <c r="J210" s="145" t="s">
        <v>995</v>
      </c>
    </row>
    <row r="211" spans="1:10" x14ac:dyDescent="0.2">
      <c r="A211" s="151">
        <f t="shared" si="21"/>
        <v>179</v>
      </c>
      <c r="B211" s="230" t="s">
        <v>387</v>
      </c>
      <c r="C211" s="9">
        <f>SUM(C207:C210)</f>
        <v>1248674.257</v>
      </c>
      <c r="D211" s="2">
        <f>SUM(D207:D210)</f>
        <v>601719584.53126001</v>
      </c>
      <c r="E211" s="2">
        <f>SUM(E207:E210)</f>
        <v>4218682.2970354035</v>
      </c>
      <c r="F211" s="34">
        <f t="shared" si="22"/>
        <v>3.3785290866578692</v>
      </c>
      <c r="H211" s="152">
        <f>SUM(H207:H210)</f>
        <v>4198981.9589999989</v>
      </c>
      <c r="I211" s="152">
        <f>E211-H211</f>
        <v>19700.338035404682</v>
      </c>
    </row>
    <row r="213" spans="1:10" x14ac:dyDescent="0.2">
      <c r="A213" s="151">
        <f>A211+1</f>
        <v>180</v>
      </c>
      <c r="B213" s="224" t="s">
        <v>996</v>
      </c>
      <c r="C213" s="224"/>
      <c r="D213" s="224"/>
      <c r="E213" s="2">
        <f>'CLS1-1 (Class COS)'!C11</f>
        <v>4218682.2970354026</v>
      </c>
      <c r="F213" s="224"/>
      <c r="G213" s="145" t="s">
        <v>997</v>
      </c>
    </row>
    <row r="214" spans="1:10" x14ac:dyDescent="0.2">
      <c r="A214" s="151">
        <f>A213+1</f>
        <v>181</v>
      </c>
      <c r="B214" s="224" t="s">
        <v>998</v>
      </c>
      <c r="C214" s="224"/>
      <c r="D214" s="224"/>
      <c r="E214" s="25">
        <f>E213/D211</f>
        <v>7.0110436912598738E-3</v>
      </c>
      <c r="F214" s="225"/>
      <c r="G214" s="145" t="s">
        <v>999</v>
      </c>
    </row>
    <row r="215" spans="1:10" x14ac:dyDescent="0.2">
      <c r="A215" s="151"/>
      <c r="B215" s="224"/>
      <c r="C215" s="224"/>
      <c r="D215" s="224"/>
      <c r="E215" s="25"/>
      <c r="F215" s="225"/>
    </row>
    <row r="216" spans="1:10" x14ac:dyDescent="0.2">
      <c r="B216" s="224"/>
      <c r="C216" s="224"/>
      <c r="D216" s="324" t="s">
        <v>1000</v>
      </c>
      <c r="E216" s="324"/>
      <c r="F216" s="324"/>
      <c r="G216" s="324"/>
      <c r="H216" s="146" t="s">
        <v>1001</v>
      </c>
    </row>
    <row r="217" spans="1:10" x14ac:dyDescent="0.2">
      <c r="A217" s="147"/>
      <c r="B217" s="231" t="s">
        <v>626</v>
      </c>
      <c r="C217" s="231" t="s">
        <v>865</v>
      </c>
      <c r="D217" s="232">
        <v>1</v>
      </c>
      <c r="E217" s="232">
        <v>2</v>
      </c>
      <c r="F217" s="232">
        <v>3</v>
      </c>
      <c r="G217" s="232">
        <v>4</v>
      </c>
      <c r="H217" s="148" t="s">
        <v>141</v>
      </c>
    </row>
    <row r="218" spans="1:10" x14ac:dyDescent="0.2">
      <c r="A218" s="151">
        <f>A214+1</f>
        <v>182</v>
      </c>
      <c r="B218" s="224">
        <v>1</v>
      </c>
      <c r="C218" s="9">
        <f>SUMIF($E$44:$E$192,$B218,G$44:G$192)</f>
        <v>1226085.0959999997</v>
      </c>
      <c r="D218" s="93">
        <f>SUMIFS($G$44:$G$192,$E$44:$E$192,$B218,$F$44:$F$192,D$217)</f>
        <v>1217161.5419999997</v>
      </c>
      <c r="E218" s="94">
        <f t="shared" ref="E218:G220" si="23">SUMIFS($G$44:$G$192,$E$44:$E$192,$B218,$F$44:$F$192,E$217)</f>
        <v>8359.0879999999997</v>
      </c>
      <c r="F218" s="94">
        <f t="shared" si="23"/>
        <v>514.30100000000004</v>
      </c>
      <c r="G218" s="95">
        <f t="shared" si="23"/>
        <v>50.164999999999999</v>
      </c>
      <c r="H218" s="61">
        <f>(D218*($F$207-$G$207))+(E218*($F$208-$G$208))+(F218*($F$209-$G$209))+(G218*($F$210-$G$210))</f>
        <v>25225.213970966382</v>
      </c>
      <c r="I218" s="145" t="s">
        <v>1002</v>
      </c>
    </row>
    <row r="219" spans="1:10" x14ac:dyDescent="0.2">
      <c r="A219" s="151">
        <f>A218+1</f>
        <v>183</v>
      </c>
      <c r="B219" s="224">
        <v>2</v>
      </c>
      <c r="C219" s="9">
        <f t="shared" ref="C219:C220" si="24">SUMIF($E$44:$E$192,$B219,G$44:G$192)</f>
        <v>22277.161</v>
      </c>
      <c r="D219" s="96">
        <f t="shared" ref="D219:D220" si="25">SUMIFS($G$44:$G$192,$E$44:$E$192,$B219,$F$44:$F$192,D$217)</f>
        <v>6238.8559999999998</v>
      </c>
      <c r="E219" s="97">
        <f t="shared" si="23"/>
        <v>11452.813</v>
      </c>
      <c r="F219" s="97">
        <f t="shared" si="23"/>
        <v>4369.0259999999998</v>
      </c>
      <c r="G219" s="98">
        <f t="shared" si="23"/>
        <v>216.46600000000001</v>
      </c>
      <c r="H219" s="61">
        <f t="shared" ref="H219" si="26">(D219*($F$207-$G$207))+(E219*($F$208-$G$208))+(F219*($F$209-$G$209))+(G219*($F$210-$G$210))</f>
        <v>-4924.6248481569764</v>
      </c>
      <c r="I219" s="145" t="s">
        <v>1003</v>
      </c>
    </row>
    <row r="220" spans="1:10" x14ac:dyDescent="0.2">
      <c r="A220" s="149">
        <f>A219+1</f>
        <v>184</v>
      </c>
      <c r="B220" s="228">
        <v>3</v>
      </c>
      <c r="C220" s="69">
        <f t="shared" si="24"/>
        <v>312</v>
      </c>
      <c r="D220" s="99">
        <f t="shared" si="25"/>
        <v>0</v>
      </c>
      <c r="E220" s="69">
        <f t="shared" si="23"/>
        <v>5</v>
      </c>
      <c r="F220" s="69">
        <f t="shared" si="23"/>
        <v>132</v>
      </c>
      <c r="G220" s="100">
        <f t="shared" si="23"/>
        <v>175</v>
      </c>
      <c r="H220" s="101">
        <f>(D220*($F$207-$G$207))+(E220*($F$208-$G$208))+(F220*($F$209-$G$209))+(G220*($F$210-$G$210))</f>
        <v>-600.2510874055406</v>
      </c>
    </row>
    <row r="221" spans="1:10" x14ac:dyDescent="0.2">
      <c r="A221" s="151">
        <f>A220+1</f>
        <v>185</v>
      </c>
      <c r="B221" s="230" t="s">
        <v>387</v>
      </c>
      <c r="C221" s="9">
        <f>SUM(C218:C220)</f>
        <v>1248674.2569999998</v>
      </c>
      <c r="D221" s="9">
        <f>SUM(D218:D220)</f>
        <v>1223400.3979999996</v>
      </c>
      <c r="E221" s="9">
        <f t="shared" ref="E221:G221" si="27">SUM(E218:E220)</f>
        <v>19816.900999999998</v>
      </c>
      <c r="F221" s="9">
        <f t="shared" si="27"/>
        <v>5015.3270000000002</v>
      </c>
      <c r="G221" s="9">
        <f t="shared" si="27"/>
        <v>441.63100000000003</v>
      </c>
      <c r="H221" s="156">
        <f>SUM(H218:H220)</f>
        <v>19700.338035403864</v>
      </c>
    </row>
    <row r="222" spans="1:10" x14ac:dyDescent="0.2">
      <c r="A222" s="151"/>
      <c r="B222" s="224"/>
      <c r="C222" s="224"/>
      <c r="D222" s="224"/>
      <c r="E222" s="25"/>
      <c r="F222" s="225"/>
    </row>
    <row r="223" spans="1:10" x14ac:dyDescent="0.2">
      <c r="B223" s="224"/>
      <c r="C223" s="224"/>
      <c r="D223" s="224"/>
      <c r="E223" s="224"/>
      <c r="F223" s="224"/>
    </row>
    <row r="224" spans="1:10" x14ac:dyDescent="0.2">
      <c r="D224" s="230" t="s">
        <v>970</v>
      </c>
      <c r="E224" s="230" t="s">
        <v>976</v>
      </c>
      <c r="F224" s="230" t="s">
        <v>7</v>
      </c>
    </row>
    <row r="225" spans="1:7" x14ac:dyDescent="0.2">
      <c r="A225" s="147"/>
      <c r="B225" s="231" t="s">
        <v>626</v>
      </c>
      <c r="C225" s="231" t="s">
        <v>865</v>
      </c>
      <c r="D225" s="231" t="s">
        <v>973</v>
      </c>
      <c r="E225" s="231" t="s">
        <v>973</v>
      </c>
      <c r="F225" s="231" t="s">
        <v>1004</v>
      </c>
    </row>
    <row r="226" spans="1:7" x14ac:dyDescent="0.2">
      <c r="A226" s="151">
        <f>A221+1</f>
        <v>186</v>
      </c>
      <c r="B226" s="224">
        <v>1</v>
      </c>
      <c r="C226" s="9">
        <f>SUMIF($E$44:$E$192,$B226,G$44:G$192)</f>
        <v>1226085.0959999997</v>
      </c>
      <c r="D226" s="2">
        <f>SUMIF($E$44:$E$190,$B226,I$44:I$190)</f>
        <v>538387188.83582997</v>
      </c>
      <c r="E226" s="34">
        <f>D226/C226</f>
        <v>439.11078488130494</v>
      </c>
      <c r="F226" s="225">
        <f>E226/E$226</f>
        <v>1</v>
      </c>
      <c r="G226" s="145" t="s">
        <v>1005</v>
      </c>
    </row>
    <row r="227" spans="1:7" x14ac:dyDescent="0.2">
      <c r="A227" s="151">
        <f>A226+1</f>
        <v>187</v>
      </c>
      <c r="B227" s="224">
        <v>2</v>
      </c>
      <c r="C227" s="9">
        <f t="shared" ref="C227:C228" si="28">SUMIF($E$44:$E$192,$B227,G$44:G$192)</f>
        <v>22277.161</v>
      </c>
      <c r="D227" s="2">
        <f>SUMIF($E$44:$E$190,$B227,I$44:I$190)</f>
        <v>60312503.155429989</v>
      </c>
      <c r="E227" s="34">
        <f>D227/C227</f>
        <v>2707.3693616269143</v>
      </c>
      <c r="F227" s="225">
        <f>E227/E$226</f>
        <v>6.1655724588015692</v>
      </c>
      <c r="G227" s="145" t="s">
        <v>1006</v>
      </c>
    </row>
    <row r="228" spans="1:7" x14ac:dyDescent="0.2">
      <c r="A228" s="149">
        <f>A227+1</f>
        <v>188</v>
      </c>
      <c r="B228" s="228">
        <v>3</v>
      </c>
      <c r="C228" s="69">
        <f t="shared" si="28"/>
        <v>312</v>
      </c>
      <c r="D228" s="36">
        <f>SUMIF($E$44:$E$190,$B228,I$44:I$190)</f>
        <v>2876288.3500000006</v>
      </c>
      <c r="E228" s="84">
        <f t="shared" ref="E228:E229" si="29">D228/C228</f>
        <v>9218.872916666669</v>
      </c>
      <c r="F228" s="233">
        <f>E228/E$226</f>
        <v>20.994412421818794</v>
      </c>
      <c r="G228" s="145" t="s">
        <v>1007</v>
      </c>
    </row>
    <row r="229" spans="1:7" x14ac:dyDescent="0.2">
      <c r="A229" s="151">
        <f>A228+1</f>
        <v>189</v>
      </c>
      <c r="B229" s="230" t="s">
        <v>387</v>
      </c>
      <c r="C229" s="9">
        <f>SUM(C226:C228)</f>
        <v>1248674.2569999998</v>
      </c>
      <c r="D229" s="2">
        <f>SUM(D226:D228)</f>
        <v>601575980.34125996</v>
      </c>
      <c r="E229" s="34">
        <f t="shared" si="29"/>
        <v>481.77174869174871</v>
      </c>
      <c r="F229" s="224"/>
    </row>
    <row r="230" spans="1:7" x14ac:dyDescent="0.2">
      <c r="B230" s="224"/>
      <c r="C230" s="224"/>
      <c r="D230" s="224"/>
      <c r="E230" s="224"/>
      <c r="F230" s="224"/>
    </row>
    <row r="231" spans="1:7" x14ac:dyDescent="0.2">
      <c r="B231" s="224"/>
      <c r="C231" s="230" t="s">
        <v>970</v>
      </c>
      <c r="D231" s="230" t="s">
        <v>7</v>
      </c>
      <c r="E231" s="224"/>
      <c r="F231" s="224"/>
    </row>
    <row r="232" spans="1:7" x14ac:dyDescent="0.2">
      <c r="A232" s="147"/>
      <c r="B232" s="234" t="s">
        <v>18</v>
      </c>
      <c r="C232" s="231" t="s">
        <v>973</v>
      </c>
      <c r="D232" s="231" t="s">
        <v>1004</v>
      </c>
      <c r="E232" s="224"/>
      <c r="F232" s="224"/>
    </row>
    <row r="233" spans="1:7" x14ac:dyDescent="0.2">
      <c r="A233" s="151">
        <f>A229+1</f>
        <v>190</v>
      </c>
      <c r="B233" s="224" t="s">
        <v>501</v>
      </c>
      <c r="C233" s="131">
        <v>171.28387390109663</v>
      </c>
      <c r="D233" s="235">
        <f>C233/C$233</f>
        <v>1</v>
      </c>
      <c r="E233" s="224" t="s">
        <v>1008</v>
      </c>
      <c r="F233" s="224"/>
    </row>
    <row r="234" spans="1:7" x14ac:dyDescent="0.2">
      <c r="A234" s="151">
        <f>A233+1</f>
        <v>191</v>
      </c>
      <c r="B234" s="224" t="s">
        <v>502</v>
      </c>
      <c r="C234" s="131">
        <v>965.15371890519179</v>
      </c>
      <c r="D234" s="235">
        <f>C234/C$233</f>
        <v>5.6348195362658275</v>
      </c>
      <c r="E234" s="224"/>
      <c r="F234" s="224"/>
    </row>
    <row r="235" spans="1:7" x14ac:dyDescent="0.2">
      <c r="A235" s="151">
        <f>A234+1</f>
        <v>192</v>
      </c>
      <c r="B235" s="224" t="s">
        <v>503</v>
      </c>
      <c r="C235" s="131">
        <v>1490.1295819107734</v>
      </c>
      <c r="D235" s="235">
        <f>C235/C$233</f>
        <v>8.6997657629533158</v>
      </c>
      <c r="E235" s="224"/>
      <c r="F235" s="224"/>
    </row>
    <row r="236" spans="1:7" x14ac:dyDescent="0.2">
      <c r="A236" s="151"/>
      <c r="B236" s="224"/>
      <c r="C236" s="224"/>
      <c r="D236" s="224"/>
      <c r="E236" s="224"/>
      <c r="F236" s="224"/>
    </row>
    <row r="237" spans="1:7" x14ac:dyDescent="0.2">
      <c r="A237" s="151"/>
      <c r="B237" s="224"/>
      <c r="C237" s="230" t="s">
        <v>970</v>
      </c>
      <c r="D237" s="230" t="s">
        <v>7</v>
      </c>
      <c r="E237" s="224"/>
      <c r="F237" s="224"/>
    </row>
    <row r="238" spans="1:7" x14ac:dyDescent="0.2">
      <c r="A238" s="149"/>
      <c r="B238" s="234" t="s">
        <v>16</v>
      </c>
      <c r="C238" s="231" t="s">
        <v>973</v>
      </c>
      <c r="D238" s="231" t="s">
        <v>1004</v>
      </c>
      <c r="E238" s="224"/>
      <c r="F238" s="224"/>
    </row>
    <row r="239" spans="1:7" x14ac:dyDescent="0.2">
      <c r="A239" s="151">
        <f>A235+1</f>
        <v>193</v>
      </c>
      <c r="B239" s="224" t="s">
        <v>501</v>
      </c>
      <c r="C239" s="87">
        <v>1354</v>
      </c>
      <c r="D239" s="235">
        <f>C239/C$239</f>
        <v>1</v>
      </c>
      <c r="E239" s="224" t="s">
        <v>1009</v>
      </c>
      <c r="F239" s="224"/>
    </row>
    <row r="240" spans="1:7" x14ac:dyDescent="0.2">
      <c r="A240" s="151">
        <f>A239+1</f>
        <v>194</v>
      </c>
      <c r="B240" s="224" t="s">
        <v>502</v>
      </c>
      <c r="C240" s="87">
        <v>3067.8979057591623</v>
      </c>
      <c r="D240" s="235">
        <f>C240/C$239</f>
        <v>2.2658034754498981</v>
      </c>
      <c r="E240" s="224"/>
      <c r="F240" s="224"/>
    </row>
    <row r="241" spans="1:6" x14ac:dyDescent="0.2">
      <c r="A241" s="151">
        <f>A240+1</f>
        <v>195</v>
      </c>
      <c r="B241" s="224" t="s">
        <v>503</v>
      </c>
      <c r="C241" s="87">
        <v>9254</v>
      </c>
      <c r="D241" s="235">
        <f>C241/C$239</f>
        <v>6.8345642540620384</v>
      </c>
      <c r="E241" s="224"/>
      <c r="F241" s="224"/>
    </row>
    <row r="242" spans="1:6" x14ac:dyDescent="0.2">
      <c r="B242" s="224"/>
      <c r="C242" s="224"/>
      <c r="D242" s="224"/>
      <c r="E242" s="224"/>
      <c r="F242" s="224"/>
    </row>
    <row r="243" spans="1:6" x14ac:dyDescent="0.2">
      <c r="C243" s="325" t="s">
        <v>1010</v>
      </c>
      <c r="D243" s="325"/>
      <c r="E243" s="325"/>
      <c r="F243" s="325"/>
    </row>
    <row r="244" spans="1:6" x14ac:dyDescent="0.2">
      <c r="A244" s="147"/>
      <c r="B244" s="148" t="s">
        <v>618</v>
      </c>
      <c r="C244" s="147">
        <v>1</v>
      </c>
      <c r="D244" s="147">
        <v>2</v>
      </c>
      <c r="E244" s="147">
        <v>3</v>
      </c>
      <c r="F244" s="147">
        <v>4</v>
      </c>
    </row>
    <row r="245" spans="1:6" x14ac:dyDescent="0.2">
      <c r="A245" s="151">
        <f>+A241+1</f>
        <v>196</v>
      </c>
      <c r="B245" s="146" t="s">
        <v>631</v>
      </c>
      <c r="C245" s="9">
        <f t="shared" ref="C245:F257" si="30">SUMIFS($G$44:$G$192,$B$44:$B$192,$B245,$F$44:$F$192,C$244)</f>
        <v>1410.6329999999998</v>
      </c>
      <c r="D245" s="9">
        <f t="shared" si="30"/>
        <v>474.60199999999998</v>
      </c>
      <c r="E245" s="9">
        <f t="shared" si="30"/>
        <v>24.166999999999998</v>
      </c>
      <c r="F245" s="9">
        <f t="shared" si="30"/>
        <v>0</v>
      </c>
    </row>
    <row r="246" spans="1:6" x14ac:dyDescent="0.2">
      <c r="A246" s="151">
        <f>+A245+1</f>
        <v>197</v>
      </c>
      <c r="B246" s="146" t="s">
        <v>637</v>
      </c>
      <c r="C246" s="9">
        <f t="shared" si="30"/>
        <v>0</v>
      </c>
      <c r="D246" s="9">
        <f t="shared" si="30"/>
        <v>23.9</v>
      </c>
      <c r="E246" s="9">
        <f t="shared" si="30"/>
        <v>0</v>
      </c>
      <c r="F246" s="9">
        <f t="shared" si="30"/>
        <v>0</v>
      </c>
    </row>
    <row r="247" spans="1:6" x14ac:dyDescent="0.2">
      <c r="A247" s="151">
        <f t="shared" ref="A247:A257" si="31">+A246+1</f>
        <v>198</v>
      </c>
      <c r="B247" s="146" t="s">
        <v>648</v>
      </c>
      <c r="C247" s="9">
        <f t="shared" si="30"/>
        <v>0</v>
      </c>
      <c r="D247" s="9">
        <f t="shared" si="30"/>
        <v>11</v>
      </c>
      <c r="E247" s="9">
        <f t="shared" si="30"/>
        <v>0</v>
      </c>
      <c r="F247" s="9">
        <f t="shared" si="30"/>
        <v>0</v>
      </c>
    </row>
    <row r="248" spans="1:6" x14ac:dyDescent="0.2">
      <c r="A248" s="151">
        <f t="shared" si="31"/>
        <v>199</v>
      </c>
      <c r="B248" s="146" t="s">
        <v>647</v>
      </c>
      <c r="C248" s="9">
        <f t="shared" si="30"/>
        <v>1052.2660000000001</v>
      </c>
      <c r="D248" s="9">
        <f t="shared" si="30"/>
        <v>253.566</v>
      </c>
      <c r="E248" s="9">
        <f t="shared" si="30"/>
        <v>27.9</v>
      </c>
      <c r="F248" s="9">
        <f t="shared" si="30"/>
        <v>0</v>
      </c>
    </row>
    <row r="249" spans="1:6" x14ac:dyDescent="0.2">
      <c r="A249" s="151">
        <f t="shared" si="31"/>
        <v>200</v>
      </c>
      <c r="B249" s="146" t="s">
        <v>632</v>
      </c>
      <c r="C249" s="9">
        <f t="shared" si="30"/>
        <v>1214698.6429999997</v>
      </c>
      <c r="D249" s="9">
        <f t="shared" si="30"/>
        <v>7584.0199999999995</v>
      </c>
      <c r="E249" s="9">
        <f t="shared" si="30"/>
        <v>438.23400000000004</v>
      </c>
      <c r="F249" s="9">
        <f t="shared" si="30"/>
        <v>12</v>
      </c>
    </row>
    <row r="250" spans="1:6" x14ac:dyDescent="0.2">
      <c r="A250" s="151">
        <f t="shared" si="31"/>
        <v>201</v>
      </c>
      <c r="B250" s="146" t="s">
        <v>638</v>
      </c>
      <c r="C250" s="9">
        <f t="shared" si="30"/>
        <v>0</v>
      </c>
      <c r="D250" s="9">
        <f t="shared" si="30"/>
        <v>12</v>
      </c>
      <c r="E250" s="9">
        <f t="shared" si="30"/>
        <v>24</v>
      </c>
      <c r="F250" s="9">
        <f t="shared" si="30"/>
        <v>38.164999999999999</v>
      </c>
    </row>
    <row r="251" spans="1:6" x14ac:dyDescent="0.2">
      <c r="A251" s="151">
        <f t="shared" si="31"/>
        <v>202</v>
      </c>
      <c r="B251" s="146" t="s">
        <v>646</v>
      </c>
      <c r="C251" s="9">
        <f t="shared" si="30"/>
        <v>0</v>
      </c>
      <c r="D251" s="9">
        <f t="shared" si="30"/>
        <v>456</v>
      </c>
      <c r="E251" s="9">
        <f t="shared" si="30"/>
        <v>709</v>
      </c>
      <c r="F251" s="9">
        <f t="shared" si="30"/>
        <v>84</v>
      </c>
    </row>
    <row r="252" spans="1:6" x14ac:dyDescent="0.2">
      <c r="A252" s="151">
        <f t="shared" si="31"/>
        <v>203</v>
      </c>
      <c r="B252" s="146" t="s">
        <v>645</v>
      </c>
      <c r="C252" s="9">
        <f t="shared" si="30"/>
        <v>514.66599999999994</v>
      </c>
      <c r="D252" s="9">
        <f t="shared" si="30"/>
        <v>1587.2620000000002</v>
      </c>
      <c r="E252" s="9">
        <f t="shared" si="30"/>
        <v>1254.664</v>
      </c>
      <c r="F252" s="9">
        <f t="shared" si="30"/>
        <v>37.732999999999997</v>
      </c>
    </row>
    <row r="253" spans="1:6" x14ac:dyDescent="0.2">
      <c r="A253" s="151">
        <f t="shared" si="31"/>
        <v>204</v>
      </c>
      <c r="B253" s="146" t="s">
        <v>636</v>
      </c>
      <c r="C253" s="9">
        <f t="shared" si="30"/>
        <v>5724.1899999999987</v>
      </c>
      <c r="D253" s="9">
        <f t="shared" si="30"/>
        <v>9409.5509999999995</v>
      </c>
      <c r="E253" s="9">
        <f t="shared" si="30"/>
        <v>2405.3620000000001</v>
      </c>
      <c r="F253" s="9">
        <f t="shared" si="30"/>
        <v>94.733000000000004</v>
      </c>
    </row>
    <row r="254" spans="1:6" x14ac:dyDescent="0.2">
      <c r="A254" s="151">
        <f t="shared" si="31"/>
        <v>205</v>
      </c>
      <c r="B254" s="146" t="s">
        <v>643</v>
      </c>
      <c r="C254" s="9">
        <f t="shared" si="30"/>
        <v>0</v>
      </c>
      <c r="D254" s="9">
        <f t="shared" si="30"/>
        <v>0</v>
      </c>
      <c r="E254" s="9">
        <f t="shared" si="30"/>
        <v>0</v>
      </c>
      <c r="F254" s="9">
        <f t="shared" si="30"/>
        <v>0</v>
      </c>
    </row>
    <row r="255" spans="1:6" x14ac:dyDescent="0.2">
      <c r="A255" s="151">
        <f t="shared" si="31"/>
        <v>206</v>
      </c>
      <c r="B255" s="146" t="s">
        <v>1011</v>
      </c>
      <c r="C255" s="9">
        <f t="shared" si="30"/>
        <v>0</v>
      </c>
      <c r="D255" s="9">
        <f t="shared" si="30"/>
        <v>0</v>
      </c>
      <c r="E255" s="9">
        <f t="shared" si="30"/>
        <v>0</v>
      </c>
      <c r="F255" s="9">
        <f t="shared" si="30"/>
        <v>0</v>
      </c>
    </row>
    <row r="256" spans="1:6" x14ac:dyDescent="0.2">
      <c r="A256" s="151">
        <f t="shared" si="31"/>
        <v>207</v>
      </c>
      <c r="B256" s="146" t="s">
        <v>644</v>
      </c>
      <c r="C256" s="9">
        <f t="shared" si="30"/>
        <v>0</v>
      </c>
      <c r="D256" s="9">
        <f t="shared" si="30"/>
        <v>5</v>
      </c>
      <c r="E256" s="9">
        <f t="shared" si="30"/>
        <v>132</v>
      </c>
      <c r="F256" s="9">
        <f t="shared" si="30"/>
        <v>163</v>
      </c>
    </row>
    <row r="257" spans="1:6" x14ac:dyDescent="0.2">
      <c r="A257" s="151">
        <f t="shared" si="31"/>
        <v>208</v>
      </c>
      <c r="B257" s="146" t="s">
        <v>635</v>
      </c>
      <c r="C257" s="9">
        <f t="shared" si="30"/>
        <v>0</v>
      </c>
      <c r="D257" s="9">
        <f t="shared" si="30"/>
        <v>0</v>
      </c>
      <c r="E257" s="9">
        <f t="shared" si="30"/>
        <v>0</v>
      </c>
      <c r="F257" s="9">
        <f t="shared" si="30"/>
        <v>12</v>
      </c>
    </row>
    <row r="258" spans="1:6" x14ac:dyDescent="0.2">
      <c r="C258" s="156"/>
      <c r="D258" s="156"/>
      <c r="E258" s="156"/>
      <c r="F258" s="156"/>
    </row>
  </sheetData>
  <sortState xmlns:xlrd2="http://schemas.microsoft.com/office/spreadsheetml/2017/richdata2" ref="B4:I147">
    <sortCondition ref="B4:B147"/>
    <sortCondition ref="F4:F147"/>
  </sortState>
  <mergeCells count="2">
    <mergeCell ref="D216:G216"/>
    <mergeCell ref="C243:F243"/>
  </mergeCells>
  <pageMargins left="0.75" right="0.75" top="1.2653409090909091" bottom="1" header="0.5" footer="0.5"/>
  <pageSetup scale="51" fitToHeight="0" orientation="landscape" r:id="rId1"/>
  <headerFooter>
    <oddHeader>&amp;CRULE 20:10:13:98
STATEMENT O WORKPAPER - Tab &amp;A
Meter Class Rate Design
Test Year Ending December 31, 2021
Utility: MidAmerican Energy Company
Docket No. NG22-___
Individual Responsible: Amanda Hosch</oddHeader>
    <oddFooter>&amp;C20:10:13:98
Statement O Workpaper - Tab &amp;A
&amp;P of &amp;N</oddFooter>
  </headerFooter>
  <rowBreaks count="1" manualBreakCount="1">
    <brk id="20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26BF7-4F96-42FF-8B2B-8FF370B7E421}">
  <sheetPr>
    <tabColor rgb="FF7030A0"/>
  </sheetPr>
  <dimension ref="A1:E40"/>
  <sheetViews>
    <sheetView view="pageLayout" zoomScale="70" zoomScaleNormal="100" zoomScalePageLayoutView="70" workbookViewId="0">
      <selection activeCell="A4" sqref="A4:A5"/>
    </sheetView>
  </sheetViews>
  <sheetFormatPr defaultRowHeight="12.75" x14ac:dyDescent="0.2"/>
  <cols>
    <col min="1" max="1" width="9.140625" style="145"/>
    <col min="2" max="2" width="49" style="145" customWidth="1"/>
    <col min="3" max="3" width="18.85546875" style="145" customWidth="1"/>
    <col min="4" max="4" width="19.7109375" style="145" customWidth="1"/>
    <col min="5" max="5" width="15.28515625" style="145" customWidth="1"/>
    <col min="6" max="16384" width="9.140625" style="145"/>
  </cols>
  <sheetData>
    <row r="1" spans="1:5" ht="18" x14ac:dyDescent="0.25">
      <c r="A1" s="82" t="s">
        <v>1012</v>
      </c>
    </row>
    <row r="2" spans="1:5" ht="18" x14ac:dyDescent="0.25">
      <c r="A2" s="82" t="s">
        <v>815</v>
      </c>
    </row>
    <row r="4" spans="1:5" ht="15" x14ac:dyDescent="0.25">
      <c r="A4" s="214" t="s">
        <v>10</v>
      </c>
      <c r="B4" s="32"/>
      <c r="C4" s="213"/>
    </row>
    <row r="5" spans="1:5" x14ac:dyDescent="0.2">
      <c r="A5" s="77" t="s">
        <v>1098</v>
      </c>
      <c r="B5" s="67" t="s">
        <v>11</v>
      </c>
      <c r="C5" s="67" t="s">
        <v>388</v>
      </c>
      <c r="D5" s="147"/>
      <c r="E5" s="147"/>
    </row>
    <row r="6" spans="1:5" x14ac:dyDescent="0.2">
      <c r="A6" s="52"/>
      <c r="B6" s="52" t="s">
        <v>24</v>
      </c>
      <c r="C6" s="52" t="s">
        <v>25</v>
      </c>
    </row>
    <row r="7" spans="1:5" x14ac:dyDescent="0.2">
      <c r="A7" s="32"/>
      <c r="B7" s="32"/>
      <c r="C7" s="32"/>
    </row>
    <row r="8" spans="1:5" ht="15" x14ac:dyDescent="0.25">
      <c r="A8" s="214">
        <v>1</v>
      </c>
      <c r="B8" s="215" t="s">
        <v>1013</v>
      </c>
      <c r="C8" s="216">
        <f>4505.17766272/2</f>
        <v>2252.5888313599999</v>
      </c>
    </row>
    <row r="9" spans="1:5" ht="15" x14ac:dyDescent="0.25">
      <c r="A9" s="214">
        <f>A8+1</f>
        <v>2</v>
      </c>
      <c r="B9" s="215" t="s">
        <v>1014</v>
      </c>
      <c r="C9" s="217">
        <f>'FUN-1 (Results)'!J27</f>
        <v>7.6039999999999996E-2</v>
      </c>
    </row>
    <row r="10" spans="1:5" ht="15" x14ac:dyDescent="0.25">
      <c r="A10" s="214">
        <f>A9+1</f>
        <v>3</v>
      </c>
      <c r="B10" s="215" t="s">
        <v>1015</v>
      </c>
      <c r="C10" s="216">
        <f>ROUND(C8*C9,2)</f>
        <v>171.29</v>
      </c>
    </row>
    <row r="11" spans="1:5" ht="15" x14ac:dyDescent="0.25">
      <c r="A11" s="214">
        <f>A10+1</f>
        <v>4</v>
      </c>
      <c r="B11" s="215" t="s">
        <v>1016</v>
      </c>
      <c r="C11" s="216">
        <f>ROUND(C8*0.1,2)</f>
        <v>225.26</v>
      </c>
    </row>
    <row r="12" spans="1:5" ht="15" x14ac:dyDescent="0.25">
      <c r="A12" s="214">
        <f>A11+1</f>
        <v>5</v>
      </c>
      <c r="B12" s="215" t="s">
        <v>1017</v>
      </c>
      <c r="C12" s="218">
        <f>ROUND(C8*0.01,2)</f>
        <v>22.53</v>
      </c>
    </row>
    <row r="13" spans="1:5" ht="15.75" thickBot="1" x14ac:dyDescent="0.3">
      <c r="A13" s="214">
        <f>A12+1</f>
        <v>6</v>
      </c>
      <c r="B13" s="215" t="s">
        <v>1018</v>
      </c>
      <c r="C13" s="219">
        <f>SUM(C10:C12)</f>
        <v>419.07999999999993</v>
      </c>
    </row>
    <row r="14" spans="1:5" ht="15.75" thickTop="1" x14ac:dyDescent="0.25">
      <c r="A14" s="214"/>
      <c r="B14" s="215"/>
      <c r="C14" s="220"/>
    </row>
    <row r="15" spans="1:5" ht="15.75" thickBot="1" x14ac:dyDescent="0.3">
      <c r="A15" s="214">
        <v>7</v>
      </c>
      <c r="B15" s="215" t="s">
        <v>1019</v>
      </c>
      <c r="C15" s="219">
        <f>ROUND(C13/12,0)</f>
        <v>35</v>
      </c>
    </row>
    <row r="16" spans="1:5" ht="13.5" thickTop="1" x14ac:dyDescent="0.2"/>
    <row r="17" spans="1:5" x14ac:dyDescent="0.2">
      <c r="A17" s="145" t="s">
        <v>1020</v>
      </c>
    </row>
    <row r="20" spans="1:5" ht="15" x14ac:dyDescent="0.2">
      <c r="A20" s="83" t="s">
        <v>1021</v>
      </c>
    </row>
    <row r="23" spans="1:5" x14ac:dyDescent="0.2">
      <c r="A23" s="221" t="s">
        <v>10</v>
      </c>
      <c r="B23" s="221" t="s">
        <v>618</v>
      </c>
      <c r="C23" s="221" t="s">
        <v>626</v>
      </c>
      <c r="D23" s="221" t="s">
        <v>1022</v>
      </c>
      <c r="E23" s="221" t="s">
        <v>1023</v>
      </c>
    </row>
    <row r="24" spans="1:5" x14ac:dyDescent="0.2">
      <c r="B24" s="150" t="s">
        <v>24</v>
      </c>
      <c r="C24" s="150" t="s">
        <v>25</v>
      </c>
      <c r="D24" s="150" t="s">
        <v>26</v>
      </c>
      <c r="E24" s="150" t="s">
        <v>27</v>
      </c>
    </row>
    <row r="26" spans="1:5" x14ac:dyDescent="0.2">
      <c r="A26" s="151">
        <f>A15+1</f>
        <v>8</v>
      </c>
      <c r="B26" s="145" t="s">
        <v>648</v>
      </c>
      <c r="C26" s="145">
        <v>1</v>
      </c>
      <c r="D26" s="145">
        <v>11</v>
      </c>
      <c r="E26" s="173">
        <f>D26*$C$15</f>
        <v>385</v>
      </c>
    </row>
    <row r="27" spans="1:5" x14ac:dyDescent="0.2">
      <c r="A27" s="151">
        <f>A26+1</f>
        <v>9</v>
      </c>
      <c r="B27" s="145" t="s">
        <v>646</v>
      </c>
      <c r="C27" s="145">
        <v>2</v>
      </c>
      <c r="D27" s="145">
        <v>636</v>
      </c>
      <c r="E27" s="173">
        <f t="shared" ref="E27:E30" si="0">D27*$C$15</f>
        <v>22260</v>
      </c>
    </row>
    <row r="28" spans="1:5" x14ac:dyDescent="0.2">
      <c r="A28" s="151">
        <f t="shared" ref="A28:A30" si="1">A27+1</f>
        <v>10</v>
      </c>
      <c r="B28" s="145" t="s">
        <v>644</v>
      </c>
      <c r="C28" s="145">
        <v>3</v>
      </c>
      <c r="D28" s="145">
        <v>193</v>
      </c>
      <c r="E28" s="173">
        <f t="shared" si="0"/>
        <v>6755</v>
      </c>
    </row>
    <row r="29" spans="1:5" x14ac:dyDescent="0.2">
      <c r="A29" s="151">
        <f t="shared" si="1"/>
        <v>11</v>
      </c>
      <c r="B29" s="145" t="s">
        <v>638</v>
      </c>
      <c r="C29" s="145">
        <v>1</v>
      </c>
      <c r="D29" s="145">
        <v>57</v>
      </c>
      <c r="E29" s="173">
        <f t="shared" si="0"/>
        <v>1995</v>
      </c>
    </row>
    <row r="30" spans="1:5" x14ac:dyDescent="0.2">
      <c r="A30" s="151">
        <f t="shared" si="1"/>
        <v>12</v>
      </c>
      <c r="B30" s="145" t="s">
        <v>635</v>
      </c>
      <c r="C30" s="145">
        <v>3</v>
      </c>
      <c r="D30" s="145">
        <v>0</v>
      </c>
      <c r="E30" s="173">
        <f t="shared" si="0"/>
        <v>0</v>
      </c>
    </row>
    <row r="32" spans="1:5" x14ac:dyDescent="0.2">
      <c r="A32" s="145" t="s">
        <v>1024</v>
      </c>
    </row>
    <row r="33" spans="1:3" x14ac:dyDescent="0.2">
      <c r="A33" s="145" t="s">
        <v>1025</v>
      </c>
    </row>
    <row r="35" spans="1:3" x14ac:dyDescent="0.2">
      <c r="B35" s="221" t="s">
        <v>626</v>
      </c>
      <c r="C35" s="147" t="s">
        <v>1023</v>
      </c>
    </row>
    <row r="36" spans="1:3" x14ac:dyDescent="0.2">
      <c r="B36" s="150" t="s">
        <v>24</v>
      </c>
      <c r="C36" s="150" t="s">
        <v>25</v>
      </c>
    </row>
    <row r="37" spans="1:3" x14ac:dyDescent="0.2">
      <c r="A37" s="151"/>
    </row>
    <row r="38" spans="1:3" x14ac:dyDescent="0.2">
      <c r="A38" s="151">
        <f>A30+1</f>
        <v>13</v>
      </c>
      <c r="B38" s="145">
        <v>1</v>
      </c>
      <c r="C38" s="34">
        <f>SUMIF($C$26:$C$30,B38,$E$26:$E$30)</f>
        <v>2380</v>
      </c>
    </row>
    <row r="39" spans="1:3" x14ac:dyDescent="0.2">
      <c r="A39" s="151">
        <f>A38+1</f>
        <v>14</v>
      </c>
      <c r="B39" s="145">
        <v>2</v>
      </c>
      <c r="C39" s="34">
        <f t="shared" ref="C39:C40" si="2">SUMIF($C$26:$C$30,B39,$E$26:$E$30)</f>
        <v>22260</v>
      </c>
    </row>
    <row r="40" spans="1:3" x14ac:dyDescent="0.2">
      <c r="A40" s="151">
        <f>A39+1</f>
        <v>15</v>
      </c>
      <c r="B40" s="145">
        <v>3</v>
      </c>
      <c r="C40" s="34">
        <f t="shared" si="2"/>
        <v>6755</v>
      </c>
    </row>
  </sheetData>
  <pageMargins left="0.7" right="0.7" top="1.6780208333333333" bottom="0.75" header="0.3" footer="0.3"/>
  <pageSetup scale="89" orientation="landscape" r:id="rId1"/>
  <headerFooter>
    <oddHeader>&amp;CRULE 20:10:13:98
STATEMENT O WORKPAPER - Tab &amp;A
Interval Meter Rate Design
Test Year Ending December 31, 2021
Utility: MidAmerican Energy Company
Docket No. NG22-___
Individual Responsible: Amanda Hosch</oddHeader>
    <oddFooter>&amp;C20:10:13:98
Statement O Workpaper - Tab &amp;A
&amp;P of &amp;N</oddFooter>
  </headerFooter>
  <rowBreaks count="1" manualBreakCount="1">
    <brk id="19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D0048-A775-4E6F-AD2B-BC39A1C661A6}">
  <sheetPr>
    <tabColor rgb="FF7030A0"/>
  </sheetPr>
  <dimension ref="A1:M158"/>
  <sheetViews>
    <sheetView view="pageLayout" zoomScale="70" zoomScaleNormal="85" zoomScalePageLayoutView="70" workbookViewId="0">
      <selection activeCell="B8" sqref="B8"/>
    </sheetView>
  </sheetViews>
  <sheetFormatPr defaultColWidth="9.140625" defaultRowHeight="12.75" x14ac:dyDescent="0.2"/>
  <cols>
    <col min="1" max="1" width="5.5703125" style="204" customWidth="1"/>
    <col min="2" max="2" width="47.28515625" style="204" bestFit="1" customWidth="1"/>
    <col min="3" max="5" width="16.85546875" style="204" customWidth="1"/>
    <col min="6" max="6" width="24.85546875" style="204" customWidth="1"/>
    <col min="7" max="7" width="16.85546875" style="204" customWidth="1"/>
    <col min="8" max="8" width="16" style="205" customWidth="1"/>
    <col min="9" max="12" width="9.140625" style="205"/>
    <col min="13" max="13" width="10.7109375" style="205" bestFit="1" customWidth="1"/>
    <col min="14" max="16384" width="9.140625" style="205"/>
  </cols>
  <sheetData>
    <row r="1" spans="1:13" ht="18" x14ac:dyDescent="0.25">
      <c r="A1" s="82" t="s">
        <v>1026</v>
      </c>
      <c r="B1" s="137"/>
      <c r="C1" s="137"/>
      <c r="D1" s="137"/>
      <c r="E1" s="137"/>
      <c r="F1" s="137"/>
    </row>
    <row r="2" spans="1:13" ht="18" x14ac:dyDescent="0.25">
      <c r="A2" s="82" t="s">
        <v>1027</v>
      </c>
    </row>
    <row r="3" spans="1:13" ht="18" x14ac:dyDescent="0.25">
      <c r="A3" s="82" t="s">
        <v>1028</v>
      </c>
    </row>
    <row r="4" spans="1:13" ht="18" x14ac:dyDescent="0.25">
      <c r="A4" s="82"/>
      <c r="H4" s="145"/>
      <c r="I4" s="145"/>
      <c r="J4" s="145"/>
      <c r="K4" s="145"/>
      <c r="L4" s="145"/>
      <c r="M4" s="145"/>
    </row>
    <row r="5" spans="1:13" x14ac:dyDescent="0.2">
      <c r="A5" s="208" t="s">
        <v>10</v>
      </c>
      <c r="H5" s="145"/>
      <c r="I5" s="145"/>
      <c r="J5" s="145"/>
      <c r="K5" s="145"/>
      <c r="L5" s="145"/>
      <c r="M5" s="145"/>
    </row>
    <row r="6" spans="1:13" x14ac:dyDescent="0.2">
      <c r="A6" s="317" t="s">
        <v>1098</v>
      </c>
      <c r="B6" s="206" t="s">
        <v>11</v>
      </c>
      <c r="C6" s="206" t="s">
        <v>618</v>
      </c>
      <c r="D6" s="206" t="s">
        <v>1029</v>
      </c>
      <c r="E6" s="206" t="s">
        <v>1030</v>
      </c>
      <c r="F6" s="206" t="s">
        <v>1031</v>
      </c>
      <c r="H6" s="145"/>
      <c r="I6" s="145"/>
      <c r="J6" s="145"/>
      <c r="K6" s="145"/>
      <c r="L6" s="145"/>
      <c r="M6" s="145"/>
    </row>
    <row r="7" spans="1:13" x14ac:dyDescent="0.2">
      <c r="B7" s="207" t="s">
        <v>24</v>
      </c>
      <c r="C7" s="207" t="s">
        <v>25</v>
      </c>
      <c r="D7" s="207" t="s">
        <v>26</v>
      </c>
      <c r="E7" s="207" t="s">
        <v>27</v>
      </c>
      <c r="F7" s="207" t="s">
        <v>28</v>
      </c>
      <c r="H7" s="145"/>
      <c r="I7" s="145"/>
      <c r="J7" s="145"/>
      <c r="K7" s="145"/>
      <c r="L7" s="145"/>
      <c r="M7" s="145"/>
    </row>
    <row r="8" spans="1:13" x14ac:dyDescent="0.2">
      <c r="H8" s="145"/>
      <c r="I8" s="145"/>
      <c r="J8" s="145"/>
      <c r="K8" s="145"/>
      <c r="L8" s="145"/>
      <c r="M8" s="145"/>
    </row>
    <row r="9" spans="1:13" x14ac:dyDescent="0.2">
      <c r="A9" s="208">
        <v>1</v>
      </c>
      <c r="B9" s="138">
        <v>2021</v>
      </c>
      <c r="H9" s="145"/>
      <c r="I9" s="145"/>
      <c r="J9" s="145"/>
      <c r="K9" s="145"/>
      <c r="L9" s="145"/>
      <c r="M9" s="145"/>
    </row>
    <row r="10" spans="1:13" x14ac:dyDescent="0.2">
      <c r="A10" s="208"/>
      <c r="C10" s="139"/>
      <c r="D10" s="139"/>
      <c r="E10" s="139"/>
      <c r="F10" s="139"/>
      <c r="H10" s="145"/>
      <c r="I10" s="145"/>
      <c r="J10" s="145"/>
      <c r="K10" s="145"/>
      <c r="L10" s="145"/>
      <c r="M10" s="145"/>
    </row>
    <row r="11" spans="1:13" x14ac:dyDescent="0.2">
      <c r="A11" s="208">
        <f>+A9+1</f>
        <v>2</v>
      </c>
      <c r="B11" s="204" t="s">
        <v>1032</v>
      </c>
      <c r="C11" s="140">
        <v>7.2</v>
      </c>
      <c r="D11" s="140">
        <f>C11*(1.23422)</f>
        <v>8.8863840000000014</v>
      </c>
      <c r="E11" s="209">
        <f>160.25</f>
        <v>160.25</v>
      </c>
      <c r="F11" s="210">
        <f>E11*D11*12</f>
        <v>17088.516432000004</v>
      </c>
      <c r="H11" s="145"/>
      <c r="I11" s="145"/>
      <c r="J11" s="145"/>
      <c r="K11" s="145"/>
      <c r="L11" s="145"/>
      <c r="M11" s="145"/>
    </row>
    <row r="12" spans="1:13" x14ac:dyDescent="0.2">
      <c r="A12" s="208">
        <f>+A11+1</f>
        <v>3</v>
      </c>
      <c r="B12" s="204" t="s">
        <v>1033</v>
      </c>
      <c r="C12" s="141">
        <v>0.25990999999999997</v>
      </c>
      <c r="D12" s="141">
        <f>C12*(1.23422)</f>
        <v>0.32078612019999997</v>
      </c>
      <c r="E12" s="209">
        <f>229170.61</f>
        <v>229170.61</v>
      </c>
      <c r="F12" s="210">
        <f>E12*D12</f>
        <v>73514.75084576731</v>
      </c>
      <c r="H12" s="145"/>
      <c r="I12" s="145"/>
      <c r="J12" s="145"/>
      <c r="K12" s="145"/>
      <c r="L12" s="145"/>
      <c r="M12" s="145"/>
    </row>
    <row r="13" spans="1:13" x14ac:dyDescent="0.2">
      <c r="A13" s="208">
        <f>+A12+1</f>
        <v>4</v>
      </c>
      <c r="B13" s="211" t="s">
        <v>1034</v>
      </c>
      <c r="F13" s="142">
        <f>SUM(F11:F12)</f>
        <v>90603.267277767314</v>
      </c>
      <c r="H13" s="145"/>
      <c r="I13" s="145"/>
      <c r="J13" s="145"/>
      <c r="K13" s="145"/>
      <c r="L13" s="145"/>
      <c r="M13" s="145"/>
    </row>
    <row r="14" spans="1:13" ht="13.5" thickBot="1" x14ac:dyDescent="0.25">
      <c r="A14" s="208"/>
      <c r="B14" s="211"/>
      <c r="F14" s="143"/>
      <c r="H14" s="145"/>
      <c r="I14" s="145"/>
      <c r="J14" s="145"/>
      <c r="K14" s="145"/>
      <c r="L14" s="145"/>
      <c r="M14" s="145"/>
    </row>
    <row r="15" spans="1:13" ht="13.5" thickBot="1" x14ac:dyDescent="0.25">
      <c r="A15" s="208">
        <f>+A13+1</f>
        <v>5</v>
      </c>
      <c r="B15" s="208" t="s">
        <v>1035</v>
      </c>
      <c r="F15" s="144">
        <f>F13</f>
        <v>90603.267277767314</v>
      </c>
      <c r="H15" s="145"/>
      <c r="I15" s="145"/>
      <c r="J15" s="145"/>
      <c r="K15" s="145"/>
      <c r="L15" s="145"/>
      <c r="M15" s="145"/>
    </row>
    <row r="16" spans="1:13" x14ac:dyDescent="0.2">
      <c r="A16" s="208"/>
      <c r="H16" s="145"/>
      <c r="I16" s="145"/>
      <c r="J16" s="145"/>
      <c r="K16" s="145"/>
      <c r="L16" s="145"/>
      <c r="M16" s="145"/>
    </row>
    <row r="17" spans="1:13" x14ac:dyDescent="0.2">
      <c r="A17" s="208">
        <f>+A15+1</f>
        <v>6</v>
      </c>
      <c r="B17" s="204" t="s">
        <v>1036</v>
      </c>
      <c r="C17" s="210">
        <v>707.79227175025471</v>
      </c>
      <c r="D17" s="210">
        <f>C17*(1.23422)</f>
        <v>873.5713776395994</v>
      </c>
      <c r="E17" s="212">
        <f>+E11</f>
        <v>160.25</v>
      </c>
      <c r="F17" s="210">
        <f>E17*D17</f>
        <v>139989.8132667458</v>
      </c>
      <c r="H17" s="145"/>
      <c r="I17" s="145"/>
      <c r="J17" s="145"/>
      <c r="K17" s="145"/>
      <c r="L17" s="145"/>
      <c r="M17" s="145"/>
    </row>
    <row r="18" spans="1:13" x14ac:dyDescent="0.2">
      <c r="A18" s="208">
        <f>+A17+1</f>
        <v>7</v>
      </c>
      <c r="B18" s="204" t="s">
        <v>1037</v>
      </c>
      <c r="C18" s="210">
        <v>65.470785136898556</v>
      </c>
      <c r="D18" s="210">
        <f>C18*(1.23422)</f>
        <v>80.805352431662939</v>
      </c>
      <c r="E18" s="212">
        <f>+E17</f>
        <v>160.25</v>
      </c>
      <c r="F18" s="210">
        <f>E18*D18</f>
        <v>12949.057727173986</v>
      </c>
      <c r="H18" s="145"/>
      <c r="I18" s="145"/>
      <c r="J18" s="145"/>
      <c r="K18" s="145"/>
      <c r="L18" s="145"/>
      <c r="M18" s="145"/>
    </row>
    <row r="19" spans="1:13" x14ac:dyDescent="0.2">
      <c r="A19" s="208">
        <f>+A18+1</f>
        <v>8</v>
      </c>
      <c r="B19" s="211" t="s">
        <v>1038</v>
      </c>
      <c r="F19" s="142">
        <f>SUM(F17:F18)</f>
        <v>152938.87099391979</v>
      </c>
      <c r="H19" s="145"/>
      <c r="I19" s="145"/>
      <c r="J19" s="145"/>
      <c r="K19" s="145"/>
      <c r="L19" s="145"/>
      <c r="M19" s="145"/>
    </row>
    <row r="20" spans="1:13" x14ac:dyDescent="0.2">
      <c r="A20" s="208"/>
      <c r="B20" s="211"/>
      <c r="F20" s="143"/>
      <c r="H20" s="145"/>
      <c r="I20" s="145"/>
      <c r="J20" s="145"/>
      <c r="K20" s="145"/>
      <c r="L20" s="145"/>
      <c r="M20" s="145"/>
    </row>
    <row r="21" spans="1:13" ht="13.5" thickBot="1" x14ac:dyDescent="0.25">
      <c r="A21" s="208"/>
      <c r="B21" s="211"/>
      <c r="F21" s="143"/>
      <c r="H21" s="145"/>
      <c r="I21" s="145"/>
      <c r="J21" s="145"/>
      <c r="K21" s="145"/>
      <c r="L21" s="145"/>
      <c r="M21" s="145"/>
    </row>
    <row r="22" spans="1:13" ht="13.5" thickBot="1" x14ac:dyDescent="0.25">
      <c r="A22" s="208">
        <f>+A19+1</f>
        <v>9</v>
      </c>
      <c r="B22" s="208" t="s">
        <v>1039</v>
      </c>
      <c r="F22" s="144">
        <f>+F19</f>
        <v>152938.87099391979</v>
      </c>
      <c r="H22" s="145"/>
      <c r="I22" s="145"/>
      <c r="J22" s="145"/>
      <c r="K22" s="145"/>
      <c r="L22" s="145"/>
      <c r="M22" s="145"/>
    </row>
    <row r="23" spans="1:13" ht="13.5" thickBot="1" x14ac:dyDescent="0.25">
      <c r="A23" s="208"/>
      <c r="H23" s="145"/>
      <c r="I23" s="145"/>
      <c r="J23" s="145"/>
      <c r="K23" s="145"/>
      <c r="L23" s="145"/>
      <c r="M23" s="145"/>
    </row>
    <row r="24" spans="1:13" ht="13.5" thickBot="1" x14ac:dyDescent="0.25">
      <c r="A24" s="208">
        <f>+A22+1</f>
        <v>10</v>
      </c>
      <c r="B24" s="204" t="s">
        <v>1040</v>
      </c>
      <c r="F24" s="144">
        <f>F22-F15</f>
        <v>62335.603716152473</v>
      </c>
      <c r="H24" s="145"/>
      <c r="I24" s="145"/>
      <c r="J24" s="145"/>
      <c r="K24" s="145"/>
      <c r="L24" s="145"/>
      <c r="M24" s="145"/>
    </row>
    <row r="25" spans="1:13" x14ac:dyDescent="0.2">
      <c r="A25" s="208"/>
      <c r="H25" s="145"/>
      <c r="I25" s="145"/>
      <c r="J25" s="145"/>
      <c r="K25" s="145"/>
      <c r="L25" s="145"/>
      <c r="M25" s="145"/>
    </row>
    <row r="26" spans="1:13" x14ac:dyDescent="0.2">
      <c r="A26" s="208"/>
      <c r="H26" s="145"/>
      <c r="I26" s="145"/>
      <c r="J26" s="145"/>
      <c r="K26" s="145"/>
      <c r="L26" s="145"/>
      <c r="M26" s="145"/>
    </row>
    <row r="27" spans="1:13" x14ac:dyDescent="0.2">
      <c r="A27" s="208"/>
      <c r="H27" s="145"/>
      <c r="I27" s="145"/>
      <c r="J27" s="145"/>
      <c r="K27" s="145"/>
      <c r="L27" s="145"/>
      <c r="M27" s="145"/>
    </row>
    <row r="28" spans="1:13" x14ac:dyDescent="0.2">
      <c r="A28" s="208">
        <f>+A24+1</f>
        <v>11</v>
      </c>
      <c r="B28" s="138">
        <v>2022</v>
      </c>
      <c r="C28" s="206" t="s">
        <v>618</v>
      </c>
      <c r="D28" s="206" t="s">
        <v>1029</v>
      </c>
      <c r="E28" s="206" t="s">
        <v>1030</v>
      </c>
      <c r="F28" s="206" t="s">
        <v>1031</v>
      </c>
      <c r="H28" s="145"/>
      <c r="I28" s="145"/>
      <c r="J28" s="145"/>
      <c r="K28" s="145"/>
      <c r="L28" s="145"/>
      <c r="M28" s="145"/>
    </row>
    <row r="29" spans="1:13" x14ac:dyDescent="0.2">
      <c r="A29" s="208"/>
      <c r="C29" s="139"/>
      <c r="D29" s="139"/>
      <c r="E29" s="139"/>
      <c r="F29" s="139"/>
      <c r="H29" s="145"/>
      <c r="I29" s="145"/>
      <c r="J29" s="145"/>
      <c r="K29" s="145"/>
      <c r="L29" s="145"/>
      <c r="M29" s="145"/>
    </row>
    <row r="30" spans="1:13" x14ac:dyDescent="0.2">
      <c r="A30" s="208">
        <f>+A28+1</f>
        <v>12</v>
      </c>
      <c r="B30" s="204" t="s">
        <v>1032</v>
      </c>
      <c r="C30" s="140">
        <v>7.6</v>
      </c>
      <c r="D30" s="140">
        <f>D11*(1.07766059479809)</f>
        <v>9.5765058670442311</v>
      </c>
      <c r="E30" s="209">
        <f>160.25</f>
        <v>160.25</v>
      </c>
      <c r="F30" s="210">
        <f>E30*D30*12</f>
        <v>18415.620782326056</v>
      </c>
      <c r="H30" s="145"/>
      <c r="I30" s="145"/>
      <c r="J30" s="145"/>
      <c r="K30" s="145"/>
      <c r="L30" s="145"/>
      <c r="M30" s="145"/>
    </row>
    <row r="31" spans="1:13" x14ac:dyDescent="0.2">
      <c r="A31" s="208">
        <f>+A30+1</f>
        <v>13</v>
      </c>
      <c r="B31" s="204" t="s">
        <v>1033</v>
      </c>
      <c r="C31" s="141">
        <v>0.27904000000000001</v>
      </c>
      <c r="D31" s="141">
        <f>D12*(1.07766059479809)</f>
        <v>0.34569856109770353</v>
      </c>
      <c r="E31" s="209">
        <f>229170.61</f>
        <v>229170.61</v>
      </c>
      <c r="F31" s="210">
        <f>E31*D31</f>
        <v>79223.950122882976</v>
      </c>
      <c r="H31" s="145"/>
      <c r="I31" s="145"/>
      <c r="J31" s="145"/>
      <c r="K31" s="145"/>
      <c r="L31" s="145"/>
      <c r="M31" s="145"/>
    </row>
    <row r="32" spans="1:13" x14ac:dyDescent="0.2">
      <c r="A32" s="208">
        <f>+A31+1</f>
        <v>14</v>
      </c>
      <c r="B32" s="211" t="s">
        <v>1034</v>
      </c>
      <c r="F32" s="142">
        <f>SUM(F30:F31)</f>
        <v>97639.570905209024</v>
      </c>
      <c r="H32" s="145"/>
      <c r="I32" s="145"/>
      <c r="J32" s="145"/>
      <c r="K32" s="145"/>
      <c r="L32" s="145"/>
      <c r="M32" s="145"/>
    </row>
    <row r="33" spans="1:13" ht="13.5" thickBot="1" x14ac:dyDescent="0.25">
      <c r="A33" s="208"/>
      <c r="B33" s="211"/>
      <c r="F33" s="143"/>
      <c r="H33" s="145"/>
      <c r="I33" s="145"/>
      <c r="J33" s="145"/>
      <c r="K33" s="145"/>
      <c r="L33" s="145"/>
      <c r="M33" s="145"/>
    </row>
    <row r="34" spans="1:13" ht="13.5" thickBot="1" x14ac:dyDescent="0.25">
      <c r="A34" s="208">
        <f>+A32+1</f>
        <v>15</v>
      </c>
      <c r="B34" s="208" t="s">
        <v>1035</v>
      </c>
      <c r="F34" s="144">
        <f>F32</f>
        <v>97639.570905209024</v>
      </c>
      <c r="H34" s="145"/>
      <c r="I34" s="145"/>
      <c r="J34" s="145"/>
      <c r="K34" s="145"/>
      <c r="L34" s="145"/>
      <c r="M34" s="145"/>
    </row>
    <row r="35" spans="1:13" x14ac:dyDescent="0.2">
      <c r="A35" s="208"/>
      <c r="H35" s="145"/>
      <c r="I35" s="145"/>
      <c r="J35" s="145"/>
      <c r="K35" s="145"/>
      <c r="L35" s="145"/>
      <c r="M35" s="145"/>
    </row>
    <row r="36" spans="1:13" x14ac:dyDescent="0.2">
      <c r="A36" s="208">
        <f>+A34+1</f>
        <v>16</v>
      </c>
      <c r="B36" s="204" t="s">
        <v>1036</v>
      </c>
      <c r="C36" s="210">
        <v>707.79227175025471</v>
      </c>
      <c r="D36" s="210">
        <f>C36*(1.23422)</f>
        <v>873.5713776395994</v>
      </c>
      <c r="E36" s="212">
        <f>+E30</f>
        <v>160.25</v>
      </c>
      <c r="F36" s="210">
        <f>E36*D36</f>
        <v>139989.8132667458</v>
      </c>
      <c r="H36" s="145"/>
      <c r="I36" s="145"/>
      <c r="J36" s="145"/>
      <c r="K36" s="145"/>
      <c r="L36" s="145"/>
      <c r="M36" s="145"/>
    </row>
    <row r="37" spans="1:13" x14ac:dyDescent="0.2">
      <c r="A37" s="208">
        <f>+A36+1</f>
        <v>17</v>
      </c>
      <c r="B37" s="204" t="s">
        <v>1037</v>
      </c>
      <c r="C37" s="210">
        <v>65.470785136898556</v>
      </c>
      <c r="D37" s="210">
        <f>C37*(1.23422)</f>
        <v>80.805352431662939</v>
      </c>
      <c r="E37" s="212">
        <f>+E36</f>
        <v>160.25</v>
      </c>
      <c r="F37" s="210">
        <f>E37*D37</f>
        <v>12949.057727173986</v>
      </c>
      <c r="H37" s="145"/>
      <c r="I37" s="145"/>
      <c r="J37" s="145"/>
      <c r="K37" s="145"/>
      <c r="L37" s="145"/>
      <c r="M37" s="145"/>
    </row>
    <row r="38" spans="1:13" x14ac:dyDescent="0.2">
      <c r="A38" s="208">
        <f>+A37+1</f>
        <v>18</v>
      </c>
      <c r="B38" s="211" t="s">
        <v>1038</v>
      </c>
      <c r="F38" s="142">
        <f>SUM(F36:F37)</f>
        <v>152938.87099391979</v>
      </c>
      <c r="H38" s="145"/>
      <c r="I38" s="145"/>
      <c r="J38" s="145"/>
      <c r="K38" s="145"/>
      <c r="L38" s="145"/>
      <c r="M38" s="145"/>
    </row>
    <row r="39" spans="1:13" x14ac:dyDescent="0.2">
      <c r="A39" s="208"/>
      <c r="B39" s="211"/>
      <c r="F39" s="143"/>
      <c r="H39" s="145"/>
      <c r="I39" s="145"/>
      <c r="J39" s="145"/>
      <c r="K39" s="145"/>
      <c r="L39" s="145"/>
      <c r="M39" s="145"/>
    </row>
    <row r="40" spans="1:13" ht="13.5" thickBot="1" x14ac:dyDescent="0.25">
      <c r="A40" s="208"/>
      <c r="B40" s="211"/>
      <c r="F40" s="143"/>
      <c r="H40" s="145"/>
      <c r="I40" s="145"/>
      <c r="J40" s="145"/>
      <c r="K40" s="145"/>
      <c r="L40" s="145"/>
      <c r="M40" s="145"/>
    </row>
    <row r="41" spans="1:13" ht="13.5" thickBot="1" x14ac:dyDescent="0.25">
      <c r="A41" s="208">
        <f>+A38+1</f>
        <v>19</v>
      </c>
      <c r="B41" s="208" t="s">
        <v>1039</v>
      </c>
      <c r="F41" s="144">
        <f>+F38</f>
        <v>152938.87099391979</v>
      </c>
      <c r="H41" s="145"/>
      <c r="I41" s="145"/>
      <c r="J41" s="145"/>
      <c r="K41" s="145"/>
      <c r="L41" s="145"/>
      <c r="M41" s="145"/>
    </row>
    <row r="42" spans="1:13" ht="13.5" thickBot="1" x14ac:dyDescent="0.25">
      <c r="A42" s="208"/>
      <c r="H42" s="145"/>
      <c r="I42" s="145"/>
      <c r="J42" s="145"/>
      <c r="K42" s="145"/>
      <c r="L42" s="145"/>
      <c r="M42" s="145"/>
    </row>
    <row r="43" spans="1:13" ht="13.5" thickBot="1" x14ac:dyDescent="0.25">
      <c r="A43" s="208">
        <f>+A41+1</f>
        <v>20</v>
      </c>
      <c r="B43" s="204" t="s">
        <v>1040</v>
      </c>
      <c r="F43" s="144">
        <f>F41-F34</f>
        <v>55299.300088710763</v>
      </c>
      <c r="H43" s="145"/>
      <c r="I43" s="145"/>
      <c r="J43" s="145"/>
      <c r="K43" s="145"/>
      <c r="L43" s="145"/>
      <c r="M43" s="145"/>
    </row>
    <row r="44" spans="1:13" x14ac:dyDescent="0.2">
      <c r="A44" s="208"/>
      <c r="H44" s="145"/>
      <c r="I44" s="145"/>
      <c r="J44" s="145"/>
      <c r="K44" s="145"/>
      <c r="L44" s="145"/>
      <c r="M44" s="145"/>
    </row>
    <row r="45" spans="1:13" x14ac:dyDescent="0.2">
      <c r="A45" s="208"/>
      <c r="H45" s="145"/>
      <c r="I45" s="145"/>
      <c r="J45" s="145"/>
      <c r="K45" s="145"/>
      <c r="L45" s="145"/>
      <c r="M45" s="145"/>
    </row>
    <row r="46" spans="1:13" x14ac:dyDescent="0.2">
      <c r="A46" s="208"/>
      <c r="H46" s="145"/>
      <c r="I46" s="145"/>
      <c r="J46" s="145"/>
      <c r="K46" s="145"/>
      <c r="L46" s="145"/>
      <c r="M46" s="145"/>
    </row>
    <row r="47" spans="1:13" x14ac:dyDescent="0.2">
      <c r="A47" s="208">
        <f>+A43+1</f>
        <v>21</v>
      </c>
      <c r="B47" s="138">
        <v>2023</v>
      </c>
      <c r="C47" s="206" t="s">
        <v>618</v>
      </c>
      <c r="D47" s="206" t="s">
        <v>1029</v>
      </c>
      <c r="E47" s="206" t="s">
        <v>1030</v>
      </c>
      <c r="F47" s="206" t="s">
        <v>1031</v>
      </c>
      <c r="H47" s="145"/>
      <c r="I47" s="145"/>
      <c r="J47" s="145"/>
      <c r="K47" s="145"/>
      <c r="L47" s="145"/>
      <c r="M47" s="145"/>
    </row>
    <row r="48" spans="1:13" x14ac:dyDescent="0.2">
      <c r="A48" s="208"/>
      <c r="C48" s="139"/>
      <c r="D48" s="139"/>
      <c r="E48" s="139"/>
      <c r="F48" s="139"/>
      <c r="H48" s="145"/>
      <c r="I48" s="145"/>
      <c r="J48" s="145"/>
      <c r="K48" s="145"/>
      <c r="L48" s="145"/>
      <c r="M48" s="145"/>
    </row>
    <row r="49" spans="1:13" x14ac:dyDescent="0.2">
      <c r="A49" s="208">
        <f>+A47+1</f>
        <v>22</v>
      </c>
      <c r="B49" s="204" t="s">
        <v>1032</v>
      </c>
      <c r="C49" s="140">
        <v>8</v>
      </c>
      <c r="D49" s="140">
        <f>D30*(1.07766059479809)</f>
        <v>10.320223008766284</v>
      </c>
      <c r="E49" s="209">
        <f>160.25</f>
        <v>160.25</v>
      </c>
      <c r="F49" s="210">
        <f>E49*D49*12</f>
        <v>19845.788845857565</v>
      </c>
      <c r="H49" s="145"/>
      <c r="I49" s="145"/>
      <c r="J49" s="145"/>
      <c r="K49" s="145"/>
      <c r="L49" s="145"/>
      <c r="M49" s="145"/>
    </row>
    <row r="50" spans="1:13" x14ac:dyDescent="0.2">
      <c r="A50" s="208">
        <f>+A49+1</f>
        <v>23</v>
      </c>
      <c r="B50" s="204" t="s">
        <v>1033</v>
      </c>
      <c r="C50" s="141">
        <v>0.29957</v>
      </c>
      <c r="D50" s="141">
        <f>D31*(1.07766059479809)</f>
        <v>0.372545716973395</v>
      </c>
      <c r="E50" s="209">
        <f>229170.61</f>
        <v>229170.61</v>
      </c>
      <c r="F50" s="210">
        <f>E50*D50</f>
        <v>85376.529211680288</v>
      </c>
      <c r="H50" s="145"/>
      <c r="I50" s="145"/>
      <c r="J50" s="145"/>
      <c r="K50" s="145"/>
      <c r="L50" s="145"/>
      <c r="M50" s="145"/>
    </row>
    <row r="51" spans="1:13" x14ac:dyDescent="0.2">
      <c r="A51" s="208">
        <f>+A50+1</f>
        <v>24</v>
      </c>
      <c r="B51" s="211" t="s">
        <v>1034</v>
      </c>
      <c r="F51" s="142">
        <f>SUM(F49:F50)</f>
        <v>105222.31805753785</v>
      </c>
      <c r="H51" s="145"/>
      <c r="I51" s="145"/>
      <c r="J51" s="145"/>
      <c r="K51" s="145"/>
      <c r="L51" s="145"/>
      <c r="M51" s="145"/>
    </row>
    <row r="52" spans="1:13" ht="13.5" thickBot="1" x14ac:dyDescent="0.25">
      <c r="A52" s="208"/>
      <c r="B52" s="211"/>
      <c r="F52" s="143"/>
    </row>
    <row r="53" spans="1:13" ht="13.5" thickBot="1" x14ac:dyDescent="0.25">
      <c r="A53" s="208">
        <f>+A51+1</f>
        <v>25</v>
      </c>
      <c r="B53" s="208" t="s">
        <v>1035</v>
      </c>
      <c r="F53" s="144">
        <f>F51</f>
        <v>105222.31805753785</v>
      </c>
    </row>
    <row r="54" spans="1:13" x14ac:dyDescent="0.2">
      <c r="A54" s="208"/>
    </row>
    <row r="55" spans="1:13" x14ac:dyDescent="0.2">
      <c r="A55" s="208">
        <f>+A53+1</f>
        <v>26</v>
      </c>
      <c r="B55" s="204" t="s">
        <v>1036</v>
      </c>
      <c r="C55" s="210">
        <v>707.79227175025471</v>
      </c>
      <c r="D55" s="210">
        <f>C55*(1.23422)</f>
        <v>873.5713776395994</v>
      </c>
      <c r="E55" s="212">
        <f>+E49</f>
        <v>160.25</v>
      </c>
      <c r="F55" s="210">
        <f>E55*D55</f>
        <v>139989.8132667458</v>
      </c>
    </row>
    <row r="56" spans="1:13" x14ac:dyDescent="0.2">
      <c r="A56" s="208">
        <f>+A55+1</f>
        <v>27</v>
      </c>
      <c r="B56" s="204" t="s">
        <v>1037</v>
      </c>
      <c r="C56" s="210">
        <v>65.470785136898556</v>
      </c>
      <c r="D56" s="210">
        <f>C56*(1.23422)</f>
        <v>80.805352431662939</v>
      </c>
      <c r="E56" s="212">
        <f>+E55</f>
        <v>160.25</v>
      </c>
      <c r="F56" s="210">
        <f>E56*D56</f>
        <v>12949.057727173986</v>
      </c>
    </row>
    <row r="57" spans="1:13" x14ac:dyDescent="0.2">
      <c r="A57" s="208">
        <f>+A56+1</f>
        <v>28</v>
      </c>
      <c r="B57" s="211" t="s">
        <v>1038</v>
      </c>
      <c r="F57" s="142">
        <f>SUM(F55:F56)</f>
        <v>152938.87099391979</v>
      </c>
    </row>
    <row r="58" spans="1:13" x14ac:dyDescent="0.2">
      <c r="A58" s="208"/>
      <c r="B58" s="211"/>
      <c r="F58" s="143"/>
    </row>
    <row r="59" spans="1:13" ht="13.5" thickBot="1" x14ac:dyDescent="0.25">
      <c r="A59" s="208"/>
      <c r="B59" s="211"/>
      <c r="F59" s="143"/>
    </row>
    <row r="60" spans="1:13" ht="13.5" thickBot="1" x14ac:dyDescent="0.25">
      <c r="A60" s="208">
        <f>+A57+1</f>
        <v>29</v>
      </c>
      <c r="B60" s="208" t="s">
        <v>1039</v>
      </c>
      <c r="F60" s="144">
        <f>+F57</f>
        <v>152938.87099391979</v>
      </c>
    </row>
    <row r="61" spans="1:13" ht="13.5" thickBot="1" x14ac:dyDescent="0.25">
      <c r="A61" s="208"/>
    </row>
    <row r="62" spans="1:13" ht="13.5" thickBot="1" x14ac:dyDescent="0.25">
      <c r="A62" s="208">
        <f>+A60+1</f>
        <v>30</v>
      </c>
      <c r="B62" s="204" t="s">
        <v>1040</v>
      </c>
      <c r="F62" s="144">
        <f>F60-F53</f>
        <v>47716.552936381937</v>
      </c>
    </row>
    <row r="63" spans="1:13" x14ac:dyDescent="0.2">
      <c r="A63" s="208"/>
    </row>
    <row r="64" spans="1:13" x14ac:dyDescent="0.2">
      <c r="A64" s="208"/>
    </row>
    <row r="65" spans="1:6" x14ac:dyDescent="0.2">
      <c r="A65" s="208"/>
    </row>
    <row r="66" spans="1:6" x14ac:dyDescent="0.2">
      <c r="A66" s="208">
        <f>+A62+1</f>
        <v>31</v>
      </c>
      <c r="B66" s="138">
        <v>2024</v>
      </c>
      <c r="C66" s="206" t="s">
        <v>618</v>
      </c>
      <c r="D66" s="206" t="s">
        <v>1029</v>
      </c>
      <c r="E66" s="206" t="s">
        <v>1030</v>
      </c>
      <c r="F66" s="206" t="s">
        <v>1031</v>
      </c>
    </row>
    <row r="67" spans="1:6" x14ac:dyDescent="0.2">
      <c r="A67" s="208"/>
      <c r="C67" s="139"/>
      <c r="D67" s="139"/>
      <c r="E67" s="139"/>
      <c r="F67" s="139"/>
    </row>
    <row r="68" spans="1:6" x14ac:dyDescent="0.2">
      <c r="A68" s="208">
        <f>+A66+1</f>
        <v>32</v>
      </c>
      <c r="B68" s="204" t="s">
        <v>1032</v>
      </c>
      <c r="C68" s="140">
        <v>8.4</v>
      </c>
      <c r="D68" s="140">
        <f>D49*(1.07766059479809)</f>
        <v>11.121697666076008</v>
      </c>
      <c r="E68" s="209">
        <f>160.25</f>
        <v>160.25</v>
      </c>
      <c r="F68" s="210">
        <f>E68*D68*12</f>
        <v>21387.024611864166</v>
      </c>
    </row>
    <row r="69" spans="1:6" x14ac:dyDescent="0.2">
      <c r="A69" s="208">
        <f>+A68+1</f>
        <v>33</v>
      </c>
      <c r="B69" s="204" t="s">
        <v>1033</v>
      </c>
      <c r="C69" s="141">
        <v>0.32161000000000001</v>
      </c>
      <c r="D69" s="141">
        <f>D50*(1.07766059479809)</f>
        <v>0.40147783894302974</v>
      </c>
      <c r="E69" s="209">
        <f>229170.61</f>
        <v>229170.61</v>
      </c>
      <c r="F69" s="210">
        <f>E69*D69</f>
        <v>92006.921252055879</v>
      </c>
    </row>
    <row r="70" spans="1:6" x14ac:dyDescent="0.2">
      <c r="A70" s="208">
        <f>+A69+1</f>
        <v>34</v>
      </c>
      <c r="B70" s="211" t="s">
        <v>1034</v>
      </c>
      <c r="F70" s="142">
        <f>SUM(F68:F69)</f>
        <v>113393.94586392005</v>
      </c>
    </row>
    <row r="71" spans="1:6" ht="13.5" thickBot="1" x14ac:dyDescent="0.25">
      <c r="A71" s="208"/>
      <c r="B71" s="211"/>
      <c r="F71" s="143"/>
    </row>
    <row r="72" spans="1:6" ht="13.5" thickBot="1" x14ac:dyDescent="0.25">
      <c r="A72" s="208">
        <f>+A70+1</f>
        <v>35</v>
      </c>
      <c r="B72" s="208" t="s">
        <v>1035</v>
      </c>
      <c r="F72" s="144">
        <f>F70</f>
        <v>113393.94586392005</v>
      </c>
    </row>
    <row r="73" spans="1:6" x14ac:dyDescent="0.2">
      <c r="A73" s="208"/>
    </row>
    <row r="74" spans="1:6" x14ac:dyDescent="0.2">
      <c r="A74" s="208">
        <f>+A72+1</f>
        <v>36</v>
      </c>
      <c r="B74" s="204" t="s">
        <v>1036</v>
      </c>
      <c r="C74" s="210">
        <v>707.79227175025471</v>
      </c>
      <c r="D74" s="210">
        <f>C74*(1.23422)</f>
        <v>873.5713776395994</v>
      </c>
      <c r="E74" s="212">
        <f>+E68</f>
        <v>160.25</v>
      </c>
      <c r="F74" s="210">
        <f>E74*D74</f>
        <v>139989.8132667458</v>
      </c>
    </row>
    <row r="75" spans="1:6" x14ac:dyDescent="0.2">
      <c r="A75" s="208">
        <f>+A74+1</f>
        <v>37</v>
      </c>
      <c r="B75" s="204" t="s">
        <v>1037</v>
      </c>
      <c r="C75" s="210">
        <v>65.470785136898556</v>
      </c>
      <c r="D75" s="210">
        <f>C75*(1.23422)</f>
        <v>80.805352431662939</v>
      </c>
      <c r="E75" s="212">
        <f>+E74</f>
        <v>160.25</v>
      </c>
      <c r="F75" s="210">
        <f>E75*D75</f>
        <v>12949.057727173986</v>
      </c>
    </row>
    <row r="76" spans="1:6" x14ac:dyDescent="0.2">
      <c r="A76" s="208">
        <f>+A75+1</f>
        <v>38</v>
      </c>
      <c r="B76" s="211" t="s">
        <v>1038</v>
      </c>
      <c r="F76" s="142">
        <f>SUM(F74:F75)</f>
        <v>152938.87099391979</v>
      </c>
    </row>
    <row r="77" spans="1:6" x14ac:dyDescent="0.2">
      <c r="A77" s="208"/>
      <c r="B77" s="211"/>
      <c r="F77" s="143"/>
    </row>
    <row r="78" spans="1:6" ht="13.5" thickBot="1" x14ac:dyDescent="0.25">
      <c r="A78" s="208"/>
      <c r="B78" s="211"/>
      <c r="F78" s="143"/>
    </row>
    <row r="79" spans="1:6" ht="13.5" thickBot="1" x14ac:dyDescent="0.25">
      <c r="A79" s="208">
        <f>+A76+1</f>
        <v>39</v>
      </c>
      <c r="B79" s="208" t="s">
        <v>1039</v>
      </c>
      <c r="F79" s="144">
        <f>+F76</f>
        <v>152938.87099391979</v>
      </c>
    </row>
    <row r="80" spans="1:6" ht="13.5" thickBot="1" x14ac:dyDescent="0.25">
      <c r="A80" s="208"/>
    </row>
    <row r="81" spans="1:6" ht="13.5" thickBot="1" x14ac:dyDescent="0.25">
      <c r="A81" s="208">
        <f>+A79+1</f>
        <v>40</v>
      </c>
      <c r="B81" s="204" t="s">
        <v>1040</v>
      </c>
      <c r="F81" s="144">
        <f>F79-F72</f>
        <v>39544.925129999741</v>
      </c>
    </row>
    <row r="82" spans="1:6" x14ac:dyDescent="0.2">
      <c r="A82" s="208"/>
    </row>
    <row r="83" spans="1:6" x14ac:dyDescent="0.2">
      <c r="A83" s="208"/>
    </row>
    <row r="84" spans="1:6" x14ac:dyDescent="0.2">
      <c r="A84" s="208"/>
    </row>
    <row r="85" spans="1:6" x14ac:dyDescent="0.2">
      <c r="A85" s="208">
        <f>+A81+1</f>
        <v>41</v>
      </c>
      <c r="B85" s="138">
        <v>2025</v>
      </c>
      <c r="C85" s="206" t="s">
        <v>618</v>
      </c>
      <c r="D85" s="206" t="s">
        <v>1029</v>
      </c>
      <c r="E85" s="206" t="s">
        <v>1030</v>
      </c>
      <c r="F85" s="206" t="s">
        <v>1031</v>
      </c>
    </row>
    <row r="86" spans="1:6" x14ac:dyDescent="0.2">
      <c r="A86" s="208"/>
      <c r="C86" s="139"/>
      <c r="D86" s="139"/>
      <c r="E86" s="139"/>
      <c r="F86" s="139"/>
    </row>
    <row r="87" spans="1:6" x14ac:dyDescent="0.2">
      <c r="A87" s="208">
        <f>+A85+1</f>
        <v>42</v>
      </c>
      <c r="B87" s="204" t="s">
        <v>1032</v>
      </c>
      <c r="C87" s="140">
        <v>8.8000000000000007</v>
      </c>
      <c r="D87" s="140">
        <f>D68*(1.07766059479809)</f>
        <v>11.985415321987999</v>
      </c>
      <c r="E87" s="209">
        <f>160.25</f>
        <v>160.25</v>
      </c>
      <c r="F87" s="210">
        <f>E87*D87*12</f>
        <v>23047.953664182922</v>
      </c>
    </row>
    <row r="88" spans="1:6" x14ac:dyDescent="0.2">
      <c r="A88" s="208">
        <f>+A87+1</f>
        <v>43</v>
      </c>
      <c r="B88" s="204" t="s">
        <v>1033</v>
      </c>
      <c r="C88" s="141">
        <v>0.34527999999999998</v>
      </c>
      <c r="D88" s="141">
        <f>D69*(1.07766059479809)</f>
        <v>0.43265684671359722</v>
      </c>
      <c r="E88" s="209">
        <f>229170.61</f>
        <v>229170.61</v>
      </c>
      <c r="F88" s="210">
        <f>E88*D88</f>
        <v>99152.233482031559</v>
      </c>
    </row>
    <row r="89" spans="1:6" x14ac:dyDescent="0.2">
      <c r="A89" s="208">
        <f>+A88+1</f>
        <v>44</v>
      </c>
      <c r="B89" s="211" t="s">
        <v>1034</v>
      </c>
      <c r="F89" s="142">
        <f>SUM(F87:F88)</f>
        <v>122200.18714621448</v>
      </c>
    </row>
    <row r="90" spans="1:6" ht="13.5" thickBot="1" x14ac:dyDescent="0.25">
      <c r="A90" s="208"/>
      <c r="B90" s="211"/>
      <c r="F90" s="143"/>
    </row>
    <row r="91" spans="1:6" ht="13.5" thickBot="1" x14ac:dyDescent="0.25">
      <c r="A91" s="208">
        <f>+A89+1</f>
        <v>45</v>
      </c>
      <c r="B91" s="208" t="s">
        <v>1035</v>
      </c>
      <c r="F91" s="144">
        <f>F89</f>
        <v>122200.18714621448</v>
      </c>
    </row>
    <row r="92" spans="1:6" x14ac:dyDescent="0.2">
      <c r="A92" s="208"/>
    </row>
    <row r="93" spans="1:6" x14ac:dyDescent="0.2">
      <c r="A93" s="208">
        <f>+A91+1</f>
        <v>46</v>
      </c>
      <c r="B93" s="204" t="s">
        <v>1036</v>
      </c>
      <c r="C93" s="210">
        <v>707.79227175025471</v>
      </c>
      <c r="D93" s="210">
        <f>C93*(1.23422)</f>
        <v>873.5713776395994</v>
      </c>
      <c r="E93" s="212">
        <f>+E87</f>
        <v>160.25</v>
      </c>
      <c r="F93" s="210">
        <f>E93*D93</f>
        <v>139989.8132667458</v>
      </c>
    </row>
    <row r="94" spans="1:6" x14ac:dyDescent="0.2">
      <c r="A94" s="208">
        <f>+A93+1</f>
        <v>47</v>
      </c>
      <c r="B94" s="204" t="s">
        <v>1037</v>
      </c>
      <c r="C94" s="210">
        <v>65.470785136898556</v>
      </c>
      <c r="D94" s="210">
        <f>C94*(1.23422)</f>
        <v>80.805352431662939</v>
      </c>
      <c r="E94" s="212">
        <f>+E93</f>
        <v>160.25</v>
      </c>
      <c r="F94" s="210">
        <f>E94*D94</f>
        <v>12949.057727173986</v>
      </c>
    </row>
    <row r="95" spans="1:6" x14ac:dyDescent="0.2">
      <c r="A95" s="208">
        <f>+A94+1</f>
        <v>48</v>
      </c>
      <c r="B95" s="211" t="s">
        <v>1038</v>
      </c>
      <c r="F95" s="142">
        <f>SUM(F93:F94)</f>
        <v>152938.87099391979</v>
      </c>
    </row>
    <row r="96" spans="1:6" x14ac:dyDescent="0.2">
      <c r="A96" s="208"/>
      <c r="B96" s="211"/>
      <c r="F96" s="143"/>
    </row>
    <row r="97" spans="1:6" ht="13.5" thickBot="1" x14ac:dyDescent="0.25">
      <c r="A97" s="208"/>
      <c r="B97" s="211"/>
      <c r="F97" s="143"/>
    </row>
    <row r="98" spans="1:6" ht="13.5" thickBot="1" x14ac:dyDescent="0.25">
      <c r="A98" s="208">
        <f>+A95+1</f>
        <v>49</v>
      </c>
      <c r="B98" s="208" t="s">
        <v>1039</v>
      </c>
      <c r="F98" s="144">
        <f>+F95</f>
        <v>152938.87099391979</v>
      </c>
    </row>
    <row r="99" spans="1:6" ht="13.5" thickBot="1" x14ac:dyDescent="0.25">
      <c r="A99" s="208"/>
    </row>
    <row r="100" spans="1:6" ht="13.5" thickBot="1" x14ac:dyDescent="0.25">
      <c r="A100" s="208">
        <f>+A98+1</f>
        <v>50</v>
      </c>
      <c r="B100" s="204" t="s">
        <v>1040</v>
      </c>
      <c r="F100" s="144">
        <f>F98-F91</f>
        <v>30738.68384770531</v>
      </c>
    </row>
    <row r="101" spans="1:6" x14ac:dyDescent="0.2">
      <c r="A101" s="208"/>
    </row>
    <row r="102" spans="1:6" x14ac:dyDescent="0.2">
      <c r="A102" s="208"/>
    </row>
    <row r="103" spans="1:6" x14ac:dyDescent="0.2">
      <c r="A103" s="208"/>
    </row>
    <row r="104" spans="1:6" x14ac:dyDescent="0.2">
      <c r="A104" s="208">
        <f>+A100+1</f>
        <v>51</v>
      </c>
      <c r="B104" s="138">
        <v>2026</v>
      </c>
      <c r="C104" s="206" t="s">
        <v>618</v>
      </c>
      <c r="D104" s="206" t="s">
        <v>1029</v>
      </c>
      <c r="E104" s="206" t="s">
        <v>1030</v>
      </c>
      <c r="F104" s="206" t="s">
        <v>1031</v>
      </c>
    </row>
    <row r="105" spans="1:6" x14ac:dyDescent="0.2">
      <c r="A105" s="208"/>
      <c r="C105" s="139"/>
      <c r="D105" s="139"/>
      <c r="E105" s="139"/>
      <c r="F105" s="139"/>
    </row>
    <row r="106" spans="1:6" x14ac:dyDescent="0.2">
      <c r="A106" s="208">
        <f>+A104+1</f>
        <v>52</v>
      </c>
      <c r="B106" s="204" t="s">
        <v>1032</v>
      </c>
      <c r="C106" s="140">
        <v>9.1999999999999993</v>
      </c>
      <c r="D106" s="140">
        <f>D87*(1.07766059479809)</f>
        <v>12.916209804795727</v>
      </c>
      <c r="E106" s="209">
        <f>160.25</f>
        <v>160.25</v>
      </c>
      <c r="F106" s="210">
        <f>E106*D106*12</f>
        <v>24837.871454622185</v>
      </c>
    </row>
    <row r="107" spans="1:6" x14ac:dyDescent="0.2">
      <c r="A107" s="208">
        <f>+A106+1</f>
        <v>53</v>
      </c>
      <c r="B107" s="204" t="s">
        <v>1033</v>
      </c>
      <c r="C107" s="141">
        <v>0.37069000000000002</v>
      </c>
      <c r="D107" s="141">
        <f>D88*(1.07766059479809)</f>
        <v>0.4662572347728412</v>
      </c>
      <c r="E107" s="209">
        <f>229170.61</f>
        <v>229170.61</v>
      </c>
      <c r="F107" s="210">
        <f>E107*D107</f>
        <v>106852.45490980522</v>
      </c>
    </row>
    <row r="108" spans="1:6" x14ac:dyDescent="0.2">
      <c r="A108" s="208">
        <f>+A107+1</f>
        <v>54</v>
      </c>
      <c r="B108" s="211" t="s">
        <v>1034</v>
      </c>
      <c r="F108" s="142">
        <f>SUM(F106:F107)</f>
        <v>131690.3263644274</v>
      </c>
    </row>
    <row r="109" spans="1:6" ht="13.5" thickBot="1" x14ac:dyDescent="0.25">
      <c r="A109" s="208"/>
      <c r="B109" s="211"/>
      <c r="F109" s="143"/>
    </row>
    <row r="110" spans="1:6" ht="13.5" thickBot="1" x14ac:dyDescent="0.25">
      <c r="A110" s="208">
        <f>+A108+1</f>
        <v>55</v>
      </c>
      <c r="B110" s="208" t="s">
        <v>1035</v>
      </c>
      <c r="F110" s="144">
        <f>F108</f>
        <v>131690.3263644274</v>
      </c>
    </row>
    <row r="111" spans="1:6" x14ac:dyDescent="0.2">
      <c r="A111" s="208"/>
    </row>
    <row r="112" spans="1:6" x14ac:dyDescent="0.2">
      <c r="A112" s="208">
        <f>+A110+1</f>
        <v>56</v>
      </c>
      <c r="B112" s="204" t="s">
        <v>1036</v>
      </c>
      <c r="C112" s="210">
        <v>707.79227175025471</v>
      </c>
      <c r="D112" s="210">
        <f>C112*(1.23422)</f>
        <v>873.5713776395994</v>
      </c>
      <c r="E112" s="212">
        <f>+E106</f>
        <v>160.25</v>
      </c>
      <c r="F112" s="210">
        <f>E112*D112</f>
        <v>139989.8132667458</v>
      </c>
    </row>
    <row r="113" spans="1:6" x14ac:dyDescent="0.2">
      <c r="A113" s="208">
        <f>+A112+1</f>
        <v>57</v>
      </c>
      <c r="B113" s="204" t="s">
        <v>1037</v>
      </c>
      <c r="C113" s="210">
        <v>65.470785136898556</v>
      </c>
      <c r="D113" s="210">
        <f>C113*(1.23422)</f>
        <v>80.805352431662939</v>
      </c>
      <c r="E113" s="212">
        <f>+E112</f>
        <v>160.25</v>
      </c>
      <c r="F113" s="210">
        <f>E113*D113</f>
        <v>12949.057727173986</v>
      </c>
    </row>
    <row r="114" spans="1:6" x14ac:dyDescent="0.2">
      <c r="A114" s="208">
        <f>+A113+1</f>
        <v>58</v>
      </c>
      <c r="B114" s="211" t="s">
        <v>1038</v>
      </c>
      <c r="F114" s="142">
        <f>SUM(F112:F113)</f>
        <v>152938.87099391979</v>
      </c>
    </row>
    <row r="115" spans="1:6" x14ac:dyDescent="0.2">
      <c r="A115" s="208"/>
      <c r="B115" s="211"/>
      <c r="F115" s="143"/>
    </row>
    <row r="116" spans="1:6" ht="13.5" thickBot="1" x14ac:dyDescent="0.25">
      <c r="A116" s="208"/>
      <c r="B116" s="211"/>
      <c r="F116" s="143"/>
    </row>
    <row r="117" spans="1:6" ht="13.5" thickBot="1" x14ac:dyDescent="0.25">
      <c r="A117" s="208">
        <f>+A114+1</f>
        <v>59</v>
      </c>
      <c r="B117" s="208" t="s">
        <v>1039</v>
      </c>
      <c r="F117" s="144">
        <f>+F114</f>
        <v>152938.87099391979</v>
      </c>
    </row>
    <row r="118" spans="1:6" ht="13.5" thickBot="1" x14ac:dyDescent="0.25">
      <c r="A118" s="208"/>
    </row>
    <row r="119" spans="1:6" ht="13.5" thickBot="1" x14ac:dyDescent="0.25">
      <c r="A119" s="208">
        <f>+A117+1</f>
        <v>60</v>
      </c>
      <c r="B119" s="204" t="s">
        <v>1040</v>
      </c>
      <c r="F119" s="144">
        <f>F117-F110</f>
        <v>21248.54462949239</v>
      </c>
    </row>
    <row r="120" spans="1:6" x14ac:dyDescent="0.2">
      <c r="A120" s="208"/>
    </row>
    <row r="121" spans="1:6" x14ac:dyDescent="0.2">
      <c r="A121" s="208"/>
    </row>
    <row r="122" spans="1:6" x14ac:dyDescent="0.2">
      <c r="A122" s="208"/>
    </row>
    <row r="123" spans="1:6" x14ac:dyDescent="0.2">
      <c r="A123" s="208">
        <f>+A119+1</f>
        <v>61</v>
      </c>
      <c r="B123" s="138">
        <v>2027</v>
      </c>
      <c r="C123" s="206" t="s">
        <v>618</v>
      </c>
      <c r="D123" s="206" t="s">
        <v>1029</v>
      </c>
      <c r="E123" s="206" t="s">
        <v>1030</v>
      </c>
      <c r="F123" s="206" t="s">
        <v>1031</v>
      </c>
    </row>
    <row r="124" spans="1:6" x14ac:dyDescent="0.2">
      <c r="A124" s="208"/>
      <c r="C124" s="139"/>
      <c r="D124" s="139"/>
      <c r="E124" s="139"/>
      <c r="F124" s="139"/>
    </row>
    <row r="125" spans="1:6" x14ac:dyDescent="0.2">
      <c r="A125" s="208">
        <f>+A123+1</f>
        <v>62</v>
      </c>
      <c r="B125" s="204" t="s">
        <v>1032</v>
      </c>
      <c r="C125" s="140">
        <v>9.6</v>
      </c>
      <c r="D125" s="140">
        <f>D106*(1.07766059479809)</f>
        <v>13.919290340773085</v>
      </c>
      <c r="E125" s="209">
        <f>160.25</f>
        <v>160.25</v>
      </c>
      <c r="F125" s="210">
        <f>E125*D125*12</f>
        <v>26766.795325306644</v>
      </c>
    </row>
    <row r="126" spans="1:6" x14ac:dyDescent="0.2">
      <c r="A126" s="208">
        <f>+A125+1</f>
        <v>63</v>
      </c>
      <c r="B126" s="204" t="s">
        <v>1033</v>
      </c>
      <c r="C126" s="141">
        <v>0.39795999999999998</v>
      </c>
      <c r="D126" s="141">
        <f>D107*(1.07766059479809)</f>
        <v>0.50246704895421268</v>
      </c>
      <c r="E126" s="209">
        <f>229170.61</f>
        <v>229170.61</v>
      </c>
      <c r="F126" s="210">
        <f>E126*D126</f>
        <v>115150.68011373677</v>
      </c>
    </row>
    <row r="127" spans="1:6" x14ac:dyDescent="0.2">
      <c r="A127" s="208">
        <f>+A126+1</f>
        <v>64</v>
      </c>
      <c r="B127" s="211" t="s">
        <v>1034</v>
      </c>
      <c r="F127" s="142">
        <f>SUM(F125:F126)</f>
        <v>141917.47543904342</v>
      </c>
    </row>
    <row r="128" spans="1:6" ht="13.5" thickBot="1" x14ac:dyDescent="0.25">
      <c r="A128" s="208"/>
      <c r="B128" s="211"/>
      <c r="F128" s="143"/>
    </row>
    <row r="129" spans="1:6" ht="13.5" thickBot="1" x14ac:dyDescent="0.25">
      <c r="A129" s="208">
        <f>+A127+1</f>
        <v>65</v>
      </c>
      <c r="B129" s="208" t="s">
        <v>1035</v>
      </c>
      <c r="F129" s="144">
        <f>F127</f>
        <v>141917.47543904342</v>
      </c>
    </row>
    <row r="130" spans="1:6" x14ac:dyDescent="0.2">
      <c r="A130" s="208"/>
    </row>
    <row r="131" spans="1:6" x14ac:dyDescent="0.2">
      <c r="A131" s="208">
        <f>+A129+1</f>
        <v>66</v>
      </c>
      <c r="B131" s="204" t="s">
        <v>1036</v>
      </c>
      <c r="C131" s="210">
        <v>707.79227175025471</v>
      </c>
      <c r="D131" s="210">
        <f>C131*(1.23422)</f>
        <v>873.5713776395994</v>
      </c>
      <c r="E131" s="212">
        <f>+E125</f>
        <v>160.25</v>
      </c>
      <c r="F131" s="210">
        <f>E131*D131</f>
        <v>139989.8132667458</v>
      </c>
    </row>
    <row r="132" spans="1:6" x14ac:dyDescent="0.2">
      <c r="A132" s="208">
        <f>+A131+1</f>
        <v>67</v>
      </c>
      <c r="B132" s="204" t="s">
        <v>1037</v>
      </c>
      <c r="C132" s="210">
        <v>65.470785136898556</v>
      </c>
      <c r="D132" s="210">
        <f>C132*(1.23422)</f>
        <v>80.805352431662939</v>
      </c>
      <c r="E132" s="212">
        <f>+E131</f>
        <v>160.25</v>
      </c>
      <c r="F132" s="210">
        <f>E132*D132</f>
        <v>12949.057727173986</v>
      </c>
    </row>
    <row r="133" spans="1:6" x14ac:dyDescent="0.2">
      <c r="A133" s="208">
        <f>+A132+1</f>
        <v>68</v>
      </c>
      <c r="B133" s="211" t="s">
        <v>1038</v>
      </c>
      <c r="F133" s="142">
        <f>SUM(F131:F132)</f>
        <v>152938.87099391979</v>
      </c>
    </row>
    <row r="134" spans="1:6" x14ac:dyDescent="0.2">
      <c r="A134" s="208"/>
      <c r="B134" s="211"/>
      <c r="F134" s="143"/>
    </row>
    <row r="135" spans="1:6" ht="13.5" thickBot="1" x14ac:dyDescent="0.25">
      <c r="A135" s="208"/>
      <c r="B135" s="211"/>
      <c r="F135" s="143"/>
    </row>
    <row r="136" spans="1:6" ht="13.5" thickBot="1" x14ac:dyDescent="0.25">
      <c r="A136" s="208">
        <f>+A133+1</f>
        <v>69</v>
      </c>
      <c r="B136" s="208" t="s">
        <v>1039</v>
      </c>
      <c r="F136" s="144">
        <f>+F133</f>
        <v>152938.87099391979</v>
      </c>
    </row>
    <row r="137" spans="1:6" ht="13.5" thickBot="1" x14ac:dyDescent="0.25">
      <c r="A137" s="208"/>
    </row>
    <row r="138" spans="1:6" ht="13.5" thickBot="1" x14ac:dyDescent="0.25">
      <c r="A138" s="208">
        <f>+A136+1</f>
        <v>70</v>
      </c>
      <c r="B138" s="204" t="s">
        <v>1040</v>
      </c>
      <c r="F138" s="144">
        <f>F136-F129</f>
        <v>11021.395554876362</v>
      </c>
    </row>
    <row r="139" spans="1:6" x14ac:dyDescent="0.2">
      <c r="A139" s="208"/>
    </row>
    <row r="140" spans="1:6" x14ac:dyDescent="0.2">
      <c r="A140" s="208"/>
    </row>
    <row r="141" spans="1:6" x14ac:dyDescent="0.2">
      <c r="A141" s="208"/>
    </row>
    <row r="142" spans="1:6" x14ac:dyDescent="0.2">
      <c r="A142" s="208">
        <f>+A138+1</f>
        <v>71</v>
      </c>
      <c r="B142" s="138">
        <v>2028</v>
      </c>
      <c r="C142" s="206" t="s">
        <v>618</v>
      </c>
      <c r="D142" s="206" t="s">
        <v>1029</v>
      </c>
      <c r="E142" s="206" t="s">
        <v>1030</v>
      </c>
      <c r="F142" s="206" t="s">
        <v>1031</v>
      </c>
    </row>
    <row r="143" spans="1:6" x14ac:dyDescent="0.2">
      <c r="A143" s="208"/>
      <c r="C143" s="139"/>
      <c r="D143" s="139"/>
      <c r="E143" s="139"/>
      <c r="F143" s="139"/>
    </row>
    <row r="144" spans="1:6" x14ac:dyDescent="0.2">
      <c r="A144" s="208">
        <f>+A142+1</f>
        <v>72</v>
      </c>
      <c r="B144" s="204" t="s">
        <v>1032</v>
      </c>
      <c r="C144" s="140">
        <v>10</v>
      </c>
      <c r="D144" s="140">
        <f>D125*(1.07766059479809)</f>
        <v>15.00027070780483</v>
      </c>
      <c r="E144" s="209">
        <f>160.25</f>
        <v>160.25</v>
      </c>
      <c r="F144" s="210">
        <f>E144*D144*12</f>
        <v>28845.520571108689</v>
      </c>
    </row>
    <row r="145" spans="1:6" x14ac:dyDescent="0.2">
      <c r="A145" s="208">
        <f>+A144+1</f>
        <v>73</v>
      </c>
      <c r="B145" s="204" t="s">
        <v>1033</v>
      </c>
      <c r="C145" s="141">
        <v>0.42725000000000002</v>
      </c>
      <c r="D145" s="141">
        <f>D126*(1.07766059479809)</f>
        <v>0.54148893884243787</v>
      </c>
      <c r="E145" s="209">
        <f>229170.61</f>
        <v>229170.61</v>
      </c>
      <c r="F145" s="210">
        <f>E145*D145</f>
        <v>124093.35042277418</v>
      </c>
    </row>
    <row r="146" spans="1:6" x14ac:dyDescent="0.2">
      <c r="A146" s="208">
        <f>+A145+1</f>
        <v>74</v>
      </c>
      <c r="B146" s="211" t="s">
        <v>1034</v>
      </c>
      <c r="F146" s="142">
        <f>SUM(F144:F145)</f>
        <v>152938.87099388288</v>
      </c>
    </row>
    <row r="147" spans="1:6" ht="13.5" thickBot="1" x14ac:dyDescent="0.25">
      <c r="A147" s="208"/>
      <c r="B147" s="211"/>
      <c r="F147" s="143"/>
    </row>
    <row r="148" spans="1:6" ht="13.5" thickBot="1" x14ac:dyDescent="0.25">
      <c r="A148" s="208">
        <f>+A146+1</f>
        <v>75</v>
      </c>
      <c r="B148" s="208" t="s">
        <v>1035</v>
      </c>
      <c r="F148" s="144">
        <f>F146</f>
        <v>152938.87099388288</v>
      </c>
    </row>
    <row r="149" spans="1:6" x14ac:dyDescent="0.2">
      <c r="A149" s="208"/>
    </row>
    <row r="150" spans="1:6" x14ac:dyDescent="0.2">
      <c r="A150" s="208">
        <f>+A148+1</f>
        <v>76</v>
      </c>
      <c r="B150" s="204" t="s">
        <v>1036</v>
      </c>
      <c r="C150" s="210">
        <v>707.79227175025471</v>
      </c>
      <c r="D150" s="210">
        <f>C150*(1.23422)</f>
        <v>873.5713776395994</v>
      </c>
      <c r="E150" s="212">
        <f>+E144</f>
        <v>160.25</v>
      </c>
      <c r="F150" s="210">
        <f>E150*D150</f>
        <v>139989.8132667458</v>
      </c>
    </row>
    <row r="151" spans="1:6" x14ac:dyDescent="0.2">
      <c r="A151" s="208">
        <f>+A150+1</f>
        <v>77</v>
      </c>
      <c r="B151" s="204" t="s">
        <v>1037</v>
      </c>
      <c r="C151" s="210">
        <v>65.470785136898556</v>
      </c>
      <c r="D151" s="210">
        <f>C151*(1.23422)</f>
        <v>80.805352431662939</v>
      </c>
      <c r="E151" s="212">
        <f>+E150</f>
        <v>160.25</v>
      </c>
      <c r="F151" s="210">
        <f>E151*D151</f>
        <v>12949.057727173986</v>
      </c>
    </row>
    <row r="152" spans="1:6" x14ac:dyDescent="0.2">
      <c r="A152" s="208">
        <f>+A151+1</f>
        <v>78</v>
      </c>
      <c r="B152" s="211" t="s">
        <v>1038</v>
      </c>
      <c r="F152" s="142">
        <f>SUM(F150:F151)</f>
        <v>152938.87099391979</v>
      </c>
    </row>
    <row r="153" spans="1:6" x14ac:dyDescent="0.2">
      <c r="A153" s="208"/>
      <c r="B153" s="211"/>
      <c r="F153" s="143"/>
    </row>
    <row r="154" spans="1:6" ht="13.5" thickBot="1" x14ac:dyDescent="0.25">
      <c r="A154" s="208"/>
      <c r="B154" s="211"/>
      <c r="F154" s="143"/>
    </row>
    <row r="155" spans="1:6" ht="13.5" thickBot="1" x14ac:dyDescent="0.25">
      <c r="A155" s="208">
        <f>+A152+1</f>
        <v>79</v>
      </c>
      <c r="B155" s="208" t="s">
        <v>1039</v>
      </c>
      <c r="F155" s="144">
        <f>F152</f>
        <v>152938.87099391979</v>
      </c>
    </row>
    <row r="156" spans="1:6" ht="13.5" thickBot="1" x14ac:dyDescent="0.25">
      <c r="A156" s="208"/>
    </row>
    <row r="157" spans="1:6" ht="13.5" thickBot="1" x14ac:dyDescent="0.25">
      <c r="A157" s="208">
        <f>+A155+1</f>
        <v>80</v>
      </c>
      <c r="B157" s="204" t="s">
        <v>1040</v>
      </c>
      <c r="F157" s="144">
        <f>F155-F148</f>
        <v>3.6903657019138336E-8</v>
      </c>
    </row>
    <row r="158" spans="1:6" x14ac:dyDescent="0.2">
      <c r="A158" s="208"/>
    </row>
  </sheetData>
  <pageMargins left="0.7" right="0.7" top="1.4522727272727274" bottom="0.75" header="0.3" footer="0.3"/>
  <pageSetup scale="71" orientation="landscape" r:id="rId1"/>
  <headerFooter>
    <oddHeader>&amp;CRULE 20:10:13:98
STATEMENT O WORKPAPER - Tab &amp;A
Farm Tap Rate Design/Phase-in
Test Year Ending December 31, 2021
Utility: MidAmerican Energy Company
Docket No. NG22-___
Individual Responsible: Amanda Hosch</oddHeader>
    <oddFooter>&amp;C20:10:13:98
Statement O Workpaper - Tab &amp;A
&amp;P of &amp;N</oddFooter>
  </headerFooter>
  <rowBreaks count="3" manualBreakCount="3">
    <brk id="45" max="5" man="1"/>
    <brk id="83" max="5" man="1"/>
    <brk id="12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L86"/>
  <sheetViews>
    <sheetView view="pageLayout" zoomScaleNormal="100" workbookViewId="0"/>
  </sheetViews>
  <sheetFormatPr defaultRowHeight="12.75" x14ac:dyDescent="0.2"/>
  <cols>
    <col min="1" max="1" width="10.42578125" style="32" customWidth="1"/>
    <col min="2" max="2" width="12.140625" style="32" customWidth="1"/>
    <col min="3" max="3" width="15.5703125" style="32" customWidth="1"/>
    <col min="4" max="4" width="14.7109375" style="32" customWidth="1"/>
    <col min="5" max="5" width="14" style="33" customWidth="1"/>
    <col min="6" max="6" width="15.5703125" style="32" customWidth="1"/>
    <col min="7" max="7" width="15.28515625" style="32" customWidth="1"/>
    <col min="8" max="8" width="12.7109375" style="145" customWidth="1"/>
    <col min="9" max="9" width="11" style="145" customWidth="1"/>
    <col min="10" max="10" width="11.140625" style="145" customWidth="1"/>
    <col min="11" max="11" width="14.7109375" style="145" customWidth="1"/>
    <col min="12" max="12" width="9.140625" style="145"/>
    <col min="13" max="13" width="14" style="145" bestFit="1" customWidth="1"/>
    <col min="14" max="16" width="9.140625" style="145"/>
    <col min="17" max="17" width="13.5703125" style="145" bestFit="1" customWidth="1"/>
    <col min="18" max="18" width="11.28515625" style="145" customWidth="1"/>
    <col min="19" max="19" width="12.85546875" style="145" bestFit="1" customWidth="1"/>
    <col min="20" max="20" width="12.28515625" style="145" bestFit="1" customWidth="1"/>
    <col min="21" max="16384" width="9.140625" style="145"/>
  </cols>
  <sheetData>
    <row r="1" spans="1:11" s="14" customFormat="1" ht="18" x14ac:dyDescent="0.25">
      <c r="A1" s="14" t="s">
        <v>615</v>
      </c>
    </row>
    <row r="2" spans="1:11" s="14" customFormat="1" ht="18" x14ac:dyDescent="0.25">
      <c r="A2" s="14" t="s">
        <v>1041</v>
      </c>
    </row>
    <row r="3" spans="1:11" s="14" customFormat="1" ht="18" x14ac:dyDescent="0.25">
      <c r="A3" s="14" t="s">
        <v>906</v>
      </c>
    </row>
    <row r="4" spans="1:11" s="14" customFormat="1" ht="18" x14ac:dyDescent="0.25">
      <c r="A4" s="14" t="s">
        <v>1097</v>
      </c>
    </row>
    <row r="6" spans="1:11" x14ac:dyDescent="0.2">
      <c r="A6" s="32" t="s">
        <v>1042</v>
      </c>
    </row>
    <row r="8" spans="1:11" x14ac:dyDescent="0.2">
      <c r="C8" s="33" t="s">
        <v>1043</v>
      </c>
      <c r="D8" s="33"/>
      <c r="F8" s="33" t="s">
        <v>120</v>
      </c>
      <c r="G8" s="174"/>
      <c r="H8" s="175" t="s">
        <v>387</v>
      </c>
      <c r="I8" s="176" t="s">
        <v>620</v>
      </c>
    </row>
    <row r="9" spans="1:11" x14ac:dyDescent="0.2">
      <c r="A9" s="177" t="s">
        <v>618</v>
      </c>
      <c r="B9" s="46" t="s">
        <v>626</v>
      </c>
      <c r="C9" s="46" t="s">
        <v>107</v>
      </c>
      <c r="D9" s="46" t="s">
        <v>619</v>
      </c>
      <c r="E9" s="46" t="s">
        <v>620</v>
      </c>
      <c r="F9" s="46" t="s">
        <v>142</v>
      </c>
      <c r="G9" s="70" t="s">
        <v>387</v>
      </c>
      <c r="H9" s="46" t="s">
        <v>845</v>
      </c>
      <c r="I9" s="71" t="s">
        <v>845</v>
      </c>
    </row>
    <row r="10" spans="1:11" x14ac:dyDescent="0.2">
      <c r="A10" s="178" t="s">
        <v>631</v>
      </c>
      <c r="B10" s="32">
        <v>1</v>
      </c>
      <c r="C10" s="61">
        <f>SUMIF('SRC-1 (S.D. Sales)'!$E$9:$E$30,$A10,'SRC-1 (S.D. Sales)'!G$9:G$30)</f>
        <v>232771</v>
      </c>
      <c r="D10" s="61">
        <f>SUMIF('SRC-1 (S.D. Sales)'!$E$9:$E$30,$A10,'SRC-1 (S.D. Sales)'!H$9:H$30)</f>
        <v>-3600.388844583857</v>
      </c>
      <c r="E10" s="61">
        <f>SUMIF('SRC-1 (S.D. Sales)'!$E$9:$E$30,$A10,'SRC-1 (S.D. Sales)'!I$9:I$30)</f>
        <v>0</v>
      </c>
      <c r="F10" s="61">
        <f>SUMIF('SRC-1 (S.D. Sales)'!$E$9:$E$30,$A10,'SRC-1 (S.D. Sales)'!J$9:J$30)</f>
        <v>0</v>
      </c>
      <c r="G10" s="179">
        <f>SUM(C10:F10)</f>
        <v>229170.61115541615</v>
      </c>
      <c r="H10" s="132">
        <f>SUMIF('SRC-4 (S.D. Customers)'!$E$9:$E$26,$A10,'SRC-4 (S.D. Customers)'!H$9:H$26)</f>
        <v>1923</v>
      </c>
      <c r="I10" s="133">
        <f>SUMIF('SRC-4 (S.D. Customers)'!$E$20:$E$26,$A10,'SRC-4 (S.D. Customers)'!H$20:H$26)</f>
        <v>0</v>
      </c>
      <c r="K10" s="180"/>
    </row>
    <row r="11" spans="1:11" x14ac:dyDescent="0.2">
      <c r="A11" s="178" t="s">
        <v>637</v>
      </c>
      <c r="B11" s="32">
        <v>1</v>
      </c>
      <c r="C11" s="61">
        <f>SUMIF('SRC-1 (S.D. Sales)'!$E$9:$E$30,$A11,'SRC-1 (S.D. Sales)'!G$9:G$30)</f>
        <v>17993</v>
      </c>
      <c r="D11" s="61">
        <f>SUMIF('SRC-1 (S.D. Sales)'!$E$9:$E$30,$A11,'SRC-1 (S.D. Sales)'!H$9:H$30)</f>
        <v>91.662493409069128</v>
      </c>
      <c r="E11" s="61">
        <f>SUMIF('SRC-1 (S.D. Sales)'!$E$9:$E$30,$A11,'SRC-1 (S.D. Sales)'!I$9:I$30)</f>
        <v>0</v>
      </c>
      <c r="F11" s="61">
        <f>SUMIF('SRC-1 (S.D. Sales)'!$E$9:$E$30,$A11,'SRC-1 (S.D. Sales)'!J$9:J$30)</f>
        <v>0</v>
      </c>
      <c r="G11" s="179">
        <f>SUM(C11:F11)</f>
        <v>18084.662493409069</v>
      </c>
      <c r="H11" s="132">
        <f>SUMIF('SRC-4 (S.D. Customers)'!$E$9:$E$26,$A11,'SRC-4 (S.D. Customers)'!H$9:H$26)</f>
        <v>24</v>
      </c>
      <c r="I11" s="133">
        <f>SUMIF('SRC-4 (S.D. Customers)'!$E$20:$E$26,$A11,'SRC-4 (S.D. Customers)'!H$20:H$26)</f>
        <v>0</v>
      </c>
    </row>
    <row r="12" spans="1:11" x14ac:dyDescent="0.2">
      <c r="A12" s="178" t="s">
        <v>648</v>
      </c>
      <c r="B12" s="32">
        <v>1</v>
      </c>
      <c r="C12" s="61">
        <f>SUMIF('SRC-1 (S.D. Sales)'!$E$9:$E$30,$A12,'SRC-1 (S.D. Sales)'!G$9:G$30)</f>
        <v>12325</v>
      </c>
      <c r="D12" s="61">
        <f>SUMIF('SRC-1 (S.D. Sales)'!$E$9:$E$30,$A12,'SRC-1 (S.D. Sales)'!H$9:H$30)</f>
        <v>0</v>
      </c>
      <c r="E12" s="61">
        <f>SUMIF('SRC-1 (S.D. Sales)'!$E$9:$E$30,$A12,'SRC-1 (S.D. Sales)'!I$9:I$30)</f>
        <v>115.85649623143024</v>
      </c>
      <c r="F12" s="61">
        <f>SUMIF('SRC-1 (S.D. Sales)'!$E$9:$E$30,$A12,'SRC-1 (S.D. Sales)'!J$9:J$30)</f>
        <v>741</v>
      </c>
      <c r="G12" s="179">
        <f t="shared" ref="G12:G22" si="0">SUM(C12:F12)</f>
        <v>13181.85649623143</v>
      </c>
      <c r="H12" s="132">
        <f>SUMIF('SRC-4 (S.D. Customers)'!$E$9:$E$26,$A12,'SRC-4 (S.D. Customers)'!H$9:H$26)</f>
        <v>10</v>
      </c>
      <c r="I12" s="133">
        <f>SUMIF('SRC-4 (S.D. Customers)'!$E$20:$E$26,$A12,'SRC-4 (S.D. Customers)'!H$20:H$26)</f>
        <v>10</v>
      </c>
    </row>
    <row r="13" spans="1:11" x14ac:dyDescent="0.2">
      <c r="A13" s="178" t="s">
        <v>647</v>
      </c>
      <c r="B13" s="32">
        <v>1</v>
      </c>
      <c r="C13" s="61">
        <f>SUMIF('SRC-1 (S.D. Sales)'!$E$9:$E$30,$A13,'SRC-1 (S.D. Sales)'!G$9:G$30)</f>
        <v>479741</v>
      </c>
      <c r="D13" s="61">
        <f>SUMIF('SRC-1 (S.D. Sales)'!$E$9:$E$30,$A13,'SRC-1 (S.D. Sales)'!H$9:H$30)</f>
        <v>0</v>
      </c>
      <c r="E13" s="61">
        <f>SUMIF('SRC-1 (S.D. Sales)'!$E$9:$E$30,$A13,'SRC-1 (S.D. Sales)'!I$9:I$30)</f>
        <v>8147.41965618628</v>
      </c>
      <c r="F13" s="61">
        <f>SUMIF('SRC-1 (S.D. Sales)'!$E$9:$E$30,$A13,'SRC-1 (S.D. Sales)'!J$9:J$30)</f>
        <v>29547</v>
      </c>
      <c r="G13" s="179">
        <f t="shared" si="0"/>
        <v>517435.41965618631</v>
      </c>
      <c r="H13" s="132">
        <f>SUMIF('SRC-4 (S.D. Customers)'!$E$9:$E$26,$A13,'SRC-4 (S.D. Customers)'!H$9:H$26)</f>
        <v>1333</v>
      </c>
      <c r="I13" s="133">
        <f>SUMIF('SRC-4 (S.D. Customers)'!$E$20:$E$26,$A13,'SRC-4 (S.D. Customers)'!H$20:H$26)</f>
        <v>1333</v>
      </c>
    </row>
    <row r="14" spans="1:11" x14ac:dyDescent="0.2">
      <c r="A14" s="178" t="s">
        <v>632</v>
      </c>
      <c r="B14" s="32">
        <v>1</v>
      </c>
      <c r="C14" s="61">
        <f>SUMIF('SRC-1 (S.D. Sales)'!$E$9:$E$30,$A14,'SRC-1 (S.D. Sales)'!G$9:G$30)</f>
        <v>74058419</v>
      </c>
      <c r="D14" s="61">
        <f>SUMIF('SRC-1 (S.D. Sales)'!$E$9:$E$30,$A14,'SRC-1 (S.D. Sales)'!H$9:H$30)</f>
        <v>-1318413.5911951172</v>
      </c>
      <c r="E14" s="61">
        <f>SUMIF('SRC-1 (S.D. Sales)'!$E$9:$E$30,$A14,'SRC-1 (S.D. Sales)'!I$9:I$30)</f>
        <v>0</v>
      </c>
      <c r="F14" s="61">
        <f>SUMIF('SRC-1 (S.D. Sales)'!$E$9:$E$30,$A14,'SRC-1 (S.D. Sales)'!J$9:J$30)</f>
        <v>4185069</v>
      </c>
      <c r="G14" s="179">
        <f t="shared" si="0"/>
        <v>76925074.408804879</v>
      </c>
      <c r="H14" s="132">
        <f>SUMIF('SRC-4 (S.D. Customers)'!$E$9:$E$26,$A14,'SRC-4 (S.D. Customers)'!H$9:H$26)</f>
        <v>1224834</v>
      </c>
      <c r="I14" s="133">
        <f>SUMIF('SRC-4 (S.D. Customers)'!$E$20:$E$26,$A14,'SRC-4 (S.D. Customers)'!H$20:H$26)</f>
        <v>0</v>
      </c>
    </row>
    <row r="15" spans="1:11" x14ac:dyDescent="0.2">
      <c r="A15" s="178" t="s">
        <v>638</v>
      </c>
      <c r="B15" s="32">
        <v>1</v>
      </c>
      <c r="C15" s="61">
        <f>SUMIF('SRC-1 (S.D. Sales)'!$E$9:$E$30,$A15,'SRC-1 (S.D. Sales)'!G$9:G$30)</f>
        <v>257657</v>
      </c>
      <c r="D15" s="61">
        <f>SUMIF('SRC-1 (S.D. Sales)'!$E$9:$E$30,$A15,'SRC-1 (S.D. Sales)'!H$9:H$30)</f>
        <v>-877.26926731435674</v>
      </c>
      <c r="E15" s="61">
        <f>SUMIF('SRC-1 (S.D. Sales)'!$E$9:$E$30,$A15,'SRC-1 (S.D. Sales)'!I$9:I$30)</f>
        <v>0</v>
      </c>
      <c r="F15" s="61">
        <f>SUMIF('SRC-1 (S.D. Sales)'!$E$9:$E$30,$A15,'SRC-1 (S.D. Sales)'!J$9:J$30)</f>
        <v>0</v>
      </c>
      <c r="G15" s="179">
        <f t="shared" si="0"/>
        <v>256779.73073268565</v>
      </c>
      <c r="H15" s="132">
        <f>SUMIF('SRC-4 (S.D. Customers)'!$E$9:$E$26,$A15,'SRC-4 (S.D. Customers)'!H$9:H$26)</f>
        <v>75</v>
      </c>
      <c r="I15" s="133">
        <f>SUMIF('SRC-4 (S.D. Customers)'!$E$20:$E$26,$A15,'SRC-4 (S.D. Customers)'!H$20:H$26)</f>
        <v>0</v>
      </c>
      <c r="K15" s="180"/>
    </row>
    <row r="16" spans="1:11" x14ac:dyDescent="0.2">
      <c r="A16" s="178" t="s">
        <v>646</v>
      </c>
      <c r="B16" s="32">
        <v>2</v>
      </c>
      <c r="C16" s="61">
        <f>SUMIF('SRC-1 (S.D. Sales)'!$E$9:$E$30,$A16,'SRC-1 (S.D. Sales)'!G$9:G$30)</f>
        <v>8400354</v>
      </c>
      <c r="D16" s="61">
        <f>SUMIF('SRC-1 (S.D. Sales)'!$E$9:$E$30,$A16,'SRC-1 (S.D. Sales)'!H$9:H$30)</f>
        <v>0</v>
      </c>
      <c r="E16" s="61">
        <f>SUMIF('SRC-1 (S.D. Sales)'!$E$9:$E$30,$A16,'SRC-1 (S.D. Sales)'!I$9:I$30)</f>
        <v>107798.52337378022</v>
      </c>
      <c r="F16" s="61">
        <f>SUMIF('SRC-1 (S.D. Sales)'!$E$9:$E$30,$A16,'SRC-1 (S.D. Sales)'!J$9:J$30)</f>
        <v>512664</v>
      </c>
      <c r="G16" s="179">
        <f t="shared" si="0"/>
        <v>9020816.5233737808</v>
      </c>
      <c r="H16" s="132">
        <f>SUMIF('SRC-4 (S.D. Customers)'!$E$9:$E$26,$A16,'SRC-4 (S.D. Customers)'!H$9:H$26)</f>
        <v>1241</v>
      </c>
      <c r="I16" s="133">
        <f>SUMIF('SRC-4 (S.D. Customers)'!$E$20:$E$26,$A16,'SRC-4 (S.D. Customers)'!H$20:H$26)</f>
        <v>1241</v>
      </c>
    </row>
    <row r="17" spans="1:9" x14ac:dyDescent="0.2">
      <c r="A17" s="178" t="s">
        <v>645</v>
      </c>
      <c r="B17" s="32">
        <v>2</v>
      </c>
      <c r="C17" s="61">
        <f>SUMIF('SRC-1 (S.D. Sales)'!$E$9:$E$30,$A17,'SRC-1 (S.D. Sales)'!G$9:G$30)</f>
        <v>8353639</v>
      </c>
      <c r="D17" s="61">
        <f>SUMIF('SRC-1 (S.D. Sales)'!$E$9:$E$30,$A17,'SRC-1 (S.D. Sales)'!H$9:H$30)</f>
        <v>0</v>
      </c>
      <c r="E17" s="61">
        <f>SUMIF('SRC-1 (S.D. Sales)'!$E$9:$E$30,$A17,'SRC-1 (S.D. Sales)'!I$9:I$30)</f>
        <v>134548.36457498907</v>
      </c>
      <c r="F17" s="61">
        <f>SUMIF('SRC-1 (S.D. Sales)'!$E$9:$E$30,$A17,'SRC-1 (S.D. Sales)'!J$9:J$30)</f>
        <v>537843</v>
      </c>
      <c r="G17" s="179">
        <f t="shared" si="0"/>
        <v>9026030.3645749893</v>
      </c>
      <c r="H17" s="132">
        <f>SUMIF('SRC-4 (S.D. Customers)'!$E$9:$E$26,$A17,'SRC-4 (S.D. Customers)'!H$9:H$26)</f>
        <v>3453</v>
      </c>
      <c r="I17" s="133">
        <f>SUMIF('SRC-4 (S.D. Customers)'!$E$20:$E$26,$A17,'SRC-4 (S.D. Customers)'!H$20:H$26)</f>
        <v>3453</v>
      </c>
    </row>
    <row r="18" spans="1:9" x14ac:dyDescent="0.2">
      <c r="A18" s="178" t="s">
        <v>636</v>
      </c>
      <c r="B18" s="32">
        <v>2</v>
      </c>
      <c r="C18" s="61">
        <f>SUMIF('SRC-1 (S.D. Sales)'!$E$9:$E$30,$A18,'SRC-1 (S.D. Sales)'!G$9:G$30)</f>
        <v>23538210</v>
      </c>
      <c r="D18" s="61">
        <f>SUMIF('SRC-1 (S.D. Sales)'!$E$9:$E$30,$A18,'SRC-1 (S.D. Sales)'!H$9:H$30)</f>
        <v>-453642.36721964384</v>
      </c>
      <c r="E18" s="61">
        <f>SUMIF('SRC-1 (S.D. Sales)'!$E$9:$E$30,$A18,'SRC-1 (S.D. Sales)'!I$9:I$30)</f>
        <v>0</v>
      </c>
      <c r="F18" s="61">
        <f>SUMIF('SRC-1 (S.D. Sales)'!$E$9:$E$30,$A18,'SRC-1 (S.D. Sales)'!J$9:J$30)</f>
        <v>959036</v>
      </c>
      <c r="G18" s="179">
        <f t="shared" si="0"/>
        <v>24043603.632780354</v>
      </c>
      <c r="H18" s="132">
        <f>SUMIF('SRC-4 (S.D. Customers)'!$E$9:$E$26,$A18,'SRC-4 (S.D. Customers)'!H$9:H$26)</f>
        <v>17597</v>
      </c>
      <c r="I18" s="133">
        <f>SUMIF('SRC-4 (S.D. Customers)'!$E$20:$E$26,$A18,'SRC-4 (S.D. Customers)'!H$20:H$26)</f>
        <v>0</v>
      </c>
    </row>
    <row r="19" spans="1:9" x14ac:dyDescent="0.2">
      <c r="A19" s="178" t="s">
        <v>643</v>
      </c>
      <c r="B19" s="32">
        <v>3</v>
      </c>
      <c r="C19" s="61">
        <f>SUMIF('SRC-1 (S.D. Sales)'!$E$9:$E$30,$A19,'SRC-1 (S.D. Sales)'!G$9:G$30)</f>
        <v>665633</v>
      </c>
      <c r="D19" s="61">
        <f>SUMIF('SRC-1 (S.D. Sales)'!$E$9:$E$30,$A19,'SRC-1 (S.D. Sales)'!H$9:H$30)</f>
        <v>0</v>
      </c>
      <c r="E19" s="61">
        <f>SUMIF('SRC-1 (S.D. Sales)'!$E$9:$E$30,$A19,'SRC-1 (S.D. Sales)'!I$9:I$30)</f>
        <v>8293.8734343140113</v>
      </c>
      <c r="F19" s="61">
        <f>SUMIF('SRC-1 (S.D. Sales)'!$E$9:$E$30,$A19,'SRC-1 (S.D. Sales)'!J$9:J$30)</f>
        <v>0</v>
      </c>
      <c r="G19" s="179">
        <f t="shared" si="0"/>
        <v>673926.87343431404</v>
      </c>
      <c r="H19" s="132">
        <f>SUMIF('SRC-4 (S.D. Customers)'!$E$9:$E$26,$A19,'SRC-4 (S.D. Customers)'!H$9:H$26)</f>
        <v>6</v>
      </c>
      <c r="I19" s="133">
        <f>SUMIF('SRC-4 (S.D. Customers)'!$E$20:$E$26,$A19,'SRC-4 (S.D. Customers)'!H$20:H$26)</f>
        <v>6</v>
      </c>
    </row>
    <row r="20" spans="1:9" x14ac:dyDescent="0.2">
      <c r="A20" s="178" t="s">
        <v>1011</v>
      </c>
      <c r="B20" s="32">
        <v>3</v>
      </c>
      <c r="C20" s="61">
        <f>SUMIF('SRC-1 (S.D. Sales)'!$E$9:$E$30,$A20,'SRC-1 (S.D. Sales)'!G$9:G$30)</f>
        <v>0</v>
      </c>
      <c r="D20" s="61">
        <f>SUMIF('SRC-1 (S.D. Sales)'!$E$9:$E$30,$A20,'SRC-1 (S.D. Sales)'!H$9:H$30)</f>
        <v>0</v>
      </c>
      <c r="E20" s="61">
        <f>SUMIF('SRC-1 (S.D. Sales)'!$E$9:$E$30,$A20,'SRC-1 (S.D. Sales)'!I$9:I$30)</f>
        <v>0</v>
      </c>
      <c r="F20" s="61">
        <f>SUMIF('SRC-1 (S.D. Sales)'!$E$9:$E$30,$A20,'SRC-1 (S.D. Sales)'!J$9:J$30)</f>
        <v>0</v>
      </c>
      <c r="G20" s="179">
        <f t="shared" si="0"/>
        <v>0</v>
      </c>
      <c r="H20" s="132">
        <f>SUMIF('SRC-4 (S.D. Customers)'!$E$9:$E$26,$A20,'SRC-4 (S.D. Customers)'!H$9:H$26)</f>
        <v>0</v>
      </c>
      <c r="I20" s="133">
        <f>SUMIF('SRC-4 (S.D. Customers)'!$E$20:$E$26,$A20,'SRC-4 (S.D. Customers)'!H$20:H$26)</f>
        <v>0</v>
      </c>
    </row>
    <row r="21" spans="1:9" x14ac:dyDescent="0.2">
      <c r="A21" s="178" t="s">
        <v>644</v>
      </c>
      <c r="B21" s="32">
        <v>3</v>
      </c>
      <c r="C21" s="61">
        <f>SUMIF('SRC-1 (S.D. Sales)'!$E$9:$E$30,$A21,'SRC-1 (S.D. Sales)'!G$9:G$30)</f>
        <v>31214361</v>
      </c>
      <c r="D21" s="61">
        <f>SUMIF('SRC-1 (S.D. Sales)'!$E$9:$E$30,$A21,'SRC-1 (S.D. Sales)'!H$9:H$30)</f>
        <v>0</v>
      </c>
      <c r="E21" s="61">
        <f>SUMIF('SRC-1 (S.D. Sales)'!$E$9:$E$30,$A21,'SRC-1 (S.D. Sales)'!I$9:I$30)</f>
        <v>329935.96246449894</v>
      </c>
      <c r="F21" s="61">
        <f>SUMIF('SRC-1 (S.D. Sales)'!$E$9:$E$30,$A21,'SRC-1 (S.D. Sales)'!J$9:J$30)</f>
        <v>0</v>
      </c>
      <c r="G21" s="179">
        <f t="shared" si="0"/>
        <v>31544296.9624645</v>
      </c>
      <c r="H21" s="132">
        <f>SUMIF('SRC-4 (S.D. Customers)'!$E$9:$E$26,$A21,'SRC-4 (S.D. Customers)'!H$9:H$26)</f>
        <v>306</v>
      </c>
      <c r="I21" s="133">
        <f>SUMIF('SRC-4 (S.D. Customers)'!$E$20:$E$26,$A21,'SRC-4 (S.D. Customers)'!H$20:H$26)</f>
        <v>306</v>
      </c>
    </row>
    <row r="22" spans="1:9" x14ac:dyDescent="0.2">
      <c r="A22" s="181" t="s">
        <v>635</v>
      </c>
      <c r="B22" s="31">
        <v>3</v>
      </c>
      <c r="C22" s="130">
        <f>SUMIF('SRC-1 (S.D. Sales)'!$E$9:$E$30,$A22,'SRC-1 (S.D. Sales)'!G$9:G$30)</f>
        <v>788247</v>
      </c>
      <c r="D22" s="130">
        <f>SUMIF('SRC-1 (S.D. Sales)'!$E$9:$E$30,$A22,'SRC-1 (S.D. Sales)'!H$9:H$30)</f>
        <v>-12470.045966749753</v>
      </c>
      <c r="E22" s="130">
        <f>SUMIF('SRC-1 (S.D. Sales)'!$E$9:$E$30,$A22,'SRC-1 (S.D. Sales)'!I$9:I$30)</f>
        <v>0</v>
      </c>
      <c r="F22" s="130">
        <f>SUMIF('SRC-1 (S.D. Sales)'!$E$9:$E$30,$A22,'SRC-1 (S.D. Sales)'!J$9:J$30)</f>
        <v>0</v>
      </c>
      <c r="G22" s="101">
        <f t="shared" si="0"/>
        <v>775776.95403325022</v>
      </c>
      <c r="H22" s="134">
        <f>SUMIF('SRC-4 (S.D. Customers)'!$E$9:$E$26,$A22,'SRC-4 (S.D. Customers)'!H$9:H$26)</f>
        <v>12</v>
      </c>
      <c r="I22" s="135">
        <f>SUMIF('SRC-4 (S.D. Customers)'!$E$20:$E$26,$A22,'SRC-4 (S.D. Customers)'!H$20:H$26)</f>
        <v>0</v>
      </c>
    </row>
    <row r="23" spans="1:9" x14ac:dyDescent="0.2">
      <c r="A23" s="178" t="s">
        <v>387</v>
      </c>
      <c r="C23" s="97">
        <f>SUM(C10:C22)</f>
        <v>148019350</v>
      </c>
      <c r="D23" s="97">
        <f>SUM(D10:D22)</f>
        <v>-1788912</v>
      </c>
      <c r="E23" s="97">
        <f t="shared" ref="E23:F23" si="1">SUM(E10:E22)</f>
        <v>588840</v>
      </c>
      <c r="F23" s="97">
        <f t="shared" si="1"/>
        <v>6224900</v>
      </c>
      <c r="G23" s="99">
        <f>SUM(G10:G22)</f>
        <v>153044178</v>
      </c>
      <c r="H23" s="182">
        <f>SUM(H10:H22)</f>
        <v>1250814</v>
      </c>
      <c r="I23" s="183">
        <f>SUM(I10:I22)</f>
        <v>6349</v>
      </c>
    </row>
    <row r="24" spans="1:9" x14ac:dyDescent="0.2">
      <c r="A24" s="145"/>
      <c r="C24" s="97"/>
      <c r="D24" s="97"/>
      <c r="E24" s="184"/>
      <c r="F24" s="97"/>
      <c r="G24" s="97"/>
    </row>
    <row r="25" spans="1:9" x14ac:dyDescent="0.2">
      <c r="A25" s="32" t="s">
        <v>1044</v>
      </c>
      <c r="C25" s="97"/>
      <c r="D25" s="97"/>
      <c r="E25" s="184"/>
      <c r="F25" s="97"/>
      <c r="G25" s="97"/>
    </row>
    <row r="26" spans="1:9" x14ac:dyDescent="0.2">
      <c r="A26" s="145"/>
      <c r="C26" s="97"/>
      <c r="D26" s="97"/>
      <c r="E26" s="184"/>
      <c r="F26" s="97"/>
      <c r="G26" s="97"/>
    </row>
    <row r="27" spans="1:9" x14ac:dyDescent="0.2">
      <c r="A27" s="178"/>
      <c r="C27" s="33" t="s">
        <v>1043</v>
      </c>
      <c r="D27" s="33"/>
      <c r="F27" s="33" t="s">
        <v>120</v>
      </c>
    </row>
    <row r="28" spans="1:9" x14ac:dyDescent="0.2">
      <c r="A28" s="177" t="s">
        <v>618</v>
      </c>
      <c r="B28" s="46" t="s">
        <v>1045</v>
      </c>
      <c r="C28" s="46" t="s">
        <v>107</v>
      </c>
      <c r="D28" s="46" t="s">
        <v>619</v>
      </c>
      <c r="E28" s="46" t="s">
        <v>620</v>
      </c>
      <c r="F28" s="46" t="s">
        <v>142</v>
      </c>
      <c r="G28" s="72" t="s">
        <v>387</v>
      </c>
    </row>
    <row r="29" spans="1:9" x14ac:dyDescent="0.2">
      <c r="A29" s="185" t="s">
        <v>631</v>
      </c>
      <c r="B29" s="33" t="s">
        <v>1046</v>
      </c>
      <c r="C29" s="61">
        <v>232771</v>
      </c>
      <c r="D29" s="61">
        <v>-3600</v>
      </c>
      <c r="E29" s="132">
        <v>0</v>
      </c>
      <c r="F29" s="132">
        <v>0</v>
      </c>
      <c r="G29" s="186">
        <f>SUM(C29:F29)</f>
        <v>229171</v>
      </c>
    </row>
    <row r="30" spans="1:9" x14ac:dyDescent="0.2">
      <c r="A30" s="185" t="s">
        <v>632</v>
      </c>
      <c r="B30" s="33" t="s">
        <v>1047</v>
      </c>
      <c r="C30" s="61">
        <v>66099250</v>
      </c>
      <c r="D30" s="132">
        <v>-1176721.7116504181</v>
      </c>
      <c r="E30" s="132">
        <v>0</v>
      </c>
      <c r="F30" s="61">
        <v>3729276.8132641921</v>
      </c>
      <c r="G30" s="186">
        <f>SUM(C30:F30)</f>
        <v>68651805.101613775</v>
      </c>
    </row>
    <row r="31" spans="1:9" x14ac:dyDescent="0.2">
      <c r="A31" s="185" t="s">
        <v>632</v>
      </c>
      <c r="B31" s="33" t="s">
        <v>1048</v>
      </c>
      <c r="C31" s="61">
        <v>7959169</v>
      </c>
      <c r="D31" s="132">
        <v>-141691.8795446991</v>
      </c>
      <c r="E31" s="132">
        <v>0</v>
      </c>
      <c r="F31" s="61">
        <v>455792.18673580769</v>
      </c>
      <c r="G31" s="186">
        <f t="shared" ref="G31:G35" si="2">SUM(C31:F31)</f>
        <v>8273269.3071911084</v>
      </c>
    </row>
    <row r="32" spans="1:9" x14ac:dyDescent="0.2">
      <c r="A32" s="185" t="s">
        <v>648</v>
      </c>
      <c r="B32" s="33" t="s">
        <v>1047</v>
      </c>
      <c r="C32" s="187">
        <v>2750</v>
      </c>
      <c r="D32" s="188">
        <v>0</v>
      </c>
      <c r="E32" s="189">
        <v>26</v>
      </c>
      <c r="F32" s="189">
        <v>165</v>
      </c>
      <c r="G32" s="186">
        <f t="shared" si="2"/>
        <v>2941</v>
      </c>
    </row>
    <row r="33" spans="1:12" x14ac:dyDescent="0.2">
      <c r="A33" s="185" t="s">
        <v>648</v>
      </c>
      <c r="B33" s="33" t="s">
        <v>1048</v>
      </c>
      <c r="C33" s="187">
        <v>9575</v>
      </c>
      <c r="D33" s="188">
        <v>0</v>
      </c>
      <c r="E33" s="190">
        <v>90</v>
      </c>
      <c r="F33" s="189">
        <v>576</v>
      </c>
      <c r="G33" s="186">
        <f t="shared" si="2"/>
        <v>10241</v>
      </c>
    </row>
    <row r="34" spans="1:12" x14ac:dyDescent="0.2">
      <c r="A34" s="185" t="s">
        <v>637</v>
      </c>
      <c r="B34" s="33" t="s">
        <v>1046</v>
      </c>
      <c r="C34" s="187">
        <v>17993</v>
      </c>
      <c r="D34" s="61">
        <v>92</v>
      </c>
      <c r="E34" s="190">
        <v>0</v>
      </c>
      <c r="F34" s="189">
        <v>0</v>
      </c>
      <c r="G34" s="186">
        <f t="shared" si="2"/>
        <v>18085</v>
      </c>
    </row>
    <row r="35" spans="1:12" x14ac:dyDescent="0.2">
      <c r="A35" s="185" t="s">
        <v>638</v>
      </c>
      <c r="B35" s="33" t="s">
        <v>1046</v>
      </c>
      <c r="C35" s="187">
        <v>257657</v>
      </c>
      <c r="D35" s="61">
        <v>-877</v>
      </c>
      <c r="E35" s="190">
        <v>0</v>
      </c>
      <c r="F35" s="189">
        <v>0</v>
      </c>
      <c r="G35" s="186">
        <f t="shared" si="2"/>
        <v>256780</v>
      </c>
    </row>
    <row r="36" spans="1:12" x14ac:dyDescent="0.2">
      <c r="A36" s="185" t="s">
        <v>647</v>
      </c>
      <c r="B36" s="33" t="s">
        <v>1047</v>
      </c>
      <c r="C36" s="187">
        <v>162533</v>
      </c>
      <c r="D36" s="188">
        <v>0</v>
      </c>
      <c r="E36" s="190">
        <v>2760</v>
      </c>
      <c r="F36" s="189">
        <v>10718.910382894104</v>
      </c>
      <c r="G36" s="186">
        <f>SUM(C36:F36)</f>
        <v>176011.9103828941</v>
      </c>
    </row>
    <row r="37" spans="1:12" x14ac:dyDescent="0.2">
      <c r="A37" s="177" t="s">
        <v>647</v>
      </c>
      <c r="B37" s="46" t="s">
        <v>1048</v>
      </c>
      <c r="C37" s="191">
        <v>317208</v>
      </c>
      <c r="D37" s="192">
        <v>0</v>
      </c>
      <c r="E37" s="193">
        <v>5387</v>
      </c>
      <c r="F37" s="194">
        <v>18828.089617105896</v>
      </c>
      <c r="G37" s="195">
        <f>SUM(C37:F37)</f>
        <v>341423.0896171059</v>
      </c>
    </row>
    <row r="38" spans="1:12" x14ac:dyDescent="0.2">
      <c r="A38" s="185" t="s">
        <v>387</v>
      </c>
      <c r="C38" s="189">
        <f>SUM(C29:C37)</f>
        <v>75058906</v>
      </c>
      <c r="D38" s="189">
        <f>SUM(D29:D37)</f>
        <v>-1322798.5911951172</v>
      </c>
      <c r="E38" s="189">
        <f>SUM(E29:E37)</f>
        <v>8263</v>
      </c>
      <c r="F38" s="189">
        <f>SUM(F29:F37)</f>
        <v>4215357</v>
      </c>
      <c r="G38" s="196">
        <f>SUM(G29:G37)</f>
        <v>77959727.408804879</v>
      </c>
    </row>
    <row r="40" spans="1:12" x14ac:dyDescent="0.2">
      <c r="A40" s="32" t="s">
        <v>1049</v>
      </c>
    </row>
    <row r="42" spans="1:12" x14ac:dyDescent="0.2">
      <c r="A42" s="178"/>
      <c r="C42" s="33" t="s">
        <v>1043</v>
      </c>
      <c r="D42" s="33"/>
      <c r="F42" s="33" t="s">
        <v>120</v>
      </c>
      <c r="H42" s="146" t="s">
        <v>387</v>
      </c>
      <c r="I42" s="146" t="s">
        <v>620</v>
      </c>
    </row>
    <row r="43" spans="1:12" x14ac:dyDescent="0.2">
      <c r="A43" s="177" t="s">
        <v>618</v>
      </c>
      <c r="B43" s="46" t="s">
        <v>1045</v>
      </c>
      <c r="C43" s="46" t="s">
        <v>107</v>
      </c>
      <c r="D43" s="46" t="s">
        <v>619</v>
      </c>
      <c r="E43" s="46" t="s">
        <v>620</v>
      </c>
      <c r="F43" s="46" t="s">
        <v>142</v>
      </c>
      <c r="G43" s="46" t="s">
        <v>387</v>
      </c>
      <c r="H43" s="46" t="s">
        <v>845</v>
      </c>
      <c r="I43" s="46" t="s">
        <v>845</v>
      </c>
      <c r="J43" s="46" t="s">
        <v>1050</v>
      </c>
      <c r="K43" s="46" t="s">
        <v>1051</v>
      </c>
    </row>
    <row r="44" spans="1:12" x14ac:dyDescent="0.2">
      <c r="A44" s="52" t="s">
        <v>501</v>
      </c>
      <c r="B44" s="33" t="s">
        <v>1047</v>
      </c>
      <c r="C44" s="189">
        <f>C30+C32+C36</f>
        <v>66264533</v>
      </c>
      <c r="D44" s="189">
        <f>D30+D32+D36</f>
        <v>-1176721.7116504181</v>
      </c>
      <c r="E44" s="189">
        <f>E30+E32+E36</f>
        <v>2786</v>
      </c>
      <c r="F44" s="189">
        <f>F30+F32+F36</f>
        <v>3740160.7236470864</v>
      </c>
      <c r="G44" s="189">
        <f>SUM(C44:F44)</f>
        <v>68830758.011996672</v>
      </c>
      <c r="H44" s="156">
        <f>SUM(H10,H12,H14,H13)</f>
        <v>1228100</v>
      </c>
      <c r="I44" s="156">
        <f>SUM(I11:I15)</f>
        <v>1343</v>
      </c>
      <c r="J44" s="197" t="s">
        <v>1052</v>
      </c>
      <c r="K44" s="197" t="s">
        <v>1052</v>
      </c>
    </row>
    <row r="45" spans="1:12" x14ac:dyDescent="0.2">
      <c r="A45" s="52" t="s">
        <v>501</v>
      </c>
      <c r="B45" s="33" t="s">
        <v>1048</v>
      </c>
      <c r="C45" s="189">
        <f t="shared" ref="C45" si="3">C31+C33+C37</f>
        <v>8285952</v>
      </c>
      <c r="D45" s="189">
        <f>D31+D33+D37</f>
        <v>-141691.8795446991</v>
      </c>
      <c r="E45" s="189">
        <f>E31+E33+E37</f>
        <v>5477</v>
      </c>
      <c r="F45" s="189">
        <f>F31+F33+F37</f>
        <v>475196.27635291358</v>
      </c>
      <c r="G45" s="189">
        <f>SUM(C45:F45)</f>
        <v>8624933.3968082145</v>
      </c>
      <c r="H45" s="197" t="s">
        <v>1052</v>
      </c>
      <c r="I45" s="197" t="s">
        <v>1052</v>
      </c>
      <c r="J45" s="197" t="s">
        <v>1052</v>
      </c>
      <c r="K45" s="197" t="s">
        <v>1052</v>
      </c>
    </row>
    <row r="46" spans="1:12" x14ac:dyDescent="0.2">
      <c r="A46" s="52" t="s">
        <v>501</v>
      </c>
      <c r="B46" s="33" t="s">
        <v>295</v>
      </c>
      <c r="C46" s="189">
        <f>C34+C35+C29</f>
        <v>508421</v>
      </c>
      <c r="D46" s="189">
        <f>D11+D15+D10</f>
        <v>-4385.9956184891444</v>
      </c>
      <c r="E46" s="189">
        <f t="shared" ref="E46:F46" si="4">E11+E15</f>
        <v>0</v>
      </c>
      <c r="F46" s="189">
        <f t="shared" si="4"/>
        <v>0</v>
      </c>
      <c r="G46" s="189">
        <f>SUM(C46:F46)</f>
        <v>504035.00438151084</v>
      </c>
      <c r="H46" s="198">
        <f>H11+H15</f>
        <v>99</v>
      </c>
      <c r="I46" s="197" t="s">
        <v>1052</v>
      </c>
      <c r="J46" s="197" t="s">
        <v>1052</v>
      </c>
      <c r="K46" s="197" t="s">
        <v>1052</v>
      </c>
      <c r="L46" s="151"/>
    </row>
    <row r="47" spans="1:12" x14ac:dyDescent="0.2">
      <c r="A47" s="52" t="s">
        <v>502</v>
      </c>
      <c r="B47" s="33" t="s">
        <v>1046</v>
      </c>
      <c r="C47" s="189">
        <f>SUM(C16:C18)</f>
        <v>40292203</v>
      </c>
      <c r="D47" s="189">
        <f>SUM(D16:D18)</f>
        <v>-453642.36721964384</v>
      </c>
      <c r="E47" s="189">
        <f>SUM(E16:E18)</f>
        <v>242346.88794876929</v>
      </c>
      <c r="F47" s="189">
        <f>SUM(F16:F18)</f>
        <v>2009543</v>
      </c>
      <c r="G47" s="189">
        <f>SUM(C47:F47)</f>
        <v>42090450.520729125</v>
      </c>
      <c r="H47" s="189">
        <f>SUM(H16:H18)</f>
        <v>22291</v>
      </c>
      <c r="I47" s="189">
        <f>SUM(I16:I18)</f>
        <v>4694</v>
      </c>
      <c r="J47" s="197" t="s">
        <v>1052</v>
      </c>
      <c r="K47" s="197" t="s">
        <v>1052</v>
      </c>
    </row>
    <row r="48" spans="1:12" x14ac:dyDescent="0.2">
      <c r="A48" s="67" t="s">
        <v>503</v>
      </c>
      <c r="B48" s="46" t="s">
        <v>1046</v>
      </c>
      <c r="C48" s="194">
        <f>SUM(C19:C22)</f>
        <v>32668241</v>
      </c>
      <c r="D48" s="194">
        <f>SUM(D19:D22)</f>
        <v>-12470.045966749753</v>
      </c>
      <c r="E48" s="194">
        <f>SUM(E19:E22)</f>
        <v>338229.83589881298</v>
      </c>
      <c r="F48" s="194">
        <f t="shared" ref="F48" si="5">SUM(F19:F22)</f>
        <v>0</v>
      </c>
      <c r="G48" s="194">
        <f>SUM(C48:F48)</f>
        <v>32994000.789932065</v>
      </c>
      <c r="H48" s="194">
        <f>SUM(H19:H22)</f>
        <v>324</v>
      </c>
      <c r="I48" s="194">
        <f>SUM(I19:I22)</f>
        <v>312</v>
      </c>
      <c r="J48" s="136">
        <v>2361108</v>
      </c>
      <c r="K48" s="136">
        <v>153432</v>
      </c>
    </row>
    <row r="49" spans="1:11" x14ac:dyDescent="0.2">
      <c r="A49" s="185" t="s">
        <v>387</v>
      </c>
      <c r="C49" s="189">
        <f>SUM(C44:C48)</f>
        <v>148019350</v>
      </c>
      <c r="D49" s="189">
        <f>SUM(D44:D48)</f>
        <v>-1788912</v>
      </c>
      <c r="E49" s="189">
        <f t="shared" ref="E49:K49" si="6">SUM(E44:E48)</f>
        <v>588839.72384758224</v>
      </c>
      <c r="F49" s="189">
        <f>SUM(F44:F48)</f>
        <v>6224900</v>
      </c>
      <c r="G49" s="189">
        <f>SUM(G44:G48)</f>
        <v>153044177.7238476</v>
      </c>
      <c r="H49" s="189">
        <f t="shared" si="6"/>
        <v>1250814</v>
      </c>
      <c r="I49" s="189">
        <f t="shared" si="6"/>
        <v>6349</v>
      </c>
      <c r="J49" s="189">
        <f t="shared" si="6"/>
        <v>2361108</v>
      </c>
      <c r="K49" s="189">
        <f t="shared" si="6"/>
        <v>153432</v>
      </c>
    </row>
    <row r="51" spans="1:11" x14ac:dyDescent="0.2">
      <c r="A51" s="32" t="s">
        <v>1053</v>
      </c>
    </row>
    <row r="53" spans="1:11" x14ac:dyDescent="0.2">
      <c r="A53" s="178"/>
      <c r="C53" s="33" t="s">
        <v>1043</v>
      </c>
      <c r="D53" s="33"/>
      <c r="F53" s="33" t="s">
        <v>120</v>
      </c>
      <c r="G53" s="174"/>
      <c r="H53" s="176" t="s">
        <v>387</v>
      </c>
    </row>
    <row r="54" spans="1:11" x14ac:dyDescent="0.2">
      <c r="A54" s="177" t="s">
        <v>618</v>
      </c>
      <c r="B54" s="46" t="s">
        <v>1054</v>
      </c>
      <c r="C54" s="46" t="s">
        <v>107</v>
      </c>
      <c r="D54" s="46" t="s">
        <v>619</v>
      </c>
      <c r="E54" s="46" t="s">
        <v>620</v>
      </c>
      <c r="F54" s="46" t="s">
        <v>142</v>
      </c>
      <c r="G54" s="70" t="s">
        <v>387</v>
      </c>
      <c r="H54" s="71" t="s">
        <v>845</v>
      </c>
    </row>
    <row r="55" spans="1:11" x14ac:dyDescent="0.2">
      <c r="A55" s="185" t="s">
        <v>637</v>
      </c>
      <c r="B55" s="33" t="s">
        <v>1055</v>
      </c>
      <c r="C55" s="61">
        <f>C11</f>
        <v>17993</v>
      </c>
      <c r="D55" s="61">
        <f>D11</f>
        <v>91.662493409069128</v>
      </c>
      <c r="E55" s="132">
        <v>0</v>
      </c>
      <c r="F55" s="132">
        <v>0</v>
      </c>
      <c r="G55" s="179">
        <f>SUM(C55:F55)</f>
        <v>18084.662493409069</v>
      </c>
      <c r="H55" s="199">
        <v>18</v>
      </c>
    </row>
    <row r="56" spans="1:11" x14ac:dyDescent="0.2">
      <c r="A56" s="185" t="s">
        <v>637</v>
      </c>
      <c r="B56" s="33" t="s">
        <v>1056</v>
      </c>
      <c r="C56" s="61">
        <v>0</v>
      </c>
      <c r="D56" s="61">
        <v>0</v>
      </c>
      <c r="E56" s="132">
        <v>0</v>
      </c>
      <c r="F56" s="188">
        <v>0</v>
      </c>
      <c r="G56" s="179">
        <f>SUM(C56:F56)</f>
        <v>0</v>
      </c>
      <c r="H56" s="200">
        <v>6</v>
      </c>
    </row>
    <row r="57" spans="1:11" x14ac:dyDescent="0.2">
      <c r="A57" s="185" t="s">
        <v>1011</v>
      </c>
      <c r="B57" s="33" t="s">
        <v>1055</v>
      </c>
      <c r="C57" s="61">
        <v>0</v>
      </c>
      <c r="D57" s="61">
        <v>0</v>
      </c>
      <c r="E57" s="132">
        <v>0</v>
      </c>
      <c r="F57" s="188">
        <v>0</v>
      </c>
      <c r="G57" s="179">
        <f t="shared" ref="G57:G58" si="7">SUM(C57:F57)</f>
        <v>0</v>
      </c>
      <c r="H57" s="200" t="s">
        <v>1052</v>
      </c>
    </row>
    <row r="58" spans="1:11" x14ac:dyDescent="0.2">
      <c r="A58" s="177" t="s">
        <v>1011</v>
      </c>
      <c r="B58" s="46" t="s">
        <v>1056</v>
      </c>
      <c r="C58" s="192">
        <v>0</v>
      </c>
      <c r="D58" s="192">
        <v>0</v>
      </c>
      <c r="E58" s="194">
        <v>0</v>
      </c>
      <c r="F58" s="194">
        <v>0</v>
      </c>
      <c r="G58" s="101">
        <f t="shared" si="7"/>
        <v>0</v>
      </c>
      <c r="H58" s="201" t="s">
        <v>1052</v>
      </c>
    </row>
    <row r="59" spans="1:11" x14ac:dyDescent="0.2">
      <c r="A59" s="185" t="s">
        <v>387</v>
      </c>
      <c r="C59" s="189">
        <f t="shared" ref="C59:H59" si="8">SUM(C55:C58)</f>
        <v>17993</v>
      </c>
      <c r="D59" s="189">
        <f t="shared" si="8"/>
        <v>91.662493409069128</v>
      </c>
      <c r="E59" s="189">
        <f t="shared" si="8"/>
        <v>0</v>
      </c>
      <c r="F59" s="189">
        <f t="shared" si="8"/>
        <v>0</v>
      </c>
      <c r="G59" s="202">
        <f t="shared" si="8"/>
        <v>18084.662493409069</v>
      </c>
      <c r="H59" s="203">
        <f t="shared" si="8"/>
        <v>24</v>
      </c>
    </row>
    <row r="61" spans="1:11" x14ac:dyDescent="0.2">
      <c r="A61" s="32" t="s">
        <v>1057</v>
      </c>
    </row>
    <row r="63" spans="1:11" x14ac:dyDescent="0.2">
      <c r="A63" s="67" t="s">
        <v>626</v>
      </c>
      <c r="B63" s="46" t="s">
        <v>1058</v>
      </c>
      <c r="C63" s="46" t="s">
        <v>865</v>
      </c>
    </row>
    <row r="64" spans="1:11" x14ac:dyDescent="0.2">
      <c r="A64" s="52">
        <v>1</v>
      </c>
      <c r="B64" s="33" t="s">
        <v>1059</v>
      </c>
      <c r="C64" s="9">
        <f>'RD-4 (MTR)'!C207</f>
        <v>1223400.3979999998</v>
      </c>
    </row>
    <row r="65" spans="1:5" x14ac:dyDescent="0.2">
      <c r="A65" s="52">
        <v>2</v>
      </c>
      <c r="B65" s="33" t="s">
        <v>1060</v>
      </c>
      <c r="C65" s="9">
        <f>'RD-4 (MTR)'!C208</f>
        <v>19816.900999999994</v>
      </c>
    </row>
    <row r="66" spans="1:5" x14ac:dyDescent="0.2">
      <c r="A66" s="52">
        <v>3</v>
      </c>
      <c r="B66" s="33" t="s">
        <v>1061</v>
      </c>
      <c r="C66" s="9">
        <f>'RD-4 (MTR)'!C209</f>
        <v>5015.3270000000002</v>
      </c>
    </row>
    <row r="67" spans="1:5" x14ac:dyDescent="0.2">
      <c r="A67" s="67">
        <v>4</v>
      </c>
      <c r="B67" s="46" t="s">
        <v>1062</v>
      </c>
      <c r="C67" s="69">
        <f>'RD-4 (MTR)'!C210</f>
        <v>441.63100000000009</v>
      </c>
    </row>
    <row r="68" spans="1:5" x14ac:dyDescent="0.2">
      <c r="A68" s="185" t="s">
        <v>387</v>
      </c>
      <c r="C68" s="189">
        <f>SUM(C64:C67)</f>
        <v>1248674.257</v>
      </c>
    </row>
    <row r="70" spans="1:5" x14ac:dyDescent="0.2">
      <c r="A70" s="32" t="s">
        <v>1063</v>
      </c>
    </row>
    <row r="72" spans="1:5" x14ac:dyDescent="0.2">
      <c r="A72" s="177" t="s">
        <v>618</v>
      </c>
      <c r="B72" s="67">
        <v>1</v>
      </c>
      <c r="C72" s="67">
        <v>2</v>
      </c>
      <c r="D72" s="67">
        <v>3</v>
      </c>
      <c r="E72" s="67">
        <v>4</v>
      </c>
    </row>
    <row r="73" spans="1:5" x14ac:dyDescent="0.2">
      <c r="A73" s="178" t="s">
        <v>631</v>
      </c>
      <c r="B73" s="9">
        <f>'RD-4 (MTR)'!C245</f>
        <v>1410.6329999999998</v>
      </c>
      <c r="C73" s="9">
        <f>'RD-4 (MTR)'!D245</f>
        <v>474.60199999999998</v>
      </c>
      <c r="D73" s="9">
        <f>'RD-4 (MTR)'!E245</f>
        <v>24.166999999999998</v>
      </c>
      <c r="E73" s="9">
        <f>'RD-4 (MTR)'!F245</f>
        <v>0</v>
      </c>
    </row>
    <row r="74" spans="1:5" x14ac:dyDescent="0.2">
      <c r="A74" s="178" t="s">
        <v>637</v>
      </c>
      <c r="B74" s="9">
        <f>'RD-4 (MTR)'!C246</f>
        <v>0</v>
      </c>
      <c r="C74" s="9">
        <f>'RD-4 (MTR)'!D246</f>
        <v>23.9</v>
      </c>
      <c r="D74" s="9">
        <f>'RD-4 (MTR)'!E246</f>
        <v>0</v>
      </c>
      <c r="E74" s="9">
        <f>'RD-4 (MTR)'!F246</f>
        <v>0</v>
      </c>
    </row>
    <row r="75" spans="1:5" x14ac:dyDescent="0.2">
      <c r="A75" s="178" t="s">
        <v>648</v>
      </c>
      <c r="B75" s="9">
        <f>'RD-4 (MTR)'!C247</f>
        <v>0</v>
      </c>
      <c r="C75" s="9">
        <f>'RD-4 (MTR)'!D247</f>
        <v>11</v>
      </c>
      <c r="D75" s="9">
        <f>'RD-4 (MTR)'!E247</f>
        <v>0</v>
      </c>
      <c r="E75" s="9">
        <f>'RD-4 (MTR)'!F247</f>
        <v>0</v>
      </c>
    </row>
    <row r="76" spans="1:5" x14ac:dyDescent="0.2">
      <c r="A76" s="178" t="s">
        <v>647</v>
      </c>
      <c r="B76" s="9">
        <f>'RD-4 (MTR)'!C248</f>
        <v>1052.2660000000001</v>
      </c>
      <c r="C76" s="9">
        <f>'RD-4 (MTR)'!D248</f>
        <v>253.566</v>
      </c>
      <c r="D76" s="9">
        <f>'RD-4 (MTR)'!E248</f>
        <v>27.9</v>
      </c>
      <c r="E76" s="9">
        <f>'RD-4 (MTR)'!F248</f>
        <v>0</v>
      </c>
    </row>
    <row r="77" spans="1:5" x14ac:dyDescent="0.2">
      <c r="A77" s="178" t="s">
        <v>632</v>
      </c>
      <c r="B77" s="9">
        <f>'RD-4 (MTR)'!C249</f>
        <v>1214698.6429999997</v>
      </c>
      <c r="C77" s="9">
        <f>'RD-4 (MTR)'!D249</f>
        <v>7584.0199999999995</v>
      </c>
      <c r="D77" s="9">
        <f>'RD-4 (MTR)'!E249</f>
        <v>438.23400000000004</v>
      </c>
      <c r="E77" s="9">
        <f>'RD-4 (MTR)'!F249</f>
        <v>12</v>
      </c>
    </row>
    <row r="78" spans="1:5" x14ac:dyDescent="0.2">
      <c r="A78" s="178" t="s">
        <v>638</v>
      </c>
      <c r="B78" s="9">
        <f>'RD-4 (MTR)'!C250</f>
        <v>0</v>
      </c>
      <c r="C78" s="9">
        <f>'RD-4 (MTR)'!D250</f>
        <v>12</v>
      </c>
      <c r="D78" s="9">
        <f>'RD-4 (MTR)'!E250</f>
        <v>24</v>
      </c>
      <c r="E78" s="9">
        <f>'RD-4 (MTR)'!F250</f>
        <v>38.164999999999999</v>
      </c>
    </row>
    <row r="79" spans="1:5" x14ac:dyDescent="0.2">
      <c r="A79" s="178" t="s">
        <v>646</v>
      </c>
      <c r="B79" s="9">
        <f>'RD-4 (MTR)'!C251</f>
        <v>0</v>
      </c>
      <c r="C79" s="9">
        <f>'RD-4 (MTR)'!D251</f>
        <v>456</v>
      </c>
      <c r="D79" s="9">
        <f>'RD-4 (MTR)'!E251</f>
        <v>709</v>
      </c>
      <c r="E79" s="9">
        <f>'RD-4 (MTR)'!F251</f>
        <v>84</v>
      </c>
    </row>
    <row r="80" spans="1:5" x14ac:dyDescent="0.2">
      <c r="A80" s="178" t="s">
        <v>645</v>
      </c>
      <c r="B80" s="9">
        <f>'RD-4 (MTR)'!C252</f>
        <v>514.66599999999994</v>
      </c>
      <c r="C80" s="9">
        <f>'RD-4 (MTR)'!D252</f>
        <v>1587.2620000000002</v>
      </c>
      <c r="D80" s="9">
        <f>'RD-4 (MTR)'!E252</f>
        <v>1254.664</v>
      </c>
      <c r="E80" s="9">
        <f>'RD-4 (MTR)'!F252</f>
        <v>37.732999999999997</v>
      </c>
    </row>
    <row r="81" spans="1:5" x14ac:dyDescent="0.2">
      <c r="A81" s="178" t="s">
        <v>636</v>
      </c>
      <c r="B81" s="9">
        <f>'RD-4 (MTR)'!C253</f>
        <v>5724.1899999999987</v>
      </c>
      <c r="C81" s="9">
        <f>'RD-4 (MTR)'!D253</f>
        <v>9409.5509999999995</v>
      </c>
      <c r="D81" s="9">
        <f>'RD-4 (MTR)'!E253</f>
        <v>2405.3620000000001</v>
      </c>
      <c r="E81" s="9">
        <f>'RD-4 (MTR)'!F253</f>
        <v>94.733000000000004</v>
      </c>
    </row>
    <row r="82" spans="1:5" x14ac:dyDescent="0.2">
      <c r="A82" s="178" t="s">
        <v>643</v>
      </c>
      <c r="B82" s="9">
        <f>'RD-4 (MTR)'!C254</f>
        <v>0</v>
      </c>
      <c r="C82" s="9">
        <f>'RD-4 (MTR)'!D254</f>
        <v>0</v>
      </c>
      <c r="D82" s="9">
        <f>'RD-4 (MTR)'!E254</f>
        <v>0</v>
      </c>
      <c r="E82" s="9">
        <f>'RD-4 (MTR)'!F254</f>
        <v>0</v>
      </c>
    </row>
    <row r="83" spans="1:5" x14ac:dyDescent="0.2">
      <c r="A83" s="178" t="s">
        <v>1011</v>
      </c>
      <c r="B83" s="9">
        <f>'RD-4 (MTR)'!C255</f>
        <v>0</v>
      </c>
      <c r="C83" s="9">
        <f>'RD-4 (MTR)'!D255</f>
        <v>0</v>
      </c>
      <c r="D83" s="9">
        <f>'RD-4 (MTR)'!E255</f>
        <v>0</v>
      </c>
      <c r="E83" s="9">
        <f>'RD-4 (MTR)'!F255</f>
        <v>0</v>
      </c>
    </row>
    <row r="84" spans="1:5" x14ac:dyDescent="0.2">
      <c r="A84" s="178" t="s">
        <v>644</v>
      </c>
      <c r="B84" s="9">
        <f>'RD-4 (MTR)'!C256</f>
        <v>0</v>
      </c>
      <c r="C84" s="9">
        <f>'RD-4 (MTR)'!D256</f>
        <v>5</v>
      </c>
      <c r="D84" s="9">
        <f>'RD-4 (MTR)'!E256</f>
        <v>132</v>
      </c>
      <c r="E84" s="9">
        <f>'RD-4 (MTR)'!F256</f>
        <v>163</v>
      </c>
    </row>
    <row r="85" spans="1:5" x14ac:dyDescent="0.2">
      <c r="A85" s="181" t="s">
        <v>635</v>
      </c>
      <c r="B85" s="69">
        <f>'RD-4 (MTR)'!C257</f>
        <v>0</v>
      </c>
      <c r="C85" s="69">
        <f>'RD-4 (MTR)'!D257</f>
        <v>0</v>
      </c>
      <c r="D85" s="69">
        <f>'RD-4 (MTR)'!E257</f>
        <v>0</v>
      </c>
      <c r="E85" s="69">
        <f>'RD-4 (MTR)'!F257</f>
        <v>12</v>
      </c>
    </row>
    <row r="86" spans="1:5" x14ac:dyDescent="0.2">
      <c r="A86" s="185" t="s">
        <v>387</v>
      </c>
      <c r="B86" s="189">
        <f>SUM(B73:B85)</f>
        <v>1223400.3979999996</v>
      </c>
      <c r="C86" s="189">
        <f t="shared" ref="C86:E86" si="9">SUM(C73:C85)</f>
        <v>19816.900999999998</v>
      </c>
      <c r="D86" s="189">
        <f t="shared" si="9"/>
        <v>5015.3270000000002</v>
      </c>
      <c r="E86" s="189">
        <f t="shared" si="9"/>
        <v>441.63099999999997</v>
      </c>
    </row>
  </sheetData>
  <pageMargins left="0.7" right="0.7" top="0.75" bottom="0.75" header="0.3" footer="0.3"/>
  <pageSetup scale="46" orientation="landscape" r:id="rId1"/>
  <headerFooter>
    <oddHeader>&amp;CRULE 20:10:13:98
STATEMENT O WORKPAPER - Tab &amp;A
Billing Determinants
Test Year Ending December 31, 2021
Utility: MidAmerican Energy Company
Docket No. NG22-___
Individual Responsible: Amanda Hosch</oddHeader>
    <oddFooter>&amp;CRULE 20:10:13:98
Statement O Workpapers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285"/>
  <sheetViews>
    <sheetView view="pageLayout" zoomScale="70" zoomScaleNormal="100" zoomScalePageLayoutView="70" workbookViewId="0"/>
  </sheetViews>
  <sheetFormatPr defaultColWidth="9.140625" defaultRowHeight="12.75" x14ac:dyDescent="0.2"/>
  <cols>
    <col min="1" max="1" width="7.85546875" style="11" customWidth="1"/>
    <col min="2" max="2" width="8.85546875" style="11" customWidth="1"/>
    <col min="3" max="3" width="5" style="11" customWidth="1"/>
    <col min="4" max="5" width="5.140625" style="11" customWidth="1"/>
    <col min="6" max="6" width="29" style="11" customWidth="1"/>
    <col min="7" max="7" width="20.140625" style="11" customWidth="1"/>
    <col min="8" max="8" width="16.5703125" style="11" customWidth="1"/>
    <col min="9" max="9" width="19" style="11" bestFit="1" customWidth="1"/>
    <col min="10" max="10" width="5.28515625" style="11" customWidth="1"/>
    <col min="11" max="16" width="15" style="11" customWidth="1"/>
    <col min="17" max="17" width="15.5703125" style="11" customWidth="1"/>
    <col min="18" max="24" width="14.5703125" style="11" customWidth="1"/>
    <col min="25" max="25" width="15.85546875" style="11" customWidth="1"/>
    <col min="26" max="26" width="14.5703125" style="11" customWidth="1"/>
    <col min="27" max="27" width="16.85546875" style="11" bestFit="1" customWidth="1"/>
    <col min="28" max="29" width="14.5703125" style="11" customWidth="1"/>
    <col min="30" max="31" width="14.140625" style="11" customWidth="1"/>
    <col min="32" max="32" width="9.140625" style="11"/>
    <col min="33" max="33" width="12.28515625" style="11" bestFit="1" customWidth="1"/>
    <col min="34" max="16384" width="9.140625" style="11"/>
  </cols>
  <sheetData>
    <row r="1" spans="1:33" ht="18" x14ac:dyDescent="0.25">
      <c r="A1" s="106" t="s">
        <v>85</v>
      </c>
      <c r="C1" s="10"/>
    </row>
    <row r="2" spans="1:33" s="54" customFormat="1" ht="12" customHeight="1" x14ac:dyDescent="0.2">
      <c r="B2" s="55"/>
      <c r="C2" s="56"/>
      <c r="K2" s="13" t="s">
        <v>86</v>
      </c>
      <c r="L2" s="13" t="s">
        <v>87</v>
      </c>
      <c r="M2" s="13" t="s">
        <v>88</v>
      </c>
      <c r="N2" s="13" t="s">
        <v>89</v>
      </c>
      <c r="O2" s="13" t="s">
        <v>90</v>
      </c>
      <c r="P2" s="13" t="s">
        <v>91</v>
      </c>
      <c r="Q2" s="13" t="s">
        <v>92</v>
      </c>
      <c r="R2" s="13" t="s">
        <v>93</v>
      </c>
      <c r="S2" s="13" t="s">
        <v>94</v>
      </c>
      <c r="T2" s="13" t="s">
        <v>95</v>
      </c>
      <c r="U2" s="13" t="s">
        <v>96</v>
      </c>
      <c r="V2" s="13" t="s">
        <v>97</v>
      </c>
      <c r="W2" s="13" t="s">
        <v>98</v>
      </c>
      <c r="X2" s="13" t="s">
        <v>99</v>
      </c>
      <c r="Y2" s="13" t="s">
        <v>100</v>
      </c>
      <c r="Z2" s="13" t="s">
        <v>101</v>
      </c>
      <c r="AA2" s="13" t="s">
        <v>102</v>
      </c>
      <c r="AB2" s="13" t="s">
        <v>103</v>
      </c>
      <c r="AC2" s="13"/>
      <c r="AD2" s="13"/>
      <c r="AE2" s="13"/>
    </row>
    <row r="3" spans="1:33" x14ac:dyDescent="0.2">
      <c r="B3" s="23"/>
      <c r="C3" s="23"/>
      <c r="D3" s="23"/>
      <c r="E3" s="23"/>
      <c r="F3" s="23"/>
      <c r="I3" s="158"/>
      <c r="K3" s="13"/>
      <c r="L3" s="13"/>
      <c r="M3" s="13"/>
      <c r="N3" s="13"/>
      <c r="O3" s="13"/>
      <c r="P3" s="13"/>
      <c r="S3" s="13"/>
      <c r="T3" s="13" t="s">
        <v>104</v>
      </c>
      <c r="Y3" s="13"/>
    </row>
    <row r="4" spans="1:33" x14ac:dyDescent="0.2">
      <c r="B4" s="23"/>
      <c r="C4" s="23"/>
      <c r="D4" s="23"/>
      <c r="E4" s="23"/>
      <c r="F4" s="23"/>
      <c r="S4" s="13"/>
      <c r="Y4" s="13"/>
    </row>
    <row r="5" spans="1:33" x14ac:dyDescent="0.2">
      <c r="B5" s="23"/>
      <c r="C5" s="23"/>
      <c r="D5" s="23"/>
      <c r="E5" s="23"/>
      <c r="F5" s="23"/>
      <c r="K5" s="23"/>
      <c r="L5" s="23"/>
      <c r="M5" s="23"/>
      <c r="N5" s="23"/>
      <c r="O5" s="23" t="s">
        <v>105</v>
      </c>
      <c r="P5" s="23"/>
      <c r="Q5" s="23"/>
      <c r="R5" s="23"/>
      <c r="S5" s="23" t="s">
        <v>106</v>
      </c>
      <c r="T5" s="23" t="s">
        <v>105</v>
      </c>
      <c r="U5" s="23" t="s">
        <v>107</v>
      </c>
      <c r="V5" s="23"/>
      <c r="W5" s="23"/>
      <c r="X5" s="23" t="s">
        <v>108</v>
      </c>
      <c r="Y5" s="23"/>
      <c r="Z5" s="23"/>
      <c r="AA5" s="23" t="s">
        <v>109</v>
      </c>
      <c r="AB5" s="23"/>
      <c r="AC5" s="23" t="s">
        <v>110</v>
      </c>
      <c r="AD5" s="23" t="s">
        <v>110</v>
      </c>
      <c r="AE5" s="23" t="s">
        <v>111</v>
      </c>
    </row>
    <row r="6" spans="1:33" ht="12.75" customHeight="1" x14ac:dyDescent="0.2">
      <c r="A6" s="11" t="s">
        <v>10</v>
      </c>
      <c r="B6" s="12"/>
      <c r="C6" s="12"/>
      <c r="D6" s="12"/>
      <c r="E6" s="12"/>
      <c r="F6" s="12"/>
      <c r="G6" s="23"/>
      <c r="H6" s="23" t="s">
        <v>112</v>
      </c>
      <c r="I6" s="23"/>
      <c r="J6" s="23"/>
      <c r="K6" s="23" t="s">
        <v>113</v>
      </c>
      <c r="L6" s="23" t="s">
        <v>114</v>
      </c>
      <c r="M6" s="23" t="s">
        <v>115</v>
      </c>
      <c r="N6" s="23" t="s">
        <v>116</v>
      </c>
      <c r="O6" s="23" t="s">
        <v>117</v>
      </c>
      <c r="P6" s="23" t="s">
        <v>118</v>
      </c>
      <c r="Q6" s="23" t="s">
        <v>119</v>
      </c>
      <c r="R6" s="23" t="s">
        <v>120</v>
      </c>
      <c r="S6" s="23" t="s">
        <v>121</v>
      </c>
      <c r="T6" s="23" t="s">
        <v>122</v>
      </c>
      <c r="U6" s="23" t="s">
        <v>123</v>
      </c>
      <c r="V6" s="23" t="s">
        <v>124</v>
      </c>
      <c r="W6" s="23" t="s">
        <v>125</v>
      </c>
      <c r="X6" s="23" t="s">
        <v>126</v>
      </c>
      <c r="Y6" s="23" t="s">
        <v>127</v>
      </c>
      <c r="Z6" s="23" t="s">
        <v>128</v>
      </c>
      <c r="AA6" s="23" t="s">
        <v>129</v>
      </c>
      <c r="AB6" s="23" t="s">
        <v>130</v>
      </c>
      <c r="AC6" s="23" t="s">
        <v>131</v>
      </c>
      <c r="AD6" s="23" t="s">
        <v>132</v>
      </c>
      <c r="AE6" s="23" t="s">
        <v>131</v>
      </c>
      <c r="AF6" s="23"/>
      <c r="AG6" s="23"/>
    </row>
    <row r="7" spans="1:33" x14ac:dyDescent="0.2">
      <c r="A7" s="24" t="s">
        <v>1098</v>
      </c>
      <c r="B7" s="111" t="s">
        <v>133</v>
      </c>
      <c r="C7" s="24" t="s">
        <v>11</v>
      </c>
      <c r="D7" s="24"/>
      <c r="E7" s="24"/>
      <c r="F7" s="57"/>
      <c r="G7" s="28" t="s">
        <v>134</v>
      </c>
      <c r="H7" s="28" t="s">
        <v>135</v>
      </c>
      <c r="I7" s="28" t="s">
        <v>112</v>
      </c>
      <c r="J7" s="28"/>
      <c r="K7" s="28" t="s">
        <v>12</v>
      </c>
      <c r="L7" s="28" t="s">
        <v>136</v>
      </c>
      <c r="M7" s="28" t="s">
        <v>137</v>
      </c>
      <c r="N7" s="28" t="s">
        <v>138</v>
      </c>
      <c r="O7" s="28" t="s">
        <v>139</v>
      </c>
      <c r="P7" s="28" t="s">
        <v>140</v>
      </c>
      <c r="Q7" s="28" t="s">
        <v>141</v>
      </c>
      <c r="R7" s="28" t="s">
        <v>142</v>
      </c>
      <c r="S7" s="28" t="s">
        <v>143</v>
      </c>
      <c r="T7" s="28" t="s">
        <v>144</v>
      </c>
      <c r="U7" s="28" t="s">
        <v>145</v>
      </c>
      <c r="V7" s="28" t="s">
        <v>146</v>
      </c>
      <c r="W7" s="28" t="s">
        <v>147</v>
      </c>
      <c r="X7" s="28" t="s">
        <v>148</v>
      </c>
      <c r="Y7" s="28" t="s">
        <v>143</v>
      </c>
      <c r="Z7" s="28" t="s">
        <v>135</v>
      </c>
      <c r="AA7" s="28" t="s">
        <v>149</v>
      </c>
      <c r="AB7" s="28" t="s">
        <v>150</v>
      </c>
      <c r="AC7" s="28" t="s">
        <v>151</v>
      </c>
      <c r="AD7" s="28" t="s">
        <v>151</v>
      </c>
      <c r="AE7" s="28" t="s">
        <v>151</v>
      </c>
      <c r="AF7" s="145"/>
      <c r="AG7" s="145"/>
    </row>
    <row r="8" spans="1:33" x14ac:dyDescent="0.2">
      <c r="B8" s="23" t="s">
        <v>24</v>
      </c>
      <c r="C8" s="23" t="s">
        <v>25</v>
      </c>
      <c r="D8" s="23" t="s">
        <v>26</v>
      </c>
      <c r="E8" s="23" t="s">
        <v>27</v>
      </c>
      <c r="F8" s="23"/>
      <c r="G8" s="23" t="s">
        <v>28</v>
      </c>
      <c r="H8" s="23" t="s">
        <v>29</v>
      </c>
      <c r="I8" s="23" t="s">
        <v>30</v>
      </c>
      <c r="J8" s="23"/>
      <c r="K8" s="23" t="s">
        <v>31</v>
      </c>
      <c r="L8" s="23" t="s">
        <v>32</v>
      </c>
      <c r="M8" s="23" t="s">
        <v>33</v>
      </c>
      <c r="N8" s="23" t="s">
        <v>34</v>
      </c>
      <c r="O8" s="23" t="s">
        <v>35</v>
      </c>
      <c r="P8" s="23" t="s">
        <v>36</v>
      </c>
      <c r="Q8" s="23" t="s">
        <v>37</v>
      </c>
      <c r="R8" s="23" t="s">
        <v>38</v>
      </c>
      <c r="S8" s="23" t="s">
        <v>152</v>
      </c>
      <c r="T8" s="107" t="s">
        <v>153</v>
      </c>
      <c r="U8" s="23" t="s">
        <v>154</v>
      </c>
      <c r="V8" s="23" t="s">
        <v>155</v>
      </c>
      <c r="W8" s="23" t="s">
        <v>156</v>
      </c>
      <c r="X8" s="23" t="s">
        <v>157</v>
      </c>
      <c r="Y8" s="23" t="s">
        <v>158</v>
      </c>
      <c r="Z8" s="23" t="s">
        <v>159</v>
      </c>
      <c r="AA8" s="23" t="s">
        <v>160</v>
      </c>
      <c r="AB8" s="23" t="s">
        <v>161</v>
      </c>
      <c r="AC8" s="23" t="s">
        <v>162</v>
      </c>
      <c r="AD8" s="23" t="s">
        <v>163</v>
      </c>
      <c r="AE8" s="23" t="s">
        <v>164</v>
      </c>
      <c r="AF8" s="145"/>
      <c r="AG8" s="145"/>
    </row>
    <row r="9" spans="1:33" x14ac:dyDescent="0.2">
      <c r="B9" s="12"/>
      <c r="G9" s="13"/>
      <c r="H9" s="13"/>
      <c r="I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3" ht="18" x14ac:dyDescent="0.25">
      <c r="A10" s="58" t="s">
        <v>165</v>
      </c>
      <c r="C10" s="10"/>
      <c r="H10" s="158"/>
      <c r="N10" s="13"/>
    </row>
    <row r="11" spans="1:33" x14ac:dyDescent="0.2">
      <c r="B11" s="23"/>
      <c r="C11" s="12"/>
    </row>
    <row r="12" spans="1:33" x14ac:dyDescent="0.2">
      <c r="B12" s="23"/>
      <c r="C12" s="12" t="s">
        <v>166</v>
      </c>
    </row>
    <row r="13" spans="1:33" x14ac:dyDescent="0.2">
      <c r="A13" s="12">
        <v>1</v>
      </c>
      <c r="B13" s="159">
        <v>304</v>
      </c>
      <c r="C13" s="12"/>
      <c r="D13" s="11" t="s">
        <v>167</v>
      </c>
      <c r="G13" s="118">
        <v>0</v>
      </c>
      <c r="H13" s="158">
        <f t="shared" ref="H13:H18" si="0">SUM(K13:AD13)</f>
        <v>0</v>
      </c>
      <c r="I13" s="74">
        <f>G13+H13</f>
        <v>0</v>
      </c>
      <c r="J13" s="160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3" x14ac:dyDescent="0.2">
      <c r="A14" s="12">
        <f>+A13+1</f>
        <v>2</v>
      </c>
      <c r="B14" s="159">
        <v>305</v>
      </c>
      <c r="C14" s="12"/>
      <c r="D14" s="11" t="s">
        <v>168</v>
      </c>
      <c r="G14" s="118">
        <v>0</v>
      </c>
      <c r="H14" s="158">
        <f t="shared" si="0"/>
        <v>0</v>
      </c>
      <c r="I14" s="74">
        <f>G14+H14</f>
        <v>0</v>
      </c>
      <c r="J14" s="160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3" x14ac:dyDescent="0.2">
      <c r="A15" s="12">
        <f t="shared" ref="A15:A19" si="1">+A14+1</f>
        <v>3</v>
      </c>
      <c r="B15" s="159">
        <v>306</v>
      </c>
      <c r="C15" s="12"/>
      <c r="D15" s="11" t="s">
        <v>169</v>
      </c>
      <c r="G15" s="118">
        <v>0</v>
      </c>
      <c r="H15" s="158">
        <f t="shared" si="0"/>
        <v>0</v>
      </c>
      <c r="I15" s="74">
        <f t="shared" ref="I15:I16" si="2">G15+H15</f>
        <v>0</v>
      </c>
      <c r="J15" s="16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3" x14ac:dyDescent="0.2">
      <c r="A16" s="12">
        <f t="shared" si="1"/>
        <v>4</v>
      </c>
      <c r="B16" s="159">
        <v>307</v>
      </c>
      <c r="C16" s="12"/>
      <c r="D16" s="11" t="s">
        <v>170</v>
      </c>
      <c r="G16" s="118">
        <v>0</v>
      </c>
      <c r="H16" s="158">
        <f t="shared" si="0"/>
        <v>0</v>
      </c>
      <c r="I16" s="74">
        <f t="shared" si="2"/>
        <v>0</v>
      </c>
      <c r="J16" s="160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x14ac:dyDescent="0.2">
      <c r="A17" s="12">
        <f t="shared" si="1"/>
        <v>5</v>
      </c>
      <c r="B17" s="159">
        <v>311</v>
      </c>
      <c r="C17" s="12"/>
      <c r="D17" s="11" t="s">
        <v>171</v>
      </c>
      <c r="G17" s="118">
        <v>0</v>
      </c>
      <c r="H17" s="158">
        <f t="shared" si="0"/>
        <v>0</v>
      </c>
      <c r="I17" s="74">
        <f>G17+H17</f>
        <v>0</v>
      </c>
      <c r="J17" s="160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5" x14ac:dyDescent="0.35">
      <c r="A18" s="111">
        <f t="shared" si="1"/>
        <v>6</v>
      </c>
      <c r="B18" s="60">
        <v>320</v>
      </c>
      <c r="C18" s="111"/>
      <c r="D18" s="24" t="s">
        <v>172</v>
      </c>
      <c r="E18" s="24"/>
      <c r="F18" s="24"/>
      <c r="G18" s="109">
        <v>0</v>
      </c>
      <c r="H18" s="161">
        <f t="shared" si="0"/>
        <v>0</v>
      </c>
      <c r="I18" s="89">
        <f>G18+H18</f>
        <v>0</v>
      </c>
      <c r="J18" s="160"/>
      <c r="K18" s="109"/>
      <c r="L18" s="109"/>
      <c r="M18" s="109"/>
      <c r="N18" s="109"/>
      <c r="O18" s="109"/>
      <c r="P18" s="109"/>
      <c r="Q18" s="114"/>
      <c r="R18" s="114"/>
      <c r="S18" s="114"/>
      <c r="T18" s="114"/>
      <c r="U18" s="114"/>
      <c r="V18" s="114"/>
      <c r="W18" s="114"/>
      <c r="X18" s="114"/>
      <c r="Y18" s="109"/>
      <c r="Z18" s="114"/>
      <c r="AA18" s="114"/>
      <c r="AB18" s="114"/>
      <c r="AC18" s="114"/>
      <c r="AD18" s="114"/>
      <c r="AE18" s="114"/>
    </row>
    <row r="19" spans="1:31" x14ac:dyDescent="0.2">
      <c r="A19" s="12">
        <f t="shared" si="1"/>
        <v>7</v>
      </c>
      <c r="B19" s="12"/>
      <c r="C19" s="12" t="s">
        <v>173</v>
      </c>
      <c r="G19" s="74">
        <f>SUM(G13:G18)</f>
        <v>0</v>
      </c>
      <c r="H19" s="74">
        <f>SUM(H13:H18)</f>
        <v>0</v>
      </c>
      <c r="I19" s="74">
        <f>SUM(I13:I18)</f>
        <v>0</v>
      </c>
      <c r="K19" s="74">
        <f>SUM(K13:K18)</f>
        <v>0</v>
      </c>
      <c r="L19" s="74">
        <f t="shared" ref="L19:O19" si="3">SUM(L13:L18)</f>
        <v>0</v>
      </c>
      <c r="M19" s="74">
        <f t="shared" si="3"/>
        <v>0</v>
      </c>
      <c r="N19" s="74">
        <f>SUM(N13:N18)</f>
        <v>0</v>
      </c>
      <c r="O19" s="74">
        <f t="shared" si="3"/>
        <v>0</v>
      </c>
      <c r="P19" s="74">
        <f t="shared" ref="P19" si="4">SUM(P13:P18)</f>
        <v>0</v>
      </c>
      <c r="Q19" s="74">
        <f t="shared" ref="Q19:AD19" si="5">SUM(Q13:Q18)</f>
        <v>0</v>
      </c>
      <c r="R19" s="74">
        <f t="shared" si="5"/>
        <v>0</v>
      </c>
      <c r="S19" s="74">
        <f t="shared" si="5"/>
        <v>0</v>
      </c>
      <c r="T19" s="74">
        <f t="shared" si="5"/>
        <v>0</v>
      </c>
      <c r="U19" s="74">
        <f t="shared" si="5"/>
        <v>0</v>
      </c>
      <c r="V19" s="74">
        <f t="shared" si="5"/>
        <v>0</v>
      </c>
      <c r="W19" s="74">
        <f>SUM(W13:W18)</f>
        <v>0</v>
      </c>
      <c r="X19" s="74">
        <f t="shared" si="5"/>
        <v>0</v>
      </c>
      <c r="Y19" s="74">
        <f t="shared" si="5"/>
        <v>0</v>
      </c>
      <c r="Z19" s="74">
        <f t="shared" si="5"/>
        <v>0</v>
      </c>
      <c r="AA19" s="74">
        <f t="shared" si="5"/>
        <v>0</v>
      </c>
      <c r="AB19" s="74">
        <f t="shared" si="5"/>
        <v>0</v>
      </c>
      <c r="AC19" s="74">
        <f t="shared" ref="AC19" si="6">SUM(AC13:AC18)</f>
        <v>0</v>
      </c>
      <c r="AD19" s="74">
        <f t="shared" si="5"/>
        <v>0</v>
      </c>
      <c r="AE19" s="74">
        <f t="shared" ref="AE19" si="7">SUM(AE13:AE18)</f>
        <v>0</v>
      </c>
    </row>
    <row r="20" spans="1:31" x14ac:dyDescent="0.2">
      <c r="A20" s="12"/>
      <c r="B20" s="12"/>
      <c r="G20" s="74"/>
      <c r="I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x14ac:dyDescent="0.2">
      <c r="A21" s="12"/>
      <c r="B21" s="12"/>
      <c r="C21" s="11" t="s">
        <v>174</v>
      </c>
      <c r="G21" s="74"/>
      <c r="I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</row>
    <row r="22" spans="1:31" x14ac:dyDescent="0.2">
      <c r="A22" s="12">
        <f>+A19+1</f>
        <v>8</v>
      </c>
      <c r="B22" s="12">
        <v>360</v>
      </c>
      <c r="D22" s="11" t="s">
        <v>167</v>
      </c>
      <c r="G22" s="118">
        <v>25944.880000000001</v>
      </c>
      <c r="H22" s="158">
        <f t="shared" ref="H22:H30" si="8">SUM(K22:AD22)</f>
        <v>0</v>
      </c>
      <c r="I22" s="74">
        <f t="shared" ref="I22:I29" si="9">G22+H22</f>
        <v>25944.880000000001</v>
      </c>
      <c r="J22" s="160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x14ac:dyDescent="0.2">
      <c r="A23" s="12">
        <f>+A22+1</f>
        <v>9</v>
      </c>
      <c r="B23" s="12">
        <v>361</v>
      </c>
      <c r="D23" s="11" t="s">
        <v>168</v>
      </c>
      <c r="G23" s="118">
        <v>898267.46</v>
      </c>
      <c r="H23" s="158">
        <f t="shared" si="8"/>
        <v>0</v>
      </c>
      <c r="I23" s="74">
        <f t="shared" si="9"/>
        <v>898267.46</v>
      </c>
      <c r="J23" s="160"/>
      <c r="K23" s="15"/>
      <c r="L23" s="15"/>
      <c r="M23" s="15"/>
      <c r="N23" s="118"/>
      <c r="O23" s="118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x14ac:dyDescent="0.2">
      <c r="A24" s="12">
        <f t="shared" ref="A24:A31" si="10">+A23+1</f>
        <v>10</v>
      </c>
      <c r="B24" s="12">
        <v>362</v>
      </c>
      <c r="D24" s="11" t="s">
        <v>175</v>
      </c>
      <c r="G24" s="118">
        <v>1289057.1900000002</v>
      </c>
      <c r="H24" s="158">
        <f t="shared" si="8"/>
        <v>0</v>
      </c>
      <c r="I24" s="74">
        <f t="shared" si="9"/>
        <v>1289057.1900000002</v>
      </c>
      <c r="J24" s="160"/>
      <c r="K24" s="15"/>
      <c r="L24" s="15"/>
      <c r="M24" s="15"/>
      <c r="N24" s="118"/>
      <c r="O24" s="118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x14ac:dyDescent="0.2">
      <c r="A25" s="12">
        <f t="shared" si="10"/>
        <v>11</v>
      </c>
      <c r="B25" s="12">
        <v>363</v>
      </c>
      <c r="D25" s="11" t="s">
        <v>176</v>
      </c>
      <c r="G25" s="118">
        <v>398213.09</v>
      </c>
      <c r="H25" s="158">
        <f t="shared" si="8"/>
        <v>0</v>
      </c>
      <c r="I25" s="74">
        <f t="shared" si="9"/>
        <v>398213.09</v>
      </c>
      <c r="J25" s="160"/>
      <c r="K25" s="15"/>
      <c r="L25" s="15"/>
      <c r="M25" s="15"/>
      <c r="N25" s="118"/>
      <c r="O25" s="118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x14ac:dyDescent="0.2">
      <c r="A26" s="12">
        <f t="shared" si="10"/>
        <v>12</v>
      </c>
      <c r="B26" s="12">
        <v>363.1</v>
      </c>
      <c r="D26" s="11" t="s">
        <v>177</v>
      </c>
      <c r="G26" s="118">
        <v>776170</v>
      </c>
      <c r="H26" s="158">
        <f t="shared" si="8"/>
        <v>0</v>
      </c>
      <c r="I26" s="74">
        <f t="shared" si="9"/>
        <v>776170</v>
      </c>
      <c r="J26" s="160"/>
      <c r="K26" s="15"/>
      <c r="L26" s="15"/>
      <c r="M26" s="15"/>
      <c r="N26" s="118"/>
      <c r="O26" s="118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x14ac:dyDescent="0.2">
      <c r="A27" s="12">
        <f t="shared" si="10"/>
        <v>13</v>
      </c>
      <c r="B27" s="12">
        <v>363.2</v>
      </c>
      <c r="D27" s="11" t="s">
        <v>178</v>
      </c>
      <c r="G27" s="118">
        <v>261336.01</v>
      </c>
      <c r="H27" s="158">
        <f t="shared" si="8"/>
        <v>0</v>
      </c>
      <c r="I27" s="74">
        <f t="shared" si="9"/>
        <v>261336.01</v>
      </c>
      <c r="J27" s="160"/>
      <c r="K27" s="15"/>
      <c r="L27" s="15"/>
      <c r="M27" s="15"/>
      <c r="N27" s="118"/>
      <c r="O27" s="118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x14ac:dyDescent="0.2">
      <c r="A28" s="12">
        <f t="shared" si="10"/>
        <v>14</v>
      </c>
      <c r="B28" s="12">
        <v>363.3</v>
      </c>
      <c r="D28" s="11" t="s">
        <v>179</v>
      </c>
      <c r="G28" s="118">
        <v>322441.24000000005</v>
      </c>
      <c r="H28" s="158">
        <f t="shared" si="8"/>
        <v>0</v>
      </c>
      <c r="I28" s="74">
        <f t="shared" si="9"/>
        <v>322441.24000000005</v>
      </c>
      <c r="J28" s="160"/>
      <c r="K28" s="15"/>
      <c r="L28" s="15"/>
      <c r="M28" s="15"/>
      <c r="N28" s="118"/>
      <c r="O28" s="118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x14ac:dyDescent="0.2">
      <c r="A29" s="12">
        <f t="shared" si="10"/>
        <v>15</v>
      </c>
      <c r="B29" s="12">
        <v>363.4</v>
      </c>
      <c r="D29" s="11" t="s">
        <v>180</v>
      </c>
      <c r="G29" s="118">
        <v>0</v>
      </c>
      <c r="H29" s="158">
        <f t="shared" si="8"/>
        <v>0</v>
      </c>
      <c r="I29" s="74">
        <f t="shared" si="9"/>
        <v>0</v>
      </c>
      <c r="J29" s="16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15" x14ac:dyDescent="0.35">
      <c r="A30" s="111">
        <f t="shared" si="10"/>
        <v>16</v>
      </c>
      <c r="B30" s="111">
        <v>363.5</v>
      </c>
      <c r="C30" s="24"/>
      <c r="D30" s="24" t="s">
        <v>181</v>
      </c>
      <c r="E30" s="24"/>
      <c r="F30" s="24"/>
      <c r="G30" s="109">
        <v>1898693.72</v>
      </c>
      <c r="H30" s="161">
        <f t="shared" si="8"/>
        <v>0</v>
      </c>
      <c r="I30" s="89">
        <f t="shared" ref="I30" si="11">G30+H30</f>
        <v>1898693.72</v>
      </c>
      <c r="J30" s="160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31" x14ac:dyDescent="0.2">
      <c r="A31" s="12">
        <f t="shared" si="10"/>
        <v>17</v>
      </c>
      <c r="B31" s="12"/>
      <c r="C31" s="12" t="s">
        <v>182</v>
      </c>
      <c r="G31" s="74">
        <f>SUM(G22:G30)</f>
        <v>5870123.5899999999</v>
      </c>
      <c r="H31" s="74">
        <f t="shared" ref="H31:I31" si="12">SUM(H22:H30)</f>
        <v>0</v>
      </c>
      <c r="I31" s="74">
        <f t="shared" si="12"/>
        <v>5870123.5899999999</v>
      </c>
      <c r="K31" s="74">
        <f>SUM(K22:K30)</f>
        <v>0</v>
      </c>
      <c r="L31" s="74">
        <f t="shared" ref="L31:O31" si="13">SUM(L22:L30)</f>
        <v>0</v>
      </c>
      <c r="M31" s="74">
        <f t="shared" si="13"/>
        <v>0</v>
      </c>
      <c r="N31" s="74">
        <f>SUM(N22:N30)</f>
        <v>0</v>
      </c>
      <c r="O31" s="74">
        <f t="shared" si="13"/>
        <v>0</v>
      </c>
      <c r="P31" s="74">
        <f t="shared" ref="P31" si="14">SUM(P22:P30)</f>
        <v>0</v>
      </c>
      <c r="Q31" s="74">
        <f t="shared" ref="Q31:AD31" si="15">SUM(Q22:Q30)</f>
        <v>0</v>
      </c>
      <c r="R31" s="74">
        <f t="shared" si="15"/>
        <v>0</v>
      </c>
      <c r="S31" s="74">
        <f t="shared" si="15"/>
        <v>0</v>
      </c>
      <c r="T31" s="74">
        <f t="shared" si="15"/>
        <v>0</v>
      </c>
      <c r="U31" s="74">
        <f t="shared" si="15"/>
        <v>0</v>
      </c>
      <c r="V31" s="74">
        <f t="shared" si="15"/>
        <v>0</v>
      </c>
      <c r="W31" s="74">
        <f>SUM(W22:W30)</f>
        <v>0</v>
      </c>
      <c r="X31" s="74">
        <f t="shared" si="15"/>
        <v>0</v>
      </c>
      <c r="Y31" s="74">
        <f t="shared" si="15"/>
        <v>0</v>
      </c>
      <c r="Z31" s="74">
        <f t="shared" si="15"/>
        <v>0</v>
      </c>
      <c r="AA31" s="74">
        <f t="shared" si="15"/>
        <v>0</v>
      </c>
      <c r="AB31" s="74">
        <f t="shared" si="15"/>
        <v>0</v>
      </c>
      <c r="AC31" s="74">
        <f t="shared" ref="AC31" si="16">SUM(AC22:AC30)</f>
        <v>0</v>
      </c>
      <c r="AD31" s="74">
        <f t="shared" si="15"/>
        <v>0</v>
      </c>
      <c r="AE31" s="74">
        <f t="shared" ref="AE31" si="17">SUM(AE22:AE30)</f>
        <v>0</v>
      </c>
    </row>
    <row r="32" spans="1:31" x14ac:dyDescent="0.2">
      <c r="A32" s="12"/>
      <c r="B32" s="12"/>
      <c r="G32" s="74"/>
      <c r="I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</row>
    <row r="33" spans="1:31" x14ac:dyDescent="0.2">
      <c r="A33" s="12"/>
      <c r="B33" s="12"/>
      <c r="C33" s="11" t="s">
        <v>183</v>
      </c>
      <c r="G33" s="74"/>
      <c r="I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</row>
    <row r="34" spans="1:31" x14ac:dyDescent="0.2">
      <c r="A34" s="12">
        <f>+A31+1</f>
        <v>18</v>
      </c>
      <c r="B34" s="12">
        <v>374</v>
      </c>
      <c r="D34" s="11" t="s">
        <v>167</v>
      </c>
      <c r="G34" s="118">
        <v>367011.62999999995</v>
      </c>
      <c r="H34" s="158">
        <f t="shared" ref="H34:H45" si="18">SUM(K34:AD34)</f>
        <v>0</v>
      </c>
      <c r="I34" s="74">
        <f>G34+H34</f>
        <v>367011.62999999995</v>
      </c>
      <c r="J34" s="160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x14ac:dyDescent="0.2">
      <c r="A35" s="12">
        <f>+A34+1</f>
        <v>19</v>
      </c>
      <c r="B35" s="12">
        <v>375</v>
      </c>
      <c r="D35" s="11" t="s">
        <v>184</v>
      </c>
      <c r="G35" s="118">
        <v>59953.310000000005</v>
      </c>
      <c r="H35" s="158">
        <f t="shared" si="18"/>
        <v>0</v>
      </c>
      <c r="I35" s="74">
        <f>G35+H35</f>
        <v>59953.310000000005</v>
      </c>
      <c r="J35" s="160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x14ac:dyDescent="0.2">
      <c r="A36" s="12">
        <f t="shared" ref="A36:A46" si="19">+A35+1</f>
        <v>20</v>
      </c>
      <c r="B36" s="12">
        <v>376</v>
      </c>
      <c r="D36" s="11" t="s">
        <v>5</v>
      </c>
      <c r="G36" s="118">
        <v>97582910.180000007</v>
      </c>
      <c r="H36" s="158">
        <f t="shared" si="18"/>
        <v>16591623</v>
      </c>
      <c r="I36" s="74">
        <f>G36+H36</f>
        <v>114174533.18000001</v>
      </c>
      <c r="J36" s="160"/>
      <c r="K36" s="115"/>
      <c r="L36" s="162">
        <v>15220819</v>
      </c>
      <c r="M36" s="162">
        <v>1370804</v>
      </c>
      <c r="N36" s="162"/>
      <c r="O36" s="162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</row>
    <row r="37" spans="1:31" x14ac:dyDescent="0.2">
      <c r="A37" s="12">
        <f t="shared" si="19"/>
        <v>21</v>
      </c>
      <c r="B37" s="12">
        <v>377</v>
      </c>
      <c r="D37" s="11" t="s">
        <v>185</v>
      </c>
      <c r="E37" s="163"/>
      <c r="G37" s="118">
        <v>0</v>
      </c>
      <c r="H37" s="158">
        <f t="shared" si="18"/>
        <v>0</v>
      </c>
      <c r="I37" s="74">
        <f t="shared" ref="I37:I45" si="20">G37+H37</f>
        <v>0</v>
      </c>
      <c r="J37" s="160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x14ac:dyDescent="0.2">
      <c r="A38" s="12">
        <f t="shared" si="19"/>
        <v>22</v>
      </c>
      <c r="B38" s="12">
        <v>378</v>
      </c>
      <c r="D38" s="11" t="s">
        <v>186</v>
      </c>
      <c r="E38" s="163"/>
      <c r="G38" s="118">
        <v>3636583.84</v>
      </c>
      <c r="H38" s="158">
        <f t="shared" si="18"/>
        <v>740634</v>
      </c>
      <c r="I38" s="74">
        <f t="shared" si="20"/>
        <v>4377217.84</v>
      </c>
      <c r="J38" s="160"/>
      <c r="K38" s="15"/>
      <c r="L38" s="162">
        <v>468322</v>
      </c>
      <c r="M38" s="162">
        <v>272312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x14ac:dyDescent="0.2">
      <c r="A39" s="12">
        <f t="shared" si="19"/>
        <v>23</v>
      </c>
      <c r="B39" s="12">
        <v>379</v>
      </c>
      <c r="D39" s="11" t="s">
        <v>187</v>
      </c>
      <c r="E39" s="163"/>
      <c r="G39" s="118">
        <v>1766104.8599999999</v>
      </c>
      <c r="H39" s="158">
        <f t="shared" si="18"/>
        <v>1205263</v>
      </c>
      <c r="I39" s="74">
        <f t="shared" si="20"/>
        <v>2971367.86</v>
      </c>
      <c r="J39" s="160"/>
      <c r="K39" s="15"/>
      <c r="L39" s="162">
        <f>383214+822049</f>
        <v>1205263</v>
      </c>
      <c r="M39" s="15"/>
      <c r="N39" s="162"/>
      <c r="O39" s="162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x14ac:dyDescent="0.2">
      <c r="A40" s="12">
        <f t="shared" si="19"/>
        <v>24</v>
      </c>
      <c r="B40" s="12">
        <v>380</v>
      </c>
      <c r="D40" s="11" t="s">
        <v>16</v>
      </c>
      <c r="E40" s="163"/>
      <c r="G40" s="118">
        <v>78056224.039999992</v>
      </c>
      <c r="H40" s="158">
        <f t="shared" si="18"/>
        <v>921929</v>
      </c>
      <c r="I40" s="74">
        <f t="shared" si="20"/>
        <v>78978153.039999992</v>
      </c>
      <c r="J40" s="160"/>
      <c r="K40" s="15"/>
      <c r="L40" s="15"/>
      <c r="M40" s="15">
        <v>921929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x14ac:dyDescent="0.2">
      <c r="A41" s="12">
        <f t="shared" si="19"/>
        <v>25</v>
      </c>
      <c r="B41" s="12">
        <v>381</v>
      </c>
      <c r="D41" s="11" t="s">
        <v>17</v>
      </c>
      <c r="E41" s="163"/>
      <c r="G41" s="118">
        <v>31043013.57</v>
      </c>
      <c r="H41" s="158">
        <f t="shared" si="18"/>
        <v>0</v>
      </c>
      <c r="I41" s="74">
        <f t="shared" si="20"/>
        <v>31043013.57</v>
      </c>
      <c r="J41" s="160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x14ac:dyDescent="0.2">
      <c r="A42" s="12">
        <f t="shared" si="19"/>
        <v>26</v>
      </c>
      <c r="B42" s="12">
        <v>382</v>
      </c>
      <c r="D42" s="11" t="s">
        <v>188</v>
      </c>
      <c r="E42" s="163"/>
      <c r="G42" s="118">
        <v>0</v>
      </c>
      <c r="H42" s="158">
        <f t="shared" si="18"/>
        <v>0</v>
      </c>
      <c r="I42" s="74">
        <f t="shared" si="20"/>
        <v>0</v>
      </c>
      <c r="J42" s="160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x14ac:dyDescent="0.2">
      <c r="A43" s="12">
        <f t="shared" si="19"/>
        <v>27</v>
      </c>
      <c r="B43" s="12">
        <v>383</v>
      </c>
      <c r="D43" s="11" t="s">
        <v>189</v>
      </c>
      <c r="G43" s="118">
        <v>5006347.9400000004</v>
      </c>
      <c r="H43" s="158">
        <f t="shared" si="18"/>
        <v>0</v>
      </c>
      <c r="I43" s="74">
        <f t="shared" si="20"/>
        <v>5006347.9400000004</v>
      </c>
      <c r="J43" s="160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x14ac:dyDescent="0.2">
      <c r="A44" s="12">
        <f t="shared" si="19"/>
        <v>28</v>
      </c>
      <c r="B44" s="12">
        <v>384</v>
      </c>
      <c r="D44" s="11" t="s">
        <v>190</v>
      </c>
      <c r="G44" s="118">
        <v>0</v>
      </c>
      <c r="H44" s="158">
        <f t="shared" si="18"/>
        <v>0</v>
      </c>
      <c r="I44" s="74">
        <f t="shared" si="20"/>
        <v>0</v>
      </c>
      <c r="J44" s="160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ht="15" x14ac:dyDescent="0.35">
      <c r="A45" s="111">
        <f t="shared" si="19"/>
        <v>29</v>
      </c>
      <c r="B45" s="111">
        <v>385</v>
      </c>
      <c r="C45" s="24"/>
      <c r="D45" s="24" t="s">
        <v>191</v>
      </c>
      <c r="E45" s="24"/>
      <c r="F45" s="24"/>
      <c r="G45" s="109">
        <v>308949.76000000001</v>
      </c>
      <c r="H45" s="161">
        <f t="shared" si="18"/>
        <v>0</v>
      </c>
      <c r="I45" s="89">
        <f t="shared" si="20"/>
        <v>308949.76000000001</v>
      </c>
      <c r="J45" s="160"/>
      <c r="K45" s="114"/>
      <c r="L45" s="114"/>
      <c r="M45" s="114"/>
      <c r="N45" s="114"/>
      <c r="O45" s="114"/>
      <c r="P45" s="114"/>
      <c r="Q45" s="114"/>
      <c r="R45" s="114"/>
      <c r="S45" s="109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</row>
    <row r="46" spans="1:31" x14ac:dyDescent="0.2">
      <c r="A46" s="12">
        <f t="shared" si="19"/>
        <v>30</v>
      </c>
      <c r="B46" s="12"/>
      <c r="C46" s="12" t="s">
        <v>192</v>
      </c>
      <c r="G46" s="74">
        <f>SUM(G34:G45)</f>
        <v>217827099.13</v>
      </c>
      <c r="H46" s="158">
        <f>SUM(H34:H45)</f>
        <v>19459449</v>
      </c>
      <c r="I46" s="74">
        <f>SUM(I34:I45)</f>
        <v>237286548.13</v>
      </c>
      <c r="K46" s="158">
        <f>SUM(K34:K45)</f>
        <v>0</v>
      </c>
      <c r="L46" s="158">
        <f t="shared" ref="L46:O46" si="21">SUM(L34:L45)</f>
        <v>16894404</v>
      </c>
      <c r="M46" s="158">
        <f t="shared" si="21"/>
        <v>2565045</v>
      </c>
      <c r="N46" s="158">
        <f>SUM(N34:N45)</f>
        <v>0</v>
      </c>
      <c r="O46" s="158">
        <f t="shared" si="21"/>
        <v>0</v>
      </c>
      <c r="P46" s="158">
        <f t="shared" ref="P46" si="22">SUM(P34:P45)</f>
        <v>0</v>
      </c>
      <c r="Q46" s="158">
        <f t="shared" ref="Q46:AD46" si="23">SUM(Q34:Q45)</f>
        <v>0</v>
      </c>
      <c r="R46" s="158">
        <f t="shared" si="23"/>
        <v>0</v>
      </c>
      <c r="S46" s="158">
        <f t="shared" si="23"/>
        <v>0</v>
      </c>
      <c r="T46" s="158">
        <f t="shared" si="23"/>
        <v>0</v>
      </c>
      <c r="U46" s="158">
        <f t="shared" si="23"/>
        <v>0</v>
      </c>
      <c r="V46" s="158">
        <f t="shared" si="23"/>
        <v>0</v>
      </c>
      <c r="W46" s="158">
        <f>SUM(W34:W45)</f>
        <v>0</v>
      </c>
      <c r="X46" s="158">
        <f t="shared" si="23"/>
        <v>0</v>
      </c>
      <c r="Y46" s="158">
        <f t="shared" si="23"/>
        <v>0</v>
      </c>
      <c r="Z46" s="158">
        <f t="shared" si="23"/>
        <v>0</v>
      </c>
      <c r="AA46" s="158">
        <f t="shared" si="23"/>
        <v>0</v>
      </c>
      <c r="AB46" s="158">
        <f t="shared" si="23"/>
        <v>0</v>
      </c>
      <c r="AC46" s="158">
        <f t="shared" ref="AC46" si="24">SUM(AC34:AC45)</f>
        <v>0</v>
      </c>
      <c r="AD46" s="158">
        <f t="shared" si="23"/>
        <v>0</v>
      </c>
      <c r="AE46" s="158">
        <f t="shared" ref="AE46" si="25">SUM(AE34:AE45)</f>
        <v>0</v>
      </c>
    </row>
    <row r="47" spans="1:31" x14ac:dyDescent="0.2">
      <c r="A47" s="12"/>
      <c r="B47" s="23"/>
      <c r="C47" s="12"/>
      <c r="G47" s="158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</row>
    <row r="48" spans="1:31" x14ac:dyDescent="0.2">
      <c r="A48" s="12"/>
      <c r="B48" s="12"/>
      <c r="C48" s="11" t="s">
        <v>193</v>
      </c>
      <c r="G48" s="74"/>
      <c r="I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</row>
    <row r="49" spans="1:31" x14ac:dyDescent="0.2">
      <c r="A49" s="111">
        <f>+A46+1</f>
        <v>31</v>
      </c>
      <c r="B49" s="111" t="s">
        <v>194</v>
      </c>
      <c r="C49" s="24"/>
      <c r="D49" s="24" t="s">
        <v>193</v>
      </c>
      <c r="E49" s="24"/>
      <c r="F49" s="24"/>
      <c r="G49" s="109">
        <v>22084747.320000004</v>
      </c>
      <c r="H49" s="161">
        <f>SUM(K49:AD49)</f>
        <v>63513</v>
      </c>
      <c r="I49" s="89">
        <f>G49+H49</f>
        <v>22148260.320000004</v>
      </c>
      <c r="J49" s="160"/>
      <c r="K49" s="109">
        <v>63513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</row>
    <row r="50" spans="1:31" x14ac:dyDescent="0.2">
      <c r="A50" s="12">
        <f>+A49+1</f>
        <v>32</v>
      </c>
      <c r="B50" s="12"/>
      <c r="C50" s="12" t="s">
        <v>195</v>
      </c>
      <c r="G50" s="74">
        <f>SUM(G49:G49)</f>
        <v>22084747.320000004</v>
      </c>
      <c r="H50" s="74">
        <f>SUM(H49:H49)</f>
        <v>63513</v>
      </c>
      <c r="I50" s="74">
        <f>SUM(I49:I49)</f>
        <v>22148260.320000004</v>
      </c>
      <c r="K50" s="74">
        <f>SUM(K49:K49)</f>
        <v>63513</v>
      </c>
      <c r="L50" s="74">
        <f t="shared" ref="L50:O50" si="26">SUM(L49:L49)</f>
        <v>0</v>
      </c>
      <c r="M50" s="74">
        <f t="shared" si="26"/>
        <v>0</v>
      </c>
      <c r="N50" s="74">
        <f>SUM(N49:N49)</f>
        <v>0</v>
      </c>
      <c r="O50" s="74">
        <f t="shared" si="26"/>
        <v>0</v>
      </c>
      <c r="P50" s="74">
        <f t="shared" ref="P50" si="27">SUM(P49:P49)</f>
        <v>0</v>
      </c>
      <c r="Q50" s="74">
        <f t="shared" ref="Q50:AD50" si="28">SUM(Q49:Q49)</f>
        <v>0</v>
      </c>
      <c r="R50" s="74">
        <f t="shared" si="28"/>
        <v>0</v>
      </c>
      <c r="S50" s="74">
        <f t="shared" si="28"/>
        <v>0</v>
      </c>
      <c r="T50" s="74">
        <f t="shared" si="28"/>
        <v>0</v>
      </c>
      <c r="U50" s="74">
        <f t="shared" si="28"/>
        <v>0</v>
      </c>
      <c r="V50" s="74">
        <f t="shared" si="28"/>
        <v>0</v>
      </c>
      <c r="W50" s="74">
        <f>SUM(W49:W49)</f>
        <v>0</v>
      </c>
      <c r="X50" s="74">
        <f t="shared" si="28"/>
        <v>0</v>
      </c>
      <c r="Y50" s="74">
        <f t="shared" si="28"/>
        <v>0</v>
      </c>
      <c r="Z50" s="74">
        <f t="shared" si="28"/>
        <v>0</v>
      </c>
      <c r="AA50" s="74">
        <f t="shared" si="28"/>
        <v>0</v>
      </c>
      <c r="AB50" s="74">
        <f t="shared" si="28"/>
        <v>0</v>
      </c>
      <c r="AC50" s="74">
        <f t="shared" ref="AC50" si="29">SUM(AC49:AC49)</f>
        <v>0</v>
      </c>
      <c r="AD50" s="74">
        <f t="shared" si="28"/>
        <v>0</v>
      </c>
      <c r="AE50" s="74">
        <f t="shared" ref="AE50" si="30">SUM(AE49:AE49)</f>
        <v>0</v>
      </c>
    </row>
    <row r="51" spans="1:31" x14ac:dyDescent="0.2">
      <c r="A51" s="12"/>
      <c r="B51" s="12"/>
      <c r="G51" s="74"/>
      <c r="I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</row>
    <row r="52" spans="1:31" x14ac:dyDescent="0.2">
      <c r="A52" s="12"/>
      <c r="B52" s="12"/>
      <c r="C52" s="11" t="s">
        <v>196</v>
      </c>
      <c r="G52" s="74"/>
      <c r="I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</row>
    <row r="53" spans="1:31" x14ac:dyDescent="0.2">
      <c r="A53" s="111">
        <f>+A50+1</f>
        <v>33</v>
      </c>
      <c r="B53" s="111" t="s">
        <v>197</v>
      </c>
      <c r="C53" s="24"/>
      <c r="D53" s="24" t="s">
        <v>196</v>
      </c>
      <c r="E53" s="24"/>
      <c r="F53" s="24"/>
      <c r="G53" s="109">
        <v>4837213.2300000004</v>
      </c>
      <c r="H53" s="161">
        <f>SUM(K53:AD53)</f>
        <v>2332060</v>
      </c>
      <c r="I53" s="89">
        <f>G53+H53</f>
        <v>7169273.2300000004</v>
      </c>
      <c r="J53" s="160"/>
      <c r="K53" s="109"/>
      <c r="L53" s="109"/>
      <c r="M53" s="109"/>
      <c r="N53" s="164">
        <v>2332060</v>
      </c>
      <c r="O53" s="109"/>
      <c r="P53" s="109"/>
      <c r="Q53" s="109"/>
      <c r="R53" s="109"/>
      <c r="S53" s="109"/>
      <c r="T53" s="109"/>
      <c r="U53" s="109"/>
      <c r="V53" s="108"/>
      <c r="W53" s="109"/>
      <c r="X53" s="109"/>
      <c r="Y53" s="109"/>
      <c r="Z53" s="109"/>
      <c r="AA53" s="109"/>
      <c r="AB53" s="109"/>
      <c r="AC53" s="109"/>
      <c r="AD53" s="109"/>
      <c r="AE53" s="109"/>
    </row>
    <row r="54" spans="1:31" x14ac:dyDescent="0.2">
      <c r="A54" s="12">
        <f>+A53+1</f>
        <v>34</v>
      </c>
      <c r="B54" s="12"/>
      <c r="C54" s="12" t="s">
        <v>198</v>
      </c>
      <c r="G54" s="74">
        <f>SUM(G53:G53)</f>
        <v>4837213.2300000004</v>
      </c>
      <c r="H54" s="74">
        <f>SUM(H53:H53)</f>
        <v>2332060</v>
      </c>
      <c r="I54" s="74">
        <f>SUM(I53:I53)</f>
        <v>7169273.2300000004</v>
      </c>
      <c r="K54" s="74">
        <f>SUM(K53:K53)</f>
        <v>0</v>
      </c>
      <c r="L54" s="74">
        <f t="shared" ref="L54:O54" si="31">SUM(L53:L53)</f>
        <v>0</v>
      </c>
      <c r="M54" s="74">
        <f t="shared" si="31"/>
        <v>0</v>
      </c>
      <c r="N54" s="74">
        <f>SUM(N53:N53)</f>
        <v>2332060</v>
      </c>
      <c r="O54" s="74">
        <f t="shared" si="31"/>
        <v>0</v>
      </c>
      <c r="P54" s="74">
        <f t="shared" ref="P54" si="32">SUM(P53:P53)</f>
        <v>0</v>
      </c>
      <c r="Q54" s="74">
        <f t="shared" ref="Q54:AD54" si="33">SUM(Q53:Q53)</f>
        <v>0</v>
      </c>
      <c r="R54" s="74">
        <f t="shared" si="33"/>
        <v>0</v>
      </c>
      <c r="S54" s="74">
        <f t="shared" si="33"/>
        <v>0</v>
      </c>
      <c r="T54" s="74">
        <f t="shared" si="33"/>
        <v>0</v>
      </c>
      <c r="U54" s="74">
        <f t="shared" si="33"/>
        <v>0</v>
      </c>
      <c r="V54" s="74">
        <f t="shared" si="33"/>
        <v>0</v>
      </c>
      <c r="W54" s="74">
        <f>SUM(W53:W53)</f>
        <v>0</v>
      </c>
      <c r="X54" s="74">
        <f t="shared" si="33"/>
        <v>0</v>
      </c>
      <c r="Y54" s="74">
        <f t="shared" si="33"/>
        <v>0</v>
      </c>
      <c r="Z54" s="74">
        <f t="shared" si="33"/>
        <v>0</v>
      </c>
      <c r="AA54" s="74">
        <f t="shared" si="33"/>
        <v>0</v>
      </c>
      <c r="AB54" s="74">
        <f t="shared" si="33"/>
        <v>0</v>
      </c>
      <c r="AC54" s="74">
        <f t="shared" ref="AC54" si="34">SUM(AC53:AC53)</f>
        <v>0</v>
      </c>
      <c r="AD54" s="74">
        <f t="shared" si="33"/>
        <v>0</v>
      </c>
      <c r="AE54" s="74">
        <f t="shared" ref="AE54" si="35">SUM(AE53:AE53)</f>
        <v>0</v>
      </c>
    </row>
    <row r="55" spans="1:31" x14ac:dyDescent="0.2">
      <c r="A55" s="12"/>
      <c r="B55" s="12"/>
      <c r="F55" s="12"/>
      <c r="G55" s="74"/>
      <c r="I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</row>
    <row r="56" spans="1:31" x14ac:dyDescent="0.2">
      <c r="A56" s="12">
        <f>+A54+1</f>
        <v>35</v>
      </c>
      <c r="C56" s="11" t="s">
        <v>199</v>
      </c>
      <c r="G56" s="158">
        <f>G19+G31+G46+G50+G54</f>
        <v>250619183.26999998</v>
      </c>
      <c r="H56" s="158">
        <f>H19+H31+H46+H50+H54</f>
        <v>21855022</v>
      </c>
      <c r="I56" s="158">
        <f>I19+I31+I46+I50+I54</f>
        <v>272474205.26999998</v>
      </c>
      <c r="K56" s="158">
        <f>K19+K31+K46+K50+K54</f>
        <v>63513</v>
      </c>
      <c r="L56" s="158">
        <f t="shared" ref="L56:O56" si="36">L19+L31+L46+L50+L54</f>
        <v>16894404</v>
      </c>
      <c r="M56" s="158">
        <f t="shared" si="36"/>
        <v>2565045</v>
      </c>
      <c r="N56" s="158">
        <f>N19+N31+N46+N50+N54</f>
        <v>2332060</v>
      </c>
      <c r="O56" s="158">
        <f t="shared" si="36"/>
        <v>0</v>
      </c>
      <c r="P56" s="158">
        <f t="shared" ref="P56" si="37">P19+P31+P46+P50+P54</f>
        <v>0</v>
      </c>
      <c r="Q56" s="158">
        <f t="shared" ref="Q56:AD56" si="38">Q19+Q31+Q46+Q50+Q54</f>
        <v>0</v>
      </c>
      <c r="R56" s="158">
        <f t="shared" si="38"/>
        <v>0</v>
      </c>
      <c r="S56" s="158">
        <f t="shared" si="38"/>
        <v>0</v>
      </c>
      <c r="T56" s="158">
        <f t="shared" si="38"/>
        <v>0</v>
      </c>
      <c r="U56" s="158">
        <f t="shared" si="38"/>
        <v>0</v>
      </c>
      <c r="V56" s="158">
        <f t="shared" si="38"/>
        <v>0</v>
      </c>
      <c r="W56" s="158">
        <f>W19+W31+W46+W50+W54</f>
        <v>0</v>
      </c>
      <c r="X56" s="158">
        <f t="shared" si="38"/>
        <v>0</v>
      </c>
      <c r="Y56" s="158">
        <f t="shared" si="38"/>
        <v>0</v>
      </c>
      <c r="Z56" s="158">
        <f t="shared" si="38"/>
        <v>0</v>
      </c>
      <c r="AA56" s="158">
        <f t="shared" si="38"/>
        <v>0</v>
      </c>
      <c r="AB56" s="158">
        <f t="shared" si="38"/>
        <v>0</v>
      </c>
      <c r="AC56" s="158">
        <f t="shared" ref="AC56" si="39">AC19+AC31+AC46+AC50+AC54</f>
        <v>0</v>
      </c>
      <c r="AD56" s="158">
        <f t="shared" si="38"/>
        <v>0</v>
      </c>
      <c r="AE56" s="158">
        <f t="shared" ref="AE56" si="40">AE19+AE31+AE46+AE50+AE54</f>
        <v>0</v>
      </c>
    </row>
    <row r="57" spans="1:31" x14ac:dyDescent="0.2">
      <c r="A57" s="12"/>
      <c r="G57" s="158"/>
      <c r="H57" s="158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</row>
    <row r="58" spans="1:31" ht="18" x14ac:dyDescent="0.25">
      <c r="A58" s="59" t="s">
        <v>200</v>
      </c>
      <c r="C58" s="10"/>
      <c r="G58" s="158"/>
      <c r="H58" s="158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</row>
    <row r="59" spans="1:31" x14ac:dyDescent="0.2">
      <c r="A59" s="12"/>
      <c r="B59" s="23"/>
      <c r="C59" s="12"/>
      <c r="G59" s="165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</row>
    <row r="60" spans="1:31" x14ac:dyDescent="0.2">
      <c r="A60" s="12"/>
      <c r="D60" s="11" t="s">
        <v>201</v>
      </c>
      <c r="G60" s="74"/>
      <c r="I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</row>
    <row r="61" spans="1:31" x14ac:dyDescent="0.2">
      <c r="A61" s="12">
        <f>+A56+1</f>
        <v>36</v>
      </c>
      <c r="E61" s="11" t="s">
        <v>202</v>
      </c>
      <c r="G61" s="15">
        <v>1170567.6000000001</v>
      </c>
      <c r="H61" s="158">
        <f>SUM(K61:AD61)</f>
        <v>0</v>
      </c>
      <c r="I61" s="74">
        <f>G61+H61</f>
        <v>1170567.6000000001</v>
      </c>
      <c r="J61" s="160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x14ac:dyDescent="0.2">
      <c r="A62" s="12">
        <f>+A61+1</f>
        <v>37</v>
      </c>
      <c r="B62" s="12"/>
      <c r="E62" s="11" t="s">
        <v>203</v>
      </c>
      <c r="G62" s="15">
        <v>2579592.48</v>
      </c>
      <c r="H62" s="158">
        <f>SUM(K62:AD62)</f>
        <v>0</v>
      </c>
      <c r="I62" s="74">
        <f>G62+H62</f>
        <v>2579592.48</v>
      </c>
      <c r="J62" s="160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x14ac:dyDescent="0.2">
      <c r="A63" s="12">
        <f t="shared" ref="A63:A66" si="41">+A62+1</f>
        <v>38</v>
      </c>
      <c r="B63" s="163"/>
      <c r="E63" s="11" t="s">
        <v>204</v>
      </c>
      <c r="G63" s="15">
        <v>61540.5</v>
      </c>
      <c r="H63" s="158">
        <f>SUM(K63:AD63)</f>
        <v>0</v>
      </c>
      <c r="I63" s="74">
        <f>G63+H63</f>
        <v>61540.5</v>
      </c>
      <c r="J63" s="160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x14ac:dyDescent="0.2">
      <c r="A64" s="12">
        <f t="shared" si="41"/>
        <v>39</v>
      </c>
      <c r="E64" s="11" t="s">
        <v>205</v>
      </c>
      <c r="G64" s="15">
        <v>-1947186.99</v>
      </c>
      <c r="H64" s="158">
        <f>SUM(K64:AD64)</f>
        <v>0</v>
      </c>
      <c r="I64" s="74">
        <f>G64+H64</f>
        <v>-1947186.99</v>
      </c>
      <c r="J64" s="160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x14ac:dyDescent="0.2">
      <c r="A65" s="111">
        <f t="shared" si="41"/>
        <v>40</v>
      </c>
      <c r="B65" s="111"/>
      <c r="C65" s="24"/>
      <c r="D65" s="24"/>
      <c r="E65" s="24" t="s">
        <v>206</v>
      </c>
      <c r="F65" s="24"/>
      <c r="G65" s="109">
        <v>-206566.06</v>
      </c>
      <c r="H65" s="161">
        <f>SUM(K65:AD65)</f>
        <v>0</v>
      </c>
      <c r="I65" s="89">
        <f>G65+H65</f>
        <v>-206566.06</v>
      </c>
      <c r="J65" s="160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</row>
    <row r="66" spans="1:31" x14ac:dyDescent="0.2">
      <c r="A66" s="12">
        <f t="shared" si="41"/>
        <v>41</v>
      </c>
      <c r="B66" s="12"/>
      <c r="D66" s="11" t="s">
        <v>207</v>
      </c>
      <c r="G66" s="74">
        <f>SUM(G61:G65)</f>
        <v>1657947.53</v>
      </c>
      <c r="H66" s="74">
        <f>SUM(H61:H65)</f>
        <v>0</v>
      </c>
      <c r="I66" s="74">
        <f>SUM(I61:I65)</f>
        <v>1657947.53</v>
      </c>
      <c r="K66" s="74">
        <f>SUM(K61:K65)</f>
        <v>0</v>
      </c>
      <c r="L66" s="74">
        <f t="shared" ref="L66:M66" si="42">SUM(L61:L65)</f>
        <v>0</v>
      </c>
      <c r="M66" s="74">
        <f t="shared" si="42"/>
        <v>0</v>
      </c>
      <c r="N66" s="74">
        <f>SUM(N61:N65)</f>
        <v>0</v>
      </c>
      <c r="O66" s="74">
        <f t="shared" ref="O66" si="43">SUM(O61:O65)</f>
        <v>0</v>
      </c>
      <c r="P66" s="74">
        <f t="shared" ref="P66" si="44">SUM(P61:P65)</f>
        <v>0</v>
      </c>
      <c r="Q66" s="74">
        <f t="shared" ref="Q66:AD66" si="45">SUM(Q61:Q65)</f>
        <v>0</v>
      </c>
      <c r="R66" s="74">
        <f t="shared" si="45"/>
        <v>0</v>
      </c>
      <c r="S66" s="74">
        <f t="shared" si="45"/>
        <v>0</v>
      </c>
      <c r="T66" s="74">
        <f t="shared" si="45"/>
        <v>0</v>
      </c>
      <c r="U66" s="74">
        <f t="shared" si="45"/>
        <v>0</v>
      </c>
      <c r="V66" s="74">
        <f t="shared" si="45"/>
        <v>0</v>
      </c>
      <c r="W66" s="74">
        <f>SUM(W61:W65)</f>
        <v>0</v>
      </c>
      <c r="X66" s="74">
        <f t="shared" si="45"/>
        <v>0</v>
      </c>
      <c r="Y66" s="74">
        <f t="shared" si="45"/>
        <v>0</v>
      </c>
      <c r="Z66" s="74">
        <f t="shared" si="45"/>
        <v>0</v>
      </c>
      <c r="AA66" s="74">
        <f t="shared" si="45"/>
        <v>0</v>
      </c>
      <c r="AB66" s="74">
        <f t="shared" si="45"/>
        <v>0</v>
      </c>
      <c r="AC66" s="74">
        <f t="shared" ref="AC66" si="46">SUM(AC61:AC65)</f>
        <v>0</v>
      </c>
      <c r="AD66" s="74">
        <f t="shared" si="45"/>
        <v>0</v>
      </c>
      <c r="AE66" s="74">
        <f t="shared" ref="AE66" si="47">SUM(AE61:AE65)</f>
        <v>0</v>
      </c>
    </row>
    <row r="67" spans="1:31" x14ac:dyDescent="0.2">
      <c r="A67" s="12"/>
      <c r="B67" s="12"/>
      <c r="G67" s="74"/>
      <c r="I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</row>
    <row r="68" spans="1:31" x14ac:dyDescent="0.2">
      <c r="A68" s="12">
        <f>+A66+1</f>
        <v>42</v>
      </c>
      <c r="B68" s="12"/>
      <c r="D68" s="11" t="s">
        <v>208</v>
      </c>
      <c r="G68" s="74">
        <f>G66</f>
        <v>1657947.53</v>
      </c>
      <c r="H68" s="74">
        <f t="shared" ref="H68:I68" si="48">H66</f>
        <v>0</v>
      </c>
      <c r="I68" s="74">
        <f t="shared" si="48"/>
        <v>1657947.53</v>
      </c>
      <c r="K68" s="74">
        <f>K66</f>
        <v>0</v>
      </c>
      <c r="L68" s="74">
        <f t="shared" ref="L68:M68" si="49">L66</f>
        <v>0</v>
      </c>
      <c r="M68" s="74">
        <f t="shared" si="49"/>
        <v>0</v>
      </c>
      <c r="N68" s="74">
        <f>N66</f>
        <v>0</v>
      </c>
      <c r="O68" s="74">
        <f t="shared" ref="O68" si="50">O66</f>
        <v>0</v>
      </c>
      <c r="P68" s="74">
        <f t="shared" ref="P68" si="51">P66</f>
        <v>0</v>
      </c>
      <c r="Q68" s="74">
        <f t="shared" ref="Q68:AD68" si="52">Q66</f>
        <v>0</v>
      </c>
      <c r="R68" s="74">
        <f t="shared" si="52"/>
        <v>0</v>
      </c>
      <c r="S68" s="74">
        <f t="shared" si="52"/>
        <v>0</v>
      </c>
      <c r="T68" s="74">
        <f t="shared" si="52"/>
        <v>0</v>
      </c>
      <c r="U68" s="74">
        <f t="shared" si="52"/>
        <v>0</v>
      </c>
      <c r="V68" s="74">
        <f t="shared" si="52"/>
        <v>0</v>
      </c>
      <c r="W68" s="74">
        <f>W66</f>
        <v>0</v>
      </c>
      <c r="X68" s="74">
        <f t="shared" si="52"/>
        <v>0</v>
      </c>
      <c r="Y68" s="74">
        <f t="shared" si="52"/>
        <v>0</v>
      </c>
      <c r="Z68" s="74">
        <f t="shared" si="52"/>
        <v>0</v>
      </c>
      <c r="AA68" s="74">
        <f t="shared" si="52"/>
        <v>0</v>
      </c>
      <c r="AB68" s="74">
        <f t="shared" si="52"/>
        <v>0</v>
      </c>
      <c r="AC68" s="74">
        <f t="shared" ref="AC68" si="53">AC66</f>
        <v>0</v>
      </c>
      <c r="AD68" s="74">
        <f t="shared" si="52"/>
        <v>0</v>
      </c>
      <c r="AE68" s="74">
        <f t="shared" ref="AE68" si="54">AE66</f>
        <v>0</v>
      </c>
    </row>
    <row r="69" spans="1:31" x14ac:dyDescent="0.2">
      <c r="A69" s="12"/>
      <c r="B69" s="12"/>
      <c r="G69" s="74"/>
      <c r="H69" s="74"/>
      <c r="I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</row>
    <row r="70" spans="1:31" ht="15" x14ac:dyDescent="0.2">
      <c r="A70" s="59" t="s">
        <v>209</v>
      </c>
      <c r="G70" s="74"/>
      <c r="H70" s="74"/>
      <c r="I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</row>
    <row r="71" spans="1:31" x14ac:dyDescent="0.2">
      <c r="A71" s="12"/>
      <c r="B71" s="12"/>
      <c r="G71" s="158"/>
      <c r="I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</row>
    <row r="72" spans="1:31" x14ac:dyDescent="0.2">
      <c r="A72" s="12"/>
      <c r="B72" s="12"/>
      <c r="D72" s="11" t="s">
        <v>210</v>
      </c>
      <c r="G72" s="74"/>
      <c r="I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</row>
    <row r="73" spans="1:31" x14ac:dyDescent="0.2">
      <c r="A73" s="12">
        <f>+A68+1</f>
        <v>43</v>
      </c>
      <c r="B73" s="11" t="s">
        <v>211</v>
      </c>
      <c r="E73" s="11" t="s">
        <v>212</v>
      </c>
      <c r="G73" s="15">
        <v>0</v>
      </c>
      <c r="H73" s="158">
        <f>SUM(K73:AD73)</f>
        <v>0</v>
      </c>
      <c r="I73" s="74">
        <f t="shared" ref="I73:I77" si="55">G73+H73</f>
        <v>0</v>
      </c>
      <c r="J73" s="160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x14ac:dyDescent="0.2">
      <c r="A74" s="12">
        <f>+A73+1</f>
        <v>44</v>
      </c>
      <c r="B74" s="11" t="s">
        <v>211</v>
      </c>
      <c r="E74" s="11" t="s">
        <v>213</v>
      </c>
      <c r="G74" s="15">
        <v>-2991835.48</v>
      </c>
      <c r="H74" s="158">
        <f>SUM(K74:AD74)</f>
        <v>-36522.949999999997</v>
      </c>
      <c r="I74" s="74">
        <f t="shared" si="55"/>
        <v>-3028358.43</v>
      </c>
      <c r="J74" s="160"/>
      <c r="K74" s="15"/>
      <c r="L74" s="15"/>
      <c r="M74" s="15"/>
      <c r="N74" s="15"/>
      <c r="O74" s="15">
        <v>-36522.949999999997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x14ac:dyDescent="0.2">
      <c r="A75" s="12">
        <f t="shared" ref="A75:A78" si="56">+A74+1</f>
        <v>45</v>
      </c>
      <c r="B75" s="11" t="s">
        <v>211</v>
      </c>
      <c r="E75" s="11" t="s">
        <v>214</v>
      </c>
      <c r="G75" s="15">
        <v>-76238071.719999999</v>
      </c>
      <c r="H75" s="158">
        <f>SUM(K75:AD75)</f>
        <v>-433236.37</v>
      </c>
      <c r="I75" s="74">
        <f t="shared" si="55"/>
        <v>-76671308.090000004</v>
      </c>
      <c r="J75" s="160"/>
      <c r="K75" s="15"/>
      <c r="L75" s="15">
        <f>-193123.38-12143.95</f>
        <v>-205267.33000000002</v>
      </c>
      <c r="M75" s="15">
        <v>-31507.93</v>
      </c>
      <c r="N75" s="15"/>
      <c r="O75" s="15">
        <v>-196461.11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x14ac:dyDescent="0.2">
      <c r="A76" s="12">
        <f t="shared" si="56"/>
        <v>46</v>
      </c>
      <c r="B76" s="11" t="s">
        <v>211</v>
      </c>
      <c r="E76" s="11" t="s">
        <v>215</v>
      </c>
      <c r="G76" s="15">
        <v>-3253799.33</v>
      </c>
      <c r="H76" s="158">
        <f>SUM(K76:AD76)</f>
        <v>-126319.92</v>
      </c>
      <c r="I76" s="74">
        <f t="shared" si="55"/>
        <v>-3380119.25</v>
      </c>
      <c r="J76" s="160"/>
      <c r="K76" s="15"/>
      <c r="L76" s="15"/>
      <c r="M76" s="15"/>
      <c r="N76" s="15">
        <v>-126319.92</v>
      </c>
      <c r="O76" s="15"/>
      <c r="P76" s="15"/>
      <c r="Q76" s="15"/>
      <c r="R76" s="15"/>
      <c r="S76" s="15"/>
      <c r="T76" s="15"/>
      <c r="U76" s="15"/>
      <c r="V76" s="4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5" x14ac:dyDescent="0.35">
      <c r="A77" s="111">
        <f t="shared" si="56"/>
        <v>47</v>
      </c>
      <c r="B77" s="24" t="s">
        <v>211</v>
      </c>
      <c r="C77" s="24"/>
      <c r="D77" s="24"/>
      <c r="E77" s="24" t="s">
        <v>216</v>
      </c>
      <c r="F77" s="24"/>
      <c r="G77" s="109">
        <v>-7075035.8300000001</v>
      </c>
      <c r="H77" s="161">
        <f>SUM(K77:AD77)</f>
        <v>28709.79</v>
      </c>
      <c r="I77" s="89">
        <f t="shared" si="55"/>
        <v>-7046326.04</v>
      </c>
      <c r="J77" s="160"/>
      <c r="K77" s="109">
        <v>-6254</v>
      </c>
      <c r="L77" s="114"/>
      <c r="M77" s="114"/>
      <c r="N77" s="109"/>
      <c r="O77" s="109">
        <v>34963.79</v>
      </c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</row>
    <row r="78" spans="1:31" x14ac:dyDescent="0.2">
      <c r="A78" s="12">
        <f t="shared" si="56"/>
        <v>48</v>
      </c>
      <c r="D78" s="12" t="s">
        <v>217</v>
      </c>
      <c r="G78" s="74">
        <f>SUM(G73:G77)</f>
        <v>-89558742.359999999</v>
      </c>
      <c r="H78" s="74">
        <f>SUM(H73:H77)</f>
        <v>-567369.44999999995</v>
      </c>
      <c r="I78" s="74">
        <f>SUM(I73:I77)</f>
        <v>-90126111.810000017</v>
      </c>
      <c r="K78" s="74">
        <f>SUM(K73:K77)</f>
        <v>-6254</v>
      </c>
      <c r="L78" s="74">
        <f t="shared" ref="L78:O78" si="57">SUM(L73:L77)</f>
        <v>-205267.33000000002</v>
      </c>
      <c r="M78" s="74">
        <f t="shared" si="57"/>
        <v>-31507.93</v>
      </c>
      <c r="N78" s="74">
        <f>SUM(N73:N77)</f>
        <v>-126319.92</v>
      </c>
      <c r="O78" s="74">
        <f t="shared" si="57"/>
        <v>-198020.27</v>
      </c>
      <c r="P78" s="74">
        <f t="shared" ref="P78" si="58">SUM(P73:P77)</f>
        <v>0</v>
      </c>
      <c r="Q78" s="74">
        <f t="shared" ref="Q78:AD78" si="59">SUM(Q73:Q77)</f>
        <v>0</v>
      </c>
      <c r="R78" s="74">
        <f t="shared" si="59"/>
        <v>0</v>
      </c>
      <c r="S78" s="74">
        <f t="shared" si="59"/>
        <v>0</v>
      </c>
      <c r="T78" s="74">
        <f t="shared" si="59"/>
        <v>0</v>
      </c>
      <c r="U78" s="74">
        <f t="shared" si="59"/>
        <v>0</v>
      </c>
      <c r="V78" s="74">
        <f t="shared" si="59"/>
        <v>0</v>
      </c>
      <c r="W78" s="74">
        <f>SUM(W73:W77)</f>
        <v>0</v>
      </c>
      <c r="X78" s="74">
        <f t="shared" si="59"/>
        <v>0</v>
      </c>
      <c r="Y78" s="74">
        <f t="shared" si="59"/>
        <v>0</v>
      </c>
      <c r="Z78" s="74">
        <f t="shared" si="59"/>
        <v>0</v>
      </c>
      <c r="AA78" s="74">
        <f t="shared" si="59"/>
        <v>0</v>
      </c>
      <c r="AB78" s="74">
        <f t="shared" si="59"/>
        <v>0</v>
      </c>
      <c r="AC78" s="74">
        <f t="shared" ref="AC78" si="60">SUM(AC73:AC77)</f>
        <v>0</v>
      </c>
      <c r="AD78" s="74">
        <f t="shared" si="59"/>
        <v>0</v>
      </c>
      <c r="AE78" s="74">
        <f t="shared" ref="AE78" si="61">SUM(AE73:AE77)</f>
        <v>0</v>
      </c>
    </row>
    <row r="79" spans="1:31" x14ac:dyDescent="0.2">
      <c r="A79" s="12"/>
      <c r="G79" s="158"/>
      <c r="I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</row>
    <row r="80" spans="1:31" x14ac:dyDescent="0.2">
      <c r="A80" s="12">
        <f>+A78+1</f>
        <v>49</v>
      </c>
      <c r="B80" s="12">
        <v>252</v>
      </c>
      <c r="D80" s="11" t="s">
        <v>218</v>
      </c>
      <c r="G80" s="15">
        <v>-2002458.53</v>
      </c>
      <c r="H80" s="158">
        <f t="shared" ref="H80:H85" si="62">SUM(K80:AD80)</f>
        <v>0</v>
      </c>
      <c r="I80" s="74">
        <f t="shared" ref="I80:I85" si="63">G80+H80</f>
        <v>-2002458.53</v>
      </c>
      <c r="J80" s="160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x14ac:dyDescent="0.2">
      <c r="A81" s="12">
        <f>+A80+1</f>
        <v>50</v>
      </c>
      <c r="B81" s="12">
        <v>282</v>
      </c>
      <c r="D81" s="11" t="s">
        <v>219</v>
      </c>
      <c r="G81" s="15">
        <v>-28898359.920000002</v>
      </c>
      <c r="H81" s="158">
        <f t="shared" si="62"/>
        <v>-52785.579999999994</v>
      </c>
      <c r="I81" s="74">
        <f t="shared" si="63"/>
        <v>-28951145.5</v>
      </c>
      <c r="J81" s="160"/>
      <c r="K81" s="15">
        <v>811</v>
      </c>
      <c r="L81" s="15">
        <f>-28002.68-956.35</f>
        <v>-28959.03</v>
      </c>
      <c r="M81" s="15">
        <v>-4324.97</v>
      </c>
      <c r="N81" s="15">
        <v>-61896.84</v>
      </c>
      <c r="O81" s="15">
        <v>41584.26</v>
      </c>
      <c r="P81" s="15"/>
      <c r="Q81" s="15"/>
      <c r="R81" s="15"/>
      <c r="S81" s="15"/>
      <c r="T81" s="15"/>
      <c r="U81" s="15"/>
      <c r="V81" s="4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x14ac:dyDescent="0.2">
      <c r="A82" s="12">
        <f t="shared" ref="A82:A86" si="64">+A81+1</f>
        <v>51</v>
      </c>
      <c r="B82" s="12">
        <v>235</v>
      </c>
      <c r="D82" s="11" t="s">
        <v>220</v>
      </c>
      <c r="G82" s="15">
        <v>-134276.90370721201</v>
      </c>
      <c r="H82" s="158">
        <f t="shared" si="62"/>
        <v>0</v>
      </c>
      <c r="I82" s="74">
        <f t="shared" si="63"/>
        <v>-134276.90370721201</v>
      </c>
      <c r="J82" s="160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x14ac:dyDescent="0.2">
      <c r="A83" s="12">
        <f t="shared" si="64"/>
        <v>52</v>
      </c>
      <c r="B83" s="12">
        <v>144</v>
      </c>
      <c r="D83" s="11" t="s">
        <v>221</v>
      </c>
      <c r="G83" s="15">
        <v>-261517.76497836699</v>
      </c>
      <c r="H83" s="158">
        <f t="shared" si="62"/>
        <v>0</v>
      </c>
      <c r="I83" s="74">
        <f t="shared" si="63"/>
        <v>-261517.76497836699</v>
      </c>
      <c r="J83" s="160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x14ac:dyDescent="0.2">
      <c r="A84" s="12">
        <f t="shared" si="64"/>
        <v>53</v>
      </c>
      <c r="B84" s="12">
        <v>255</v>
      </c>
      <c r="D84" s="11" t="s">
        <v>222</v>
      </c>
      <c r="G84" s="15">
        <v>-58.62</v>
      </c>
      <c r="H84" s="158">
        <f t="shared" si="62"/>
        <v>0</v>
      </c>
      <c r="I84" s="74">
        <f t="shared" si="63"/>
        <v>-58.62</v>
      </c>
      <c r="J84" s="160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x14ac:dyDescent="0.2">
      <c r="A85" s="111">
        <f t="shared" si="64"/>
        <v>54</v>
      </c>
      <c r="B85" s="111">
        <v>228</v>
      </c>
      <c r="C85" s="24"/>
      <c r="D85" s="24" t="s">
        <v>223</v>
      </c>
      <c r="E85" s="24"/>
      <c r="F85" s="24"/>
      <c r="G85" s="109">
        <v>-471723.555992799</v>
      </c>
      <c r="H85" s="161">
        <f t="shared" si="62"/>
        <v>0</v>
      </c>
      <c r="I85" s="89">
        <f t="shared" si="63"/>
        <v>-471723.555992799</v>
      </c>
      <c r="J85" s="16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</row>
    <row r="86" spans="1:31" x14ac:dyDescent="0.2">
      <c r="A86" s="12">
        <f t="shared" si="64"/>
        <v>55</v>
      </c>
      <c r="D86" s="12" t="s">
        <v>224</v>
      </c>
      <c r="G86" s="74">
        <f>SUM(G80:G85)</f>
        <v>-31768395.294678386</v>
      </c>
      <c r="H86" s="74">
        <f>SUM(H80:H85)</f>
        <v>-52785.579999999994</v>
      </c>
      <c r="I86" s="74">
        <f>SUM(I80:I85)</f>
        <v>-31821180.874678385</v>
      </c>
      <c r="K86" s="74">
        <f>SUM(K80:K85)</f>
        <v>811</v>
      </c>
      <c r="L86" s="74">
        <f t="shared" ref="L86:M86" si="65">SUM(L80:L85)</f>
        <v>-28959.03</v>
      </c>
      <c r="M86" s="74">
        <f t="shared" si="65"/>
        <v>-4324.97</v>
      </c>
      <c r="N86" s="74">
        <f>SUM(N80:N85)</f>
        <v>-61896.84</v>
      </c>
      <c r="O86" s="74">
        <f t="shared" ref="O86" si="66">SUM(O80:O85)</f>
        <v>41584.26</v>
      </c>
      <c r="P86" s="74">
        <f t="shared" ref="P86" si="67">SUM(P80:P85)</f>
        <v>0</v>
      </c>
      <c r="Q86" s="74">
        <f t="shared" ref="Q86:AD86" si="68">SUM(Q80:Q85)</f>
        <v>0</v>
      </c>
      <c r="R86" s="74">
        <f t="shared" si="68"/>
        <v>0</v>
      </c>
      <c r="S86" s="74">
        <f t="shared" si="68"/>
        <v>0</v>
      </c>
      <c r="T86" s="74">
        <f t="shared" si="68"/>
        <v>0</v>
      </c>
      <c r="U86" s="74">
        <f t="shared" si="68"/>
        <v>0</v>
      </c>
      <c r="V86" s="74">
        <f t="shared" si="68"/>
        <v>0</v>
      </c>
      <c r="W86" s="74">
        <f>SUM(W80:W85)</f>
        <v>0</v>
      </c>
      <c r="X86" s="74">
        <f t="shared" si="68"/>
        <v>0</v>
      </c>
      <c r="Y86" s="74">
        <f t="shared" si="68"/>
        <v>0</v>
      </c>
      <c r="Z86" s="74">
        <f t="shared" si="68"/>
        <v>0</v>
      </c>
      <c r="AA86" s="74">
        <f t="shared" si="68"/>
        <v>0</v>
      </c>
      <c r="AB86" s="74">
        <f t="shared" si="68"/>
        <v>0</v>
      </c>
      <c r="AC86" s="74">
        <f t="shared" ref="AC86" si="69">SUM(AC80:AC85)</f>
        <v>0</v>
      </c>
      <c r="AD86" s="74">
        <f t="shared" si="68"/>
        <v>0</v>
      </c>
      <c r="AE86" s="74">
        <f t="shared" ref="AE86" si="70">SUM(AE80:AE85)</f>
        <v>0</v>
      </c>
    </row>
    <row r="87" spans="1:31" x14ac:dyDescent="0.2">
      <c r="A87" s="12"/>
      <c r="B87" s="12"/>
      <c r="G87" s="158"/>
      <c r="I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</row>
    <row r="88" spans="1:31" x14ac:dyDescent="0.2">
      <c r="A88" s="12">
        <f>+A86+1</f>
        <v>56</v>
      </c>
      <c r="B88" s="12"/>
      <c r="D88" s="11" t="s">
        <v>225</v>
      </c>
      <c r="G88" s="74">
        <f>G78+G86</f>
        <v>-121327137.65467839</v>
      </c>
      <c r="H88" s="74">
        <f>H78+H86</f>
        <v>-620155.02999999991</v>
      </c>
      <c r="I88" s="74">
        <f>I78+I86</f>
        <v>-121947292.68467841</v>
      </c>
      <c r="K88" s="74">
        <f>K78+K86</f>
        <v>-5443</v>
      </c>
      <c r="L88" s="74">
        <f t="shared" ref="L88:M88" si="71">L78+L86</f>
        <v>-234226.36000000002</v>
      </c>
      <c r="M88" s="74">
        <f t="shared" si="71"/>
        <v>-35832.9</v>
      </c>
      <c r="N88" s="74">
        <f>N78+N86</f>
        <v>-188216.76</v>
      </c>
      <c r="O88" s="74">
        <f t="shared" ref="O88" si="72">O78+O86</f>
        <v>-156436.00999999998</v>
      </c>
      <c r="P88" s="74">
        <f t="shared" ref="P88" si="73">P78+P86</f>
        <v>0</v>
      </c>
      <c r="Q88" s="74">
        <f t="shared" ref="Q88:AD88" si="74">Q78+Q86</f>
        <v>0</v>
      </c>
      <c r="R88" s="74">
        <f t="shared" si="74"/>
        <v>0</v>
      </c>
      <c r="S88" s="74">
        <f t="shared" si="74"/>
        <v>0</v>
      </c>
      <c r="T88" s="74">
        <f t="shared" si="74"/>
        <v>0</v>
      </c>
      <c r="U88" s="74">
        <f t="shared" si="74"/>
        <v>0</v>
      </c>
      <c r="V88" s="74">
        <f>V78+V86</f>
        <v>0</v>
      </c>
      <c r="W88" s="74">
        <f>W78+W86</f>
        <v>0</v>
      </c>
      <c r="X88" s="74">
        <f t="shared" si="74"/>
        <v>0</v>
      </c>
      <c r="Y88" s="74">
        <f t="shared" si="74"/>
        <v>0</v>
      </c>
      <c r="Z88" s="74">
        <f t="shared" si="74"/>
        <v>0</v>
      </c>
      <c r="AA88" s="74">
        <f t="shared" si="74"/>
        <v>0</v>
      </c>
      <c r="AB88" s="74">
        <f t="shared" si="74"/>
        <v>0</v>
      </c>
      <c r="AC88" s="74">
        <f t="shared" ref="AC88" si="75">AC78+AC86</f>
        <v>0</v>
      </c>
      <c r="AD88" s="74">
        <f t="shared" si="74"/>
        <v>0</v>
      </c>
      <c r="AE88" s="74">
        <f t="shared" ref="AE88" si="76">AE78+AE86</f>
        <v>0</v>
      </c>
    </row>
    <row r="89" spans="1:31" x14ac:dyDescent="0.2">
      <c r="A89" s="12"/>
      <c r="B89" s="12"/>
      <c r="G89" s="158"/>
      <c r="H89" s="74"/>
      <c r="I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</row>
    <row r="90" spans="1:31" x14ac:dyDescent="0.2">
      <c r="A90" s="12">
        <f>+A88+1</f>
        <v>57</v>
      </c>
      <c r="B90" s="12"/>
      <c r="D90" s="11" t="s">
        <v>52</v>
      </c>
      <c r="G90" s="74">
        <f>G56+G68+G88</f>
        <v>130949993.14532159</v>
      </c>
      <c r="H90" s="74">
        <f>H56+H68+H88</f>
        <v>21234866.969999999</v>
      </c>
      <c r="I90" s="74">
        <f>I56+I68+I88</f>
        <v>152184860.11532155</v>
      </c>
      <c r="K90" s="74">
        <f>K56+K68+K88</f>
        <v>58070</v>
      </c>
      <c r="L90" s="74">
        <f t="shared" ref="L90:M90" si="77">L56+L68+L88</f>
        <v>16660177.640000001</v>
      </c>
      <c r="M90" s="74">
        <f t="shared" si="77"/>
        <v>2529212.1</v>
      </c>
      <c r="N90" s="74">
        <f>N56+N68+N88</f>
        <v>2143843.2400000002</v>
      </c>
      <c r="O90" s="74">
        <f t="shared" ref="O90" si="78">O56+O68+O88</f>
        <v>-156436.00999999998</v>
      </c>
      <c r="P90" s="74">
        <f t="shared" ref="P90" si="79">P56+P68+P88</f>
        <v>0</v>
      </c>
      <c r="Q90" s="74">
        <f t="shared" ref="Q90:AD90" si="80">Q56+Q68+Q88</f>
        <v>0</v>
      </c>
      <c r="R90" s="74">
        <f t="shared" si="80"/>
        <v>0</v>
      </c>
      <c r="S90" s="74">
        <f t="shared" si="80"/>
        <v>0</v>
      </c>
      <c r="T90" s="74">
        <f t="shared" si="80"/>
        <v>0</v>
      </c>
      <c r="U90" s="74">
        <f t="shared" si="80"/>
        <v>0</v>
      </c>
      <c r="V90" s="74">
        <f>V56+V68+V88</f>
        <v>0</v>
      </c>
      <c r="W90" s="74">
        <f>W56+W68+W88</f>
        <v>0</v>
      </c>
      <c r="X90" s="74">
        <f t="shared" si="80"/>
        <v>0</v>
      </c>
      <c r="Y90" s="74">
        <f t="shared" si="80"/>
        <v>0</v>
      </c>
      <c r="Z90" s="74">
        <f t="shared" si="80"/>
        <v>0</v>
      </c>
      <c r="AA90" s="74">
        <f t="shared" si="80"/>
        <v>0</v>
      </c>
      <c r="AB90" s="74">
        <f t="shared" si="80"/>
        <v>0</v>
      </c>
      <c r="AC90" s="74">
        <f t="shared" ref="AC90" si="81">AC56+AC68+AC88</f>
        <v>0</v>
      </c>
      <c r="AD90" s="74">
        <f t="shared" si="80"/>
        <v>0</v>
      </c>
      <c r="AE90" s="74">
        <f t="shared" ref="AE90" si="82">AE56+AE68+AE88</f>
        <v>0</v>
      </c>
    </row>
    <row r="91" spans="1:31" x14ac:dyDescent="0.2">
      <c r="A91" s="12"/>
      <c r="G91" s="158"/>
      <c r="I91" s="73"/>
    </row>
    <row r="92" spans="1:31" ht="15" x14ac:dyDescent="0.2">
      <c r="A92" s="59" t="s">
        <v>42</v>
      </c>
      <c r="G92" s="158"/>
    </row>
    <row r="93" spans="1:31" x14ac:dyDescent="0.2">
      <c r="A93" s="12"/>
      <c r="G93" s="158"/>
    </row>
    <row r="94" spans="1:31" x14ac:dyDescent="0.2">
      <c r="A94" s="12"/>
      <c r="B94" s="12"/>
      <c r="C94" s="11" t="s">
        <v>226</v>
      </c>
      <c r="G94" s="158"/>
    </row>
    <row r="95" spans="1:31" x14ac:dyDescent="0.2">
      <c r="A95" s="12"/>
      <c r="B95" s="12"/>
      <c r="D95" s="11" t="s">
        <v>227</v>
      </c>
      <c r="G95" s="158"/>
    </row>
    <row r="96" spans="1:31" x14ac:dyDescent="0.2">
      <c r="A96" s="12"/>
      <c r="B96" s="12"/>
      <c r="E96" s="11" t="s">
        <v>228</v>
      </c>
      <c r="G96" s="158"/>
    </row>
    <row r="97" spans="1:31" x14ac:dyDescent="0.2">
      <c r="A97" s="12">
        <f>+A90+1</f>
        <v>58</v>
      </c>
      <c r="B97" s="12">
        <v>710</v>
      </c>
      <c r="F97" s="11" t="s">
        <v>229</v>
      </c>
      <c r="G97" s="15">
        <v>0</v>
      </c>
      <c r="H97" s="158">
        <f t="shared" ref="H97:H102" si="83">SUM(K97:AD97)</f>
        <v>0</v>
      </c>
      <c r="I97" s="74">
        <f t="shared" ref="I97:I102" si="84">G97+H97</f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x14ac:dyDescent="0.2">
      <c r="A98" s="12">
        <f>+A97+1</f>
        <v>59</v>
      </c>
      <c r="B98" s="12">
        <v>712</v>
      </c>
      <c r="F98" s="11" t="s">
        <v>230</v>
      </c>
      <c r="G98" s="15">
        <v>0</v>
      </c>
      <c r="H98" s="158">
        <f t="shared" si="83"/>
        <v>0</v>
      </c>
      <c r="I98" s="74">
        <f t="shared" si="84"/>
        <v>0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x14ac:dyDescent="0.2">
      <c r="A99" s="12">
        <f t="shared" ref="A99:A102" si="85">+A98+1</f>
        <v>60</v>
      </c>
      <c r="B99" s="12">
        <v>714</v>
      </c>
      <c r="F99" s="11" t="s">
        <v>231</v>
      </c>
      <c r="G99" s="15">
        <v>0</v>
      </c>
      <c r="H99" s="158">
        <f t="shared" si="83"/>
        <v>0</v>
      </c>
      <c r="I99" s="74">
        <f t="shared" si="84"/>
        <v>0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x14ac:dyDescent="0.2">
      <c r="A100" s="12">
        <f t="shared" si="85"/>
        <v>61</v>
      </c>
      <c r="B100" s="12">
        <v>717</v>
      </c>
      <c r="F100" s="11" t="s">
        <v>232</v>
      </c>
      <c r="G100" s="15">
        <v>0</v>
      </c>
      <c r="H100" s="158">
        <f t="shared" si="83"/>
        <v>0</v>
      </c>
      <c r="I100" s="74">
        <f t="shared" si="84"/>
        <v>0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x14ac:dyDescent="0.2">
      <c r="A101" s="12">
        <f t="shared" si="85"/>
        <v>62</v>
      </c>
      <c r="B101" s="12">
        <v>728</v>
      </c>
      <c r="F101" s="11" t="s">
        <v>233</v>
      </c>
      <c r="G101" s="15">
        <v>0</v>
      </c>
      <c r="H101" s="158">
        <f t="shared" si="83"/>
        <v>0</v>
      </c>
      <c r="I101" s="74">
        <f t="shared" si="84"/>
        <v>0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x14ac:dyDescent="0.2">
      <c r="A102" s="12">
        <f t="shared" si="85"/>
        <v>63</v>
      </c>
      <c r="B102" s="12">
        <v>735</v>
      </c>
      <c r="F102" s="11" t="s">
        <v>234</v>
      </c>
      <c r="G102" s="15">
        <v>0</v>
      </c>
      <c r="H102" s="158">
        <f t="shared" si="83"/>
        <v>0</v>
      </c>
      <c r="I102" s="74">
        <f t="shared" si="84"/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x14ac:dyDescent="0.2">
      <c r="A103" s="12"/>
      <c r="B103" s="12"/>
      <c r="E103" s="11" t="s">
        <v>235</v>
      </c>
      <c r="G103" s="18"/>
      <c r="I103" s="74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</row>
    <row r="104" spans="1:31" x14ac:dyDescent="0.2">
      <c r="A104" s="12">
        <f>+A102+1</f>
        <v>64</v>
      </c>
      <c r="B104" s="12">
        <v>740</v>
      </c>
      <c r="F104" s="11" t="s">
        <v>229</v>
      </c>
      <c r="G104" s="15">
        <v>0</v>
      </c>
      <c r="H104" s="158">
        <f>SUM(K104:AD104)</f>
        <v>0</v>
      </c>
      <c r="I104" s="74">
        <f>G104+H104</f>
        <v>0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x14ac:dyDescent="0.2">
      <c r="A105" s="12">
        <f>+A104+1</f>
        <v>65</v>
      </c>
      <c r="B105" s="12">
        <v>741</v>
      </c>
      <c r="F105" s="11" t="s">
        <v>236</v>
      </c>
      <c r="G105" s="15">
        <v>0</v>
      </c>
      <c r="H105" s="158">
        <f>SUM(K105:AD105)</f>
        <v>0</v>
      </c>
      <c r="I105" s="74">
        <f>G105+H105</f>
        <v>0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x14ac:dyDescent="0.2">
      <c r="A106" s="12">
        <f>+A105+1</f>
        <v>66</v>
      </c>
      <c r="B106" s="12">
        <v>742</v>
      </c>
      <c r="F106" s="11" t="s">
        <v>237</v>
      </c>
      <c r="G106" s="15">
        <v>0</v>
      </c>
      <c r="H106" s="158">
        <f>SUM(K106:AD106)</f>
        <v>0</v>
      </c>
      <c r="I106" s="74">
        <f>G106+H106</f>
        <v>0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x14ac:dyDescent="0.2">
      <c r="A107" s="12"/>
      <c r="B107" s="12"/>
      <c r="D107" s="11" t="s">
        <v>238</v>
      </c>
      <c r="G107" s="18"/>
      <c r="I107" s="74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x14ac:dyDescent="0.2">
      <c r="A108" s="12">
        <f>+A106+1</f>
        <v>67</v>
      </c>
      <c r="B108" s="12" t="s">
        <v>239</v>
      </c>
      <c r="F108" s="11" t="s">
        <v>240</v>
      </c>
      <c r="G108" s="15">
        <f>85883316.85-4924625+19206044.54</f>
        <v>100164736.38999999</v>
      </c>
      <c r="H108" s="158">
        <f>SUM(K108:AD108)</f>
        <v>-80436965</v>
      </c>
      <c r="I108" s="74">
        <f>G108+H108</f>
        <v>19727771.389999986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>
        <v>-80436965</v>
      </c>
      <c r="AB108" s="15"/>
      <c r="AC108" s="15"/>
      <c r="AD108" s="15"/>
      <c r="AE108" s="15"/>
    </row>
    <row r="109" spans="1:31" x14ac:dyDescent="0.2">
      <c r="A109" s="12">
        <f>+A108+1</f>
        <v>68</v>
      </c>
      <c r="B109" s="12">
        <v>808</v>
      </c>
      <c r="F109" s="11" t="s">
        <v>241</v>
      </c>
      <c r="G109" s="15">
        <v>-521726.78</v>
      </c>
      <c r="H109" s="158">
        <f>SUM(K109:AD109)</f>
        <v>0</v>
      </c>
      <c r="I109" s="74">
        <f>G109+H109</f>
        <v>-521726.78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x14ac:dyDescent="0.2">
      <c r="A110" s="12">
        <f t="shared" ref="A110:A112" si="86">+A109+1</f>
        <v>69</v>
      </c>
      <c r="B110" s="12">
        <v>812</v>
      </c>
      <c r="F110" s="11" t="s">
        <v>242</v>
      </c>
      <c r="G110" s="15">
        <v>0</v>
      </c>
      <c r="H110" s="158">
        <f>SUM(K110:AD110)</f>
        <v>0</v>
      </c>
      <c r="I110" s="74">
        <f>G110+H110</f>
        <v>0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x14ac:dyDescent="0.2">
      <c r="A111" s="111">
        <f t="shared" si="86"/>
        <v>70</v>
      </c>
      <c r="B111" s="111">
        <v>813</v>
      </c>
      <c r="C111" s="24"/>
      <c r="D111" s="24"/>
      <c r="E111" s="24"/>
      <c r="F111" s="24" t="s">
        <v>243</v>
      </c>
      <c r="G111" s="109">
        <v>281925.33</v>
      </c>
      <c r="H111" s="161">
        <f>SUM(K111:AD111)</f>
        <v>-115786.48</v>
      </c>
      <c r="I111" s="89">
        <f>G111+H111</f>
        <v>166138.85000000003</v>
      </c>
      <c r="K111" s="109"/>
      <c r="L111" s="109"/>
      <c r="M111" s="109"/>
      <c r="N111" s="109"/>
      <c r="O111" s="109"/>
      <c r="P111" s="109"/>
      <c r="Q111" s="109">
        <v>8686</v>
      </c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>
        <v>-124472.48</v>
      </c>
      <c r="AE111" s="109"/>
    </row>
    <row r="112" spans="1:31" x14ac:dyDescent="0.2">
      <c r="A112" s="12">
        <f t="shared" si="86"/>
        <v>71</v>
      </c>
      <c r="B112" s="12"/>
      <c r="C112" s="11" t="s">
        <v>244</v>
      </c>
      <c r="G112" s="74">
        <f>SUM(G97:G111)</f>
        <v>99924934.939999983</v>
      </c>
      <c r="H112" s="74">
        <f>SUM(H97:H111)</f>
        <v>-80552751.480000004</v>
      </c>
      <c r="I112" s="74">
        <f>SUM(I97:I111)</f>
        <v>19372183.459999986</v>
      </c>
      <c r="K112" s="74">
        <f>SUM(K97:K111)</f>
        <v>0</v>
      </c>
      <c r="L112" s="74">
        <f t="shared" ref="L112:O112" si="87">SUM(L97:L111)</f>
        <v>0</v>
      </c>
      <c r="M112" s="74">
        <f t="shared" si="87"/>
        <v>0</v>
      </c>
      <c r="N112" s="74">
        <f>SUM(N97:N111)</f>
        <v>0</v>
      </c>
      <c r="O112" s="74">
        <f t="shared" si="87"/>
        <v>0</v>
      </c>
      <c r="P112" s="74">
        <f t="shared" ref="P112" si="88">SUM(P97:P111)</f>
        <v>0</v>
      </c>
      <c r="Q112" s="74">
        <f t="shared" ref="Q112:AD112" si="89">SUM(Q97:Q111)</f>
        <v>8686</v>
      </c>
      <c r="R112" s="74">
        <f t="shared" si="89"/>
        <v>0</v>
      </c>
      <c r="S112" s="74">
        <f t="shared" si="89"/>
        <v>0</v>
      </c>
      <c r="T112" s="74">
        <f t="shared" si="89"/>
        <v>0</v>
      </c>
      <c r="U112" s="74">
        <f t="shared" si="89"/>
        <v>0</v>
      </c>
      <c r="V112" s="74">
        <f t="shared" si="89"/>
        <v>0</v>
      </c>
      <c r="W112" s="74">
        <f>SUM(W97:W111)</f>
        <v>0</v>
      </c>
      <c r="X112" s="74">
        <f t="shared" si="89"/>
        <v>0</v>
      </c>
      <c r="Y112" s="74">
        <f t="shared" si="89"/>
        <v>0</v>
      </c>
      <c r="Z112" s="74">
        <f t="shared" si="89"/>
        <v>0</v>
      </c>
      <c r="AA112" s="74">
        <f t="shared" si="89"/>
        <v>-80436965</v>
      </c>
      <c r="AB112" s="74">
        <f t="shared" si="89"/>
        <v>0</v>
      </c>
      <c r="AC112" s="74">
        <f t="shared" ref="AC112" si="90">SUM(AC97:AC111)</f>
        <v>0</v>
      </c>
      <c r="AD112" s="74">
        <f t="shared" si="89"/>
        <v>-124472.48</v>
      </c>
      <c r="AE112" s="74">
        <f t="shared" ref="AE112" si="91">SUM(AE97:AE111)</f>
        <v>0</v>
      </c>
    </row>
    <row r="113" spans="1:31" x14ac:dyDescent="0.2">
      <c r="A113" s="12"/>
      <c r="B113" s="12"/>
      <c r="G113" s="158"/>
      <c r="H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</row>
    <row r="114" spans="1:31" x14ac:dyDescent="0.2">
      <c r="A114" s="12"/>
      <c r="B114" s="12"/>
      <c r="C114" s="11" t="s">
        <v>245</v>
      </c>
      <c r="G114" s="158"/>
      <c r="H114" s="158"/>
    </row>
    <row r="115" spans="1:31" x14ac:dyDescent="0.2">
      <c r="A115" s="12"/>
      <c r="B115" s="12"/>
      <c r="E115" s="11" t="s">
        <v>228</v>
      </c>
      <c r="G115" s="158"/>
    </row>
    <row r="116" spans="1:31" x14ac:dyDescent="0.2">
      <c r="A116" s="12">
        <f>+A112+1</f>
        <v>72</v>
      </c>
      <c r="B116" s="151">
        <v>840</v>
      </c>
      <c r="C116" s="145"/>
      <c r="D116" s="145"/>
      <c r="E116" s="145"/>
      <c r="F116" s="145" t="s">
        <v>229</v>
      </c>
      <c r="G116" s="15">
        <v>72171.679999999993</v>
      </c>
      <c r="H116" s="158">
        <f>SUM(K116:AD116)</f>
        <v>2201</v>
      </c>
      <c r="I116" s="74">
        <f t="shared" ref="I116:I118" si="92">G116+H116</f>
        <v>74372.679999999993</v>
      </c>
      <c r="K116" s="15"/>
      <c r="L116" s="15"/>
      <c r="M116" s="15"/>
      <c r="N116" s="15"/>
      <c r="O116" s="15"/>
      <c r="P116" s="15"/>
      <c r="Q116" s="15">
        <v>2201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31" x14ac:dyDescent="0.2">
      <c r="A117" s="12">
        <f>+A116+1</f>
        <v>73</v>
      </c>
      <c r="B117" s="151">
        <v>841</v>
      </c>
      <c r="C117" s="145"/>
      <c r="D117" s="145"/>
      <c r="E117" s="145"/>
      <c r="F117" s="145" t="s">
        <v>246</v>
      </c>
      <c r="G117" s="15">
        <v>139152.82</v>
      </c>
      <c r="H117" s="158">
        <f>SUM(K117:AD117)</f>
        <v>4127</v>
      </c>
      <c r="I117" s="74">
        <f t="shared" si="92"/>
        <v>143279.82</v>
      </c>
      <c r="K117" s="15"/>
      <c r="L117" s="15"/>
      <c r="M117" s="15"/>
      <c r="N117" s="15"/>
      <c r="O117" s="15"/>
      <c r="P117" s="15"/>
      <c r="Q117" s="15">
        <v>4127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31" x14ac:dyDescent="0.2">
      <c r="A118" s="12">
        <f>+A117+1</f>
        <v>74</v>
      </c>
      <c r="B118" s="151">
        <v>842</v>
      </c>
      <c r="C118" s="145"/>
      <c r="D118" s="145"/>
      <c r="E118" s="145"/>
      <c r="F118" s="145" t="s">
        <v>247</v>
      </c>
      <c r="G118" s="15">
        <v>51004.33</v>
      </c>
      <c r="H118" s="158">
        <f>SUM(K118:AD118)</f>
        <v>0</v>
      </c>
      <c r="I118" s="74">
        <f t="shared" si="92"/>
        <v>51004.33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:31" x14ac:dyDescent="0.2">
      <c r="A119" s="12"/>
      <c r="B119" s="12"/>
      <c r="E119" s="11" t="s">
        <v>235</v>
      </c>
      <c r="G119" s="18"/>
      <c r="I119" s="74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31" x14ac:dyDescent="0.2">
      <c r="A120" s="12">
        <f>+A118+1</f>
        <v>75</v>
      </c>
      <c r="B120" s="12">
        <v>843.1</v>
      </c>
      <c r="F120" s="11" t="s">
        <v>229</v>
      </c>
      <c r="G120" s="15">
        <f>2256.22+919.71</f>
        <v>3175.93</v>
      </c>
      <c r="H120" s="158">
        <f t="shared" ref="H120:H128" si="93">SUM(K120:AD120)</f>
        <v>1532</v>
      </c>
      <c r="I120" s="74">
        <f>G120+H120</f>
        <v>4707.93</v>
      </c>
      <c r="K120" s="15"/>
      <c r="L120" s="15"/>
      <c r="M120" s="15"/>
      <c r="N120" s="15"/>
      <c r="O120" s="15"/>
      <c r="P120" s="15"/>
      <c r="Q120" s="15">
        <v>1532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31" x14ac:dyDescent="0.2">
      <c r="A121" s="12">
        <f>+A120+1</f>
        <v>76</v>
      </c>
      <c r="B121" s="12">
        <v>843.2</v>
      </c>
      <c r="F121" s="11" t="s">
        <v>168</v>
      </c>
      <c r="G121" s="15">
        <v>2174.89</v>
      </c>
      <c r="H121" s="158">
        <f t="shared" si="93"/>
        <v>0</v>
      </c>
      <c r="I121" s="74">
        <f t="shared" ref="I121:I127" si="94">G121+H121</f>
        <v>2174.89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:31" x14ac:dyDescent="0.2">
      <c r="A122" s="12">
        <f>+A121+1</f>
        <v>77</v>
      </c>
      <c r="B122" s="12">
        <v>843.3</v>
      </c>
      <c r="F122" s="11" t="s">
        <v>175</v>
      </c>
      <c r="G122" s="15">
        <v>20094.75</v>
      </c>
      <c r="H122" s="158">
        <f t="shared" si="93"/>
        <v>0</v>
      </c>
      <c r="I122" s="74">
        <f t="shared" si="94"/>
        <v>20094.75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:31" x14ac:dyDescent="0.2">
      <c r="A123" s="12">
        <f>+A122+1</f>
        <v>78</v>
      </c>
      <c r="B123" s="12">
        <v>843.4</v>
      </c>
      <c r="F123" s="11" t="s">
        <v>176</v>
      </c>
      <c r="G123" s="15">
        <v>2824.6</v>
      </c>
      <c r="H123" s="158">
        <f t="shared" si="93"/>
        <v>0</v>
      </c>
      <c r="I123" s="74">
        <f t="shared" si="94"/>
        <v>2824.6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1:31" x14ac:dyDescent="0.2">
      <c r="A124" s="12">
        <f t="shared" ref="A124:A129" si="95">A123+1</f>
        <v>79</v>
      </c>
      <c r="B124" s="12">
        <v>843.5</v>
      </c>
      <c r="F124" s="11" t="s">
        <v>248</v>
      </c>
      <c r="G124" s="15">
        <v>8869.4599999999991</v>
      </c>
      <c r="H124" s="158">
        <f t="shared" si="93"/>
        <v>0</v>
      </c>
      <c r="I124" s="74">
        <f t="shared" si="94"/>
        <v>8869.4599999999991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:31" x14ac:dyDescent="0.2">
      <c r="A125" s="12">
        <f t="shared" si="95"/>
        <v>80</v>
      </c>
      <c r="B125" s="12">
        <v>843.6</v>
      </c>
      <c r="F125" s="11" t="s">
        <v>178</v>
      </c>
      <c r="G125" s="15">
        <v>6871.64</v>
      </c>
      <c r="H125" s="158">
        <f t="shared" si="93"/>
        <v>0</v>
      </c>
      <c r="I125" s="74">
        <f t="shared" si="94"/>
        <v>6871.64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:31" x14ac:dyDescent="0.2">
      <c r="A126" s="12">
        <f t="shared" si="95"/>
        <v>81</v>
      </c>
      <c r="B126" s="12">
        <v>843.7</v>
      </c>
      <c r="F126" s="11" t="s">
        <v>249</v>
      </c>
      <c r="G126" s="15">
        <v>56573.42</v>
      </c>
      <c r="H126" s="158">
        <f t="shared" si="93"/>
        <v>0</v>
      </c>
      <c r="I126" s="74">
        <f t="shared" si="94"/>
        <v>56573.42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:31" ht="15" x14ac:dyDescent="0.35">
      <c r="A127" s="12">
        <f t="shared" si="95"/>
        <v>82</v>
      </c>
      <c r="B127" s="12">
        <v>843.8</v>
      </c>
      <c r="F127" s="11" t="s">
        <v>250</v>
      </c>
      <c r="G127" s="15">
        <v>3413.72</v>
      </c>
      <c r="H127" s="158">
        <f t="shared" si="93"/>
        <v>0</v>
      </c>
      <c r="I127" s="74">
        <f t="shared" si="94"/>
        <v>3413.72</v>
      </c>
      <c r="J127" s="7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:31" ht="15" x14ac:dyDescent="0.35">
      <c r="A128" s="111">
        <f t="shared" si="95"/>
        <v>83</v>
      </c>
      <c r="B128" s="111">
        <v>843.9</v>
      </c>
      <c r="C128" s="24"/>
      <c r="D128" s="24"/>
      <c r="E128" s="24"/>
      <c r="F128" s="24" t="s">
        <v>181</v>
      </c>
      <c r="G128" s="109">
        <v>58196.35</v>
      </c>
      <c r="H128" s="161">
        <f t="shared" si="93"/>
        <v>0</v>
      </c>
      <c r="I128" s="89">
        <f>G128+H128</f>
        <v>58196.35</v>
      </c>
      <c r="J128" s="75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</row>
    <row r="129" spans="1:31" x14ac:dyDescent="0.2">
      <c r="A129" s="12">
        <f t="shared" si="95"/>
        <v>84</v>
      </c>
      <c r="B129" s="12"/>
      <c r="C129" s="11" t="s">
        <v>251</v>
      </c>
      <c r="G129" s="74">
        <f>SUM(G116:G128)</f>
        <v>424523.58999999997</v>
      </c>
      <c r="H129" s="74">
        <f>SUM(H116:H128)</f>
        <v>7860</v>
      </c>
      <c r="I129" s="74">
        <f>SUM(I116:I128)</f>
        <v>432383.58999999997</v>
      </c>
      <c r="K129" s="74">
        <f>SUM(K116:K128)</f>
        <v>0</v>
      </c>
      <c r="L129" s="74">
        <f t="shared" ref="L129:O129" si="96">SUM(L116:L128)</f>
        <v>0</v>
      </c>
      <c r="M129" s="74">
        <f t="shared" si="96"/>
        <v>0</v>
      </c>
      <c r="N129" s="74">
        <f>SUM(N116:N128)</f>
        <v>0</v>
      </c>
      <c r="O129" s="74">
        <f t="shared" si="96"/>
        <v>0</v>
      </c>
      <c r="P129" s="74">
        <f t="shared" ref="P129" si="97">SUM(P116:P128)</f>
        <v>0</v>
      </c>
      <c r="Q129" s="74">
        <f t="shared" ref="Q129:AD129" si="98">SUM(Q116:Q128)</f>
        <v>7860</v>
      </c>
      <c r="R129" s="74">
        <f t="shared" si="98"/>
        <v>0</v>
      </c>
      <c r="S129" s="74">
        <f t="shared" si="98"/>
        <v>0</v>
      </c>
      <c r="T129" s="74">
        <f t="shared" si="98"/>
        <v>0</v>
      </c>
      <c r="U129" s="74">
        <f t="shared" si="98"/>
        <v>0</v>
      </c>
      <c r="V129" s="74">
        <f t="shared" si="98"/>
        <v>0</v>
      </c>
      <c r="W129" s="74">
        <f>SUM(W116:W128)</f>
        <v>0</v>
      </c>
      <c r="X129" s="74">
        <f t="shared" si="98"/>
        <v>0</v>
      </c>
      <c r="Y129" s="74">
        <f t="shared" si="98"/>
        <v>0</v>
      </c>
      <c r="Z129" s="74">
        <f t="shared" si="98"/>
        <v>0</v>
      </c>
      <c r="AA129" s="74">
        <f t="shared" si="98"/>
        <v>0</v>
      </c>
      <c r="AB129" s="74">
        <f t="shared" si="98"/>
        <v>0</v>
      </c>
      <c r="AC129" s="74">
        <f t="shared" ref="AC129" si="99">SUM(AC116:AC128)</f>
        <v>0</v>
      </c>
      <c r="AD129" s="74">
        <f t="shared" si="98"/>
        <v>0</v>
      </c>
      <c r="AE129" s="74">
        <f t="shared" ref="AE129" si="100">SUM(AE116:AE128)</f>
        <v>0</v>
      </c>
    </row>
    <row r="130" spans="1:31" x14ac:dyDescent="0.2">
      <c r="A130" s="12"/>
      <c r="B130" s="12"/>
      <c r="G130" s="158"/>
    </row>
    <row r="131" spans="1:31" x14ac:dyDescent="0.2">
      <c r="A131" s="12"/>
      <c r="B131" s="12"/>
      <c r="C131" s="11" t="s">
        <v>252</v>
      </c>
      <c r="G131" s="158"/>
    </row>
    <row r="132" spans="1:31" x14ac:dyDescent="0.2">
      <c r="A132" s="12"/>
      <c r="B132" s="12"/>
      <c r="E132" s="11" t="s">
        <v>228</v>
      </c>
      <c r="G132" s="158"/>
    </row>
    <row r="133" spans="1:31" x14ac:dyDescent="0.2">
      <c r="A133" s="12">
        <f>+A129+1</f>
        <v>85</v>
      </c>
      <c r="B133" s="12">
        <v>870</v>
      </c>
      <c r="F133" s="11" t="s">
        <v>229</v>
      </c>
      <c r="G133" s="15">
        <v>1001073.51</v>
      </c>
      <c r="H133" s="158">
        <f t="shared" ref="H133:H142" si="101">SUM(K133:AD133)</f>
        <v>33853</v>
      </c>
      <c r="I133" s="74">
        <f t="shared" ref="I133:I142" si="102">G133+H133</f>
        <v>1034926.51</v>
      </c>
      <c r="K133" s="15"/>
      <c r="L133" s="15"/>
      <c r="M133" s="15"/>
      <c r="N133" s="15"/>
      <c r="O133" s="15"/>
      <c r="P133" s="15"/>
      <c r="Q133" s="15">
        <v>33853</v>
      </c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1:31" x14ac:dyDescent="0.2">
      <c r="A134" s="12">
        <f>+A133+1</f>
        <v>86</v>
      </c>
      <c r="B134" s="12">
        <v>871</v>
      </c>
      <c r="F134" s="11" t="s">
        <v>253</v>
      </c>
      <c r="G134" s="15">
        <v>168894.3</v>
      </c>
      <c r="H134" s="158">
        <f t="shared" si="101"/>
        <v>-33278.620000000003</v>
      </c>
      <c r="I134" s="74">
        <f t="shared" si="102"/>
        <v>135615.67999999999</v>
      </c>
      <c r="K134" s="15"/>
      <c r="L134" s="15"/>
      <c r="M134" s="15"/>
      <c r="N134" s="15"/>
      <c r="O134" s="15"/>
      <c r="P134" s="15"/>
      <c r="Q134" s="15">
        <v>6357</v>
      </c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-39635.620000000003</v>
      </c>
      <c r="AE134" s="15"/>
    </row>
    <row r="135" spans="1:31" x14ac:dyDescent="0.2">
      <c r="A135" s="12">
        <f t="shared" ref="A135:A142" si="103">+A134+1</f>
        <v>87</v>
      </c>
      <c r="B135" s="12">
        <v>874</v>
      </c>
      <c r="F135" s="11" t="s">
        <v>254</v>
      </c>
      <c r="G135" s="15">
        <v>1722795.24</v>
      </c>
      <c r="H135" s="158">
        <f t="shared" si="101"/>
        <v>20802</v>
      </c>
      <c r="I135" s="74">
        <f t="shared" si="102"/>
        <v>1743597.24</v>
      </c>
      <c r="K135" s="15"/>
      <c r="L135" s="15"/>
      <c r="M135" s="15"/>
      <c r="N135" s="15"/>
      <c r="O135" s="15"/>
      <c r="P135" s="15"/>
      <c r="Q135" s="15">
        <v>20802</v>
      </c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1:31" x14ac:dyDescent="0.2">
      <c r="A136" s="12">
        <f t="shared" si="103"/>
        <v>88</v>
      </c>
      <c r="B136" s="12">
        <v>875</v>
      </c>
      <c r="F136" s="11" t="s">
        <v>255</v>
      </c>
      <c r="G136" s="15">
        <v>140414.82</v>
      </c>
      <c r="H136" s="158">
        <f t="shared" si="101"/>
        <v>4169</v>
      </c>
      <c r="I136" s="74">
        <f t="shared" si="102"/>
        <v>144583.82</v>
      </c>
      <c r="K136" s="15"/>
      <c r="L136" s="15"/>
      <c r="M136" s="15"/>
      <c r="N136" s="15"/>
      <c r="O136" s="15"/>
      <c r="P136" s="15"/>
      <c r="Q136" s="15">
        <v>4169</v>
      </c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1:31" x14ac:dyDescent="0.2">
      <c r="A137" s="12">
        <f t="shared" si="103"/>
        <v>89</v>
      </c>
      <c r="B137" s="12">
        <v>876</v>
      </c>
      <c r="F137" s="11" t="s">
        <v>256</v>
      </c>
      <c r="G137" s="15">
        <v>0</v>
      </c>
      <c r="H137" s="158">
        <f t="shared" si="101"/>
        <v>0</v>
      </c>
      <c r="I137" s="74">
        <f t="shared" si="102"/>
        <v>0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1:31" x14ac:dyDescent="0.2">
      <c r="A138" s="12">
        <f t="shared" si="103"/>
        <v>90</v>
      </c>
      <c r="B138" s="12">
        <v>877</v>
      </c>
      <c r="F138" s="11" t="s">
        <v>257</v>
      </c>
      <c r="G138" s="15">
        <v>109513.58</v>
      </c>
      <c r="H138" s="158">
        <f t="shared" si="101"/>
        <v>1740</v>
      </c>
      <c r="I138" s="74">
        <f t="shared" si="102"/>
        <v>111253.58</v>
      </c>
      <c r="K138" s="15"/>
      <c r="L138" s="15"/>
      <c r="M138" s="15"/>
      <c r="N138" s="15"/>
      <c r="O138" s="15"/>
      <c r="P138" s="15"/>
      <c r="Q138" s="15">
        <v>1740</v>
      </c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1:31" x14ac:dyDescent="0.2">
      <c r="A139" s="12">
        <f t="shared" si="103"/>
        <v>91</v>
      </c>
      <c r="B139" s="12">
        <v>878</v>
      </c>
      <c r="F139" s="11" t="s">
        <v>258</v>
      </c>
      <c r="G139" s="15">
        <v>50674.879999999997</v>
      </c>
      <c r="H139" s="158">
        <f t="shared" si="101"/>
        <v>17871</v>
      </c>
      <c r="I139" s="74">
        <f t="shared" si="102"/>
        <v>68545.88</v>
      </c>
      <c r="K139" s="15"/>
      <c r="L139" s="15"/>
      <c r="M139" s="15"/>
      <c r="N139" s="15"/>
      <c r="O139" s="15"/>
      <c r="P139" s="15"/>
      <c r="Q139" s="15">
        <v>17871</v>
      </c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1:31" x14ac:dyDescent="0.2">
      <c r="A140" s="12">
        <f t="shared" si="103"/>
        <v>92</v>
      </c>
      <c r="B140" s="12">
        <v>879</v>
      </c>
      <c r="F140" s="11" t="s">
        <v>259</v>
      </c>
      <c r="G140" s="15">
        <v>673995.74</v>
      </c>
      <c r="H140" s="158">
        <f t="shared" si="101"/>
        <v>24100</v>
      </c>
      <c r="I140" s="74">
        <f t="shared" si="102"/>
        <v>698095.74</v>
      </c>
      <c r="K140" s="15"/>
      <c r="L140" s="15"/>
      <c r="M140" s="15"/>
      <c r="N140" s="15"/>
      <c r="O140" s="15"/>
      <c r="P140" s="15"/>
      <c r="Q140" s="15">
        <v>24100</v>
      </c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1:31" x14ac:dyDescent="0.2">
      <c r="A141" s="12">
        <f t="shared" si="103"/>
        <v>93</v>
      </c>
      <c r="B141" s="12">
        <v>880</v>
      </c>
      <c r="F141" s="11" t="s">
        <v>243</v>
      </c>
      <c r="G141" s="15">
        <v>1577043.75</v>
      </c>
      <c r="H141" s="158">
        <f t="shared" si="101"/>
        <v>33162</v>
      </c>
      <c r="I141" s="74">
        <f t="shared" si="102"/>
        <v>1610205.75</v>
      </c>
      <c r="K141" s="15"/>
      <c r="L141" s="15"/>
      <c r="M141" s="15"/>
      <c r="N141" s="15"/>
      <c r="O141" s="15"/>
      <c r="P141" s="15"/>
      <c r="Q141" s="15">
        <v>33162</v>
      </c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1:31" x14ac:dyDescent="0.2">
      <c r="A142" s="12">
        <f t="shared" si="103"/>
        <v>94</v>
      </c>
      <c r="B142" s="12">
        <v>881</v>
      </c>
      <c r="F142" s="11" t="s">
        <v>247</v>
      </c>
      <c r="G142" s="15">
        <v>510</v>
      </c>
      <c r="H142" s="158">
        <f t="shared" si="101"/>
        <v>0</v>
      </c>
      <c r="I142" s="74">
        <f t="shared" si="102"/>
        <v>510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1:31" x14ac:dyDescent="0.2">
      <c r="A143" s="12"/>
      <c r="B143" s="12"/>
      <c r="E143" s="11" t="s">
        <v>235</v>
      </c>
      <c r="G143" s="158"/>
      <c r="I143" s="74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x14ac:dyDescent="0.2">
      <c r="A144" s="12">
        <f>+A142+1</f>
        <v>95</v>
      </c>
      <c r="B144" s="12">
        <v>885</v>
      </c>
      <c r="F144" s="11" t="s">
        <v>229</v>
      </c>
      <c r="G144" s="15">
        <v>0</v>
      </c>
      <c r="H144" s="158">
        <f t="shared" ref="H144:H152" si="104">SUM(K144:AD144)</f>
        <v>0</v>
      </c>
      <c r="I144" s="74">
        <f t="shared" ref="I144:I152" si="105">G144+H144</f>
        <v>0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1:31" x14ac:dyDescent="0.2">
      <c r="A145" s="12">
        <f>+A144+1</f>
        <v>96</v>
      </c>
      <c r="B145" s="12">
        <v>886</v>
      </c>
      <c r="F145" s="11" t="s">
        <v>236</v>
      </c>
      <c r="G145" s="15">
        <v>0</v>
      </c>
      <c r="H145" s="158">
        <f t="shared" si="104"/>
        <v>0</v>
      </c>
      <c r="I145" s="74">
        <f t="shared" si="105"/>
        <v>0</v>
      </c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:31" x14ac:dyDescent="0.2">
      <c r="A146" s="12">
        <f t="shared" ref="A146:A153" si="106">+A145+1</f>
        <v>97</v>
      </c>
      <c r="B146" s="12">
        <v>887</v>
      </c>
      <c r="F146" s="11" t="s">
        <v>5</v>
      </c>
      <c r="G146" s="15">
        <v>330633.95</v>
      </c>
      <c r="H146" s="158">
        <f t="shared" si="104"/>
        <v>18807</v>
      </c>
      <c r="I146" s="74">
        <f t="shared" si="105"/>
        <v>349440.95</v>
      </c>
      <c r="K146" s="15"/>
      <c r="L146" s="15"/>
      <c r="M146" s="15"/>
      <c r="N146" s="15"/>
      <c r="O146" s="15"/>
      <c r="P146" s="15"/>
      <c r="Q146" s="15">
        <v>18807</v>
      </c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1:31" x14ac:dyDescent="0.2">
      <c r="A147" s="12">
        <f t="shared" si="106"/>
        <v>98</v>
      </c>
      <c r="B147" s="12">
        <v>889</v>
      </c>
      <c r="F147" s="11" t="s">
        <v>255</v>
      </c>
      <c r="G147" s="15">
        <v>91935.39</v>
      </c>
      <c r="H147" s="158">
        <f t="shared" si="104"/>
        <v>1456</v>
      </c>
      <c r="I147" s="74">
        <f t="shared" si="105"/>
        <v>93391.39</v>
      </c>
      <c r="K147" s="15"/>
      <c r="L147" s="15"/>
      <c r="M147" s="15"/>
      <c r="N147" s="15"/>
      <c r="O147" s="15"/>
      <c r="P147" s="15"/>
      <c r="Q147" s="15">
        <v>1456</v>
      </c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:31" x14ac:dyDescent="0.2">
      <c r="A148" s="12">
        <f t="shared" si="106"/>
        <v>99</v>
      </c>
      <c r="B148" s="12">
        <v>890</v>
      </c>
      <c r="F148" s="11" t="s">
        <v>256</v>
      </c>
      <c r="G148" s="15">
        <v>0</v>
      </c>
      <c r="H148" s="158">
        <f t="shared" si="104"/>
        <v>0</v>
      </c>
      <c r="I148" s="74">
        <f t="shared" si="105"/>
        <v>0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1:31" x14ac:dyDescent="0.2">
      <c r="A149" s="12">
        <f t="shared" si="106"/>
        <v>100</v>
      </c>
      <c r="B149" s="12">
        <v>891</v>
      </c>
      <c r="F149" s="11" t="s">
        <v>257</v>
      </c>
      <c r="G149" s="15">
        <v>44843.69</v>
      </c>
      <c r="H149" s="158">
        <f t="shared" si="104"/>
        <v>1422</v>
      </c>
      <c r="I149" s="74">
        <f t="shared" si="105"/>
        <v>46265.69</v>
      </c>
      <c r="K149" s="15"/>
      <c r="L149" s="15"/>
      <c r="M149" s="15"/>
      <c r="N149" s="15"/>
      <c r="O149" s="15"/>
      <c r="P149" s="15"/>
      <c r="Q149" s="15">
        <v>1422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1:31" x14ac:dyDescent="0.2">
      <c r="A150" s="12">
        <f t="shared" si="106"/>
        <v>101</v>
      </c>
      <c r="B150" s="12">
        <v>892</v>
      </c>
      <c r="F150" s="11" t="s">
        <v>16</v>
      </c>
      <c r="G150" s="15">
        <v>588508.43999999994</v>
      </c>
      <c r="H150" s="158">
        <f t="shared" si="104"/>
        <v>12642</v>
      </c>
      <c r="I150" s="74">
        <f t="shared" si="105"/>
        <v>601150.43999999994</v>
      </c>
      <c r="K150" s="15"/>
      <c r="L150" s="15"/>
      <c r="M150" s="15"/>
      <c r="N150" s="15"/>
      <c r="O150" s="15"/>
      <c r="P150" s="15"/>
      <c r="Q150" s="15">
        <v>12642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:31" x14ac:dyDescent="0.2">
      <c r="A151" s="12">
        <f t="shared" si="106"/>
        <v>102</v>
      </c>
      <c r="B151" s="12">
        <v>893</v>
      </c>
      <c r="F151" s="11" t="s">
        <v>258</v>
      </c>
      <c r="G151" s="15">
        <v>154329.51</v>
      </c>
      <c r="H151" s="158">
        <f t="shared" si="104"/>
        <v>4897</v>
      </c>
      <c r="I151" s="74">
        <f t="shared" si="105"/>
        <v>159226.51</v>
      </c>
      <c r="K151" s="15"/>
      <c r="L151" s="15"/>
      <c r="M151" s="15"/>
      <c r="N151" s="15"/>
      <c r="O151" s="15"/>
      <c r="P151" s="15"/>
      <c r="Q151" s="15">
        <v>4897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1:31" x14ac:dyDescent="0.2">
      <c r="A152" s="111">
        <f t="shared" si="106"/>
        <v>103</v>
      </c>
      <c r="B152" s="111">
        <v>894</v>
      </c>
      <c r="C152" s="24"/>
      <c r="D152" s="24"/>
      <c r="E152" s="24"/>
      <c r="F152" s="24" t="s">
        <v>181</v>
      </c>
      <c r="G152" s="109">
        <v>0</v>
      </c>
      <c r="H152" s="161">
        <f t="shared" si="104"/>
        <v>0</v>
      </c>
      <c r="I152" s="89">
        <f t="shared" si="105"/>
        <v>0</v>
      </c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</row>
    <row r="153" spans="1:31" x14ac:dyDescent="0.2">
      <c r="A153" s="12">
        <f t="shared" si="106"/>
        <v>104</v>
      </c>
      <c r="B153" s="12"/>
      <c r="C153" s="11" t="s">
        <v>260</v>
      </c>
      <c r="G153" s="74">
        <f>SUM(G133:G152)</f>
        <v>6655166.7999999989</v>
      </c>
      <c r="H153" s="74">
        <f>SUM(H133:H152)</f>
        <v>141642.38</v>
      </c>
      <c r="I153" s="74">
        <f>SUM(I133:I152)</f>
        <v>6796809.1799999997</v>
      </c>
      <c r="K153" s="74">
        <f>SUM(K133:K152)</f>
        <v>0</v>
      </c>
      <c r="L153" s="74">
        <f t="shared" ref="L153:O153" si="107">SUM(L133:L152)</f>
        <v>0</v>
      </c>
      <c r="M153" s="74">
        <f t="shared" si="107"/>
        <v>0</v>
      </c>
      <c r="N153" s="74">
        <f>SUM(N133:N152)</f>
        <v>0</v>
      </c>
      <c r="O153" s="74">
        <f t="shared" si="107"/>
        <v>0</v>
      </c>
      <c r="P153" s="74">
        <f t="shared" ref="P153" si="108">SUM(P133:P152)</f>
        <v>0</v>
      </c>
      <c r="Q153" s="74">
        <f t="shared" ref="Q153:AD153" si="109">SUM(Q133:Q152)</f>
        <v>181278</v>
      </c>
      <c r="R153" s="74">
        <f t="shared" si="109"/>
        <v>0</v>
      </c>
      <c r="S153" s="74">
        <f t="shared" si="109"/>
        <v>0</v>
      </c>
      <c r="T153" s="74">
        <f t="shared" si="109"/>
        <v>0</v>
      </c>
      <c r="U153" s="74">
        <f t="shared" si="109"/>
        <v>0</v>
      </c>
      <c r="V153" s="74">
        <f t="shared" si="109"/>
        <v>0</v>
      </c>
      <c r="W153" s="74">
        <f>SUM(W133:W152)</f>
        <v>0</v>
      </c>
      <c r="X153" s="74">
        <f t="shared" si="109"/>
        <v>0</v>
      </c>
      <c r="Y153" s="74">
        <f t="shared" si="109"/>
        <v>0</v>
      </c>
      <c r="Z153" s="74">
        <f t="shared" si="109"/>
        <v>0</v>
      </c>
      <c r="AA153" s="74">
        <f t="shared" si="109"/>
        <v>0</v>
      </c>
      <c r="AB153" s="74">
        <f t="shared" si="109"/>
        <v>0</v>
      </c>
      <c r="AC153" s="74">
        <f t="shared" ref="AC153" si="110">SUM(AC133:AC152)</f>
        <v>0</v>
      </c>
      <c r="AD153" s="74">
        <f t="shared" si="109"/>
        <v>-39635.620000000003</v>
      </c>
      <c r="AE153" s="74">
        <f t="shared" ref="AE153" si="111">SUM(AE133:AE152)</f>
        <v>0</v>
      </c>
    </row>
    <row r="154" spans="1:31" x14ac:dyDescent="0.2">
      <c r="A154" s="12"/>
      <c r="B154" s="12"/>
      <c r="G154" s="158"/>
    </row>
    <row r="155" spans="1:31" x14ac:dyDescent="0.2">
      <c r="A155" s="12"/>
      <c r="B155" s="12"/>
      <c r="C155" s="11" t="s">
        <v>261</v>
      </c>
      <c r="G155" s="158"/>
      <c r="I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</row>
    <row r="156" spans="1:31" x14ac:dyDescent="0.2">
      <c r="A156" s="12">
        <f>+A153+1</f>
        <v>105</v>
      </c>
      <c r="B156" s="12">
        <v>901</v>
      </c>
      <c r="F156" s="11" t="s">
        <v>262</v>
      </c>
      <c r="G156" s="15">
        <v>122935.45</v>
      </c>
      <c r="H156" s="158">
        <f t="shared" ref="H156:H161" si="112">SUM(K156:AD156)</f>
        <v>4614</v>
      </c>
      <c r="I156" s="74">
        <f t="shared" ref="I156:I161" si="113">G156+H156</f>
        <v>127549.45</v>
      </c>
      <c r="K156" s="15"/>
      <c r="L156" s="15"/>
      <c r="M156" s="15"/>
      <c r="N156" s="15"/>
      <c r="O156" s="15"/>
      <c r="P156" s="15"/>
      <c r="Q156" s="15">
        <v>4614</v>
      </c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1:31" x14ac:dyDescent="0.2">
      <c r="A157" s="12">
        <f>+A156+1</f>
        <v>106</v>
      </c>
      <c r="B157" s="12">
        <v>902</v>
      </c>
      <c r="F157" s="11" t="s">
        <v>124</v>
      </c>
      <c r="G157" s="15">
        <v>295109.68</v>
      </c>
      <c r="H157" s="158">
        <f t="shared" si="112"/>
        <v>9215</v>
      </c>
      <c r="I157" s="74">
        <f t="shared" si="113"/>
        <v>304324.68</v>
      </c>
      <c r="K157" s="15"/>
      <c r="L157" s="15"/>
      <c r="M157" s="15"/>
      <c r="N157" s="15"/>
      <c r="O157" s="15"/>
      <c r="P157" s="15"/>
      <c r="Q157" s="15">
        <v>9215</v>
      </c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1:31" x14ac:dyDescent="0.2">
      <c r="A158" s="12">
        <f t="shared" ref="A158:A162" si="114">+A157+1</f>
        <v>107</v>
      </c>
      <c r="B158" s="12">
        <v>903</v>
      </c>
      <c r="F158" s="11" t="s">
        <v>263</v>
      </c>
      <c r="G158" s="15">
        <v>2003687.5</v>
      </c>
      <c r="H158" s="158">
        <f t="shared" si="112"/>
        <v>60351</v>
      </c>
      <c r="I158" s="74">
        <f t="shared" si="113"/>
        <v>2064038.5</v>
      </c>
      <c r="K158" s="15"/>
      <c r="L158" s="15"/>
      <c r="M158" s="15"/>
      <c r="N158" s="15"/>
      <c r="O158" s="15"/>
      <c r="P158" s="15"/>
      <c r="Q158" s="15">
        <v>60351</v>
      </c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1:31" x14ac:dyDescent="0.2">
      <c r="A159" s="12">
        <f t="shared" si="114"/>
        <v>108</v>
      </c>
      <c r="B159" s="12">
        <v>904</v>
      </c>
      <c r="F159" s="11" t="s">
        <v>264</v>
      </c>
      <c r="G159" s="15">
        <v>441276.72</v>
      </c>
      <c r="H159" s="158">
        <f t="shared" si="112"/>
        <v>0</v>
      </c>
      <c r="I159" s="74">
        <f t="shared" si="113"/>
        <v>441276.72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1:31" x14ac:dyDescent="0.2">
      <c r="A160" s="12">
        <f t="shared" si="114"/>
        <v>109</v>
      </c>
      <c r="B160" s="12">
        <v>905</v>
      </c>
      <c r="F160" s="11" t="s">
        <v>265</v>
      </c>
      <c r="G160" s="15">
        <v>29723.5</v>
      </c>
      <c r="H160" s="158">
        <f t="shared" si="112"/>
        <v>236</v>
      </c>
      <c r="I160" s="74">
        <f t="shared" si="113"/>
        <v>29959.5</v>
      </c>
      <c r="K160" s="15"/>
      <c r="L160" s="15"/>
      <c r="M160" s="15"/>
      <c r="N160" s="15"/>
      <c r="O160" s="15"/>
      <c r="P160" s="15"/>
      <c r="Q160" s="15">
        <v>236</v>
      </c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1:31" x14ac:dyDescent="0.2">
      <c r="A161" s="111">
        <f t="shared" si="114"/>
        <v>110</v>
      </c>
      <c r="B161" s="60" t="s">
        <v>266</v>
      </c>
      <c r="C161" s="24"/>
      <c r="D161" s="24"/>
      <c r="E161" s="24"/>
      <c r="F161" s="24" t="s">
        <v>267</v>
      </c>
      <c r="G161" s="109">
        <v>0</v>
      </c>
      <c r="H161" s="161">
        <f t="shared" si="112"/>
        <v>164108.1</v>
      </c>
      <c r="I161" s="89">
        <f t="shared" si="113"/>
        <v>164108.1</v>
      </c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>
        <v>164108.1</v>
      </c>
      <c r="AE161" s="109"/>
    </row>
    <row r="162" spans="1:31" x14ac:dyDescent="0.2">
      <c r="A162" s="12">
        <f t="shared" si="114"/>
        <v>111</v>
      </c>
      <c r="B162" s="12"/>
      <c r="C162" s="11" t="s">
        <v>268</v>
      </c>
      <c r="G162" s="74">
        <f>SUM(G156:G161)</f>
        <v>2892732.8499999996</v>
      </c>
      <c r="H162" s="74">
        <f>SUM(H156:H161)</f>
        <v>238524.1</v>
      </c>
      <c r="I162" s="74">
        <f>SUM(I156:I161)</f>
        <v>3131256.9499999997</v>
      </c>
      <c r="K162" s="74">
        <f t="shared" ref="K162:AD162" si="115">SUM(K156:K161)</f>
        <v>0</v>
      </c>
      <c r="L162" s="74">
        <f t="shared" si="115"/>
        <v>0</v>
      </c>
      <c r="M162" s="74">
        <f t="shared" si="115"/>
        <v>0</v>
      </c>
      <c r="N162" s="74">
        <f>SUM(N156:N161)</f>
        <v>0</v>
      </c>
      <c r="O162" s="74">
        <f t="shared" si="115"/>
        <v>0</v>
      </c>
      <c r="P162" s="74">
        <f t="shared" si="115"/>
        <v>0</v>
      </c>
      <c r="Q162" s="74">
        <f t="shared" si="115"/>
        <v>74416</v>
      </c>
      <c r="R162" s="74">
        <f t="shared" si="115"/>
        <v>0</v>
      </c>
      <c r="S162" s="74">
        <f t="shared" si="115"/>
        <v>0</v>
      </c>
      <c r="T162" s="74">
        <f t="shared" si="115"/>
        <v>0</v>
      </c>
      <c r="U162" s="74">
        <f t="shared" si="115"/>
        <v>0</v>
      </c>
      <c r="V162" s="74">
        <f t="shared" si="115"/>
        <v>0</v>
      </c>
      <c r="W162" s="74">
        <f t="shared" si="115"/>
        <v>0</v>
      </c>
      <c r="X162" s="74">
        <f t="shared" si="115"/>
        <v>0</v>
      </c>
      <c r="Y162" s="74">
        <f t="shared" si="115"/>
        <v>0</v>
      </c>
      <c r="Z162" s="74">
        <f t="shared" si="115"/>
        <v>0</v>
      </c>
      <c r="AA162" s="74">
        <f t="shared" si="115"/>
        <v>0</v>
      </c>
      <c r="AB162" s="74">
        <f t="shared" si="115"/>
        <v>0</v>
      </c>
      <c r="AC162" s="74">
        <f t="shared" si="115"/>
        <v>0</v>
      </c>
      <c r="AD162" s="74">
        <f t="shared" si="115"/>
        <v>164108.1</v>
      </c>
      <c r="AE162" s="74">
        <f t="shared" ref="AE162" si="116">SUM(AE156:AE161)</f>
        <v>0</v>
      </c>
    </row>
    <row r="163" spans="1:31" x14ac:dyDescent="0.2">
      <c r="A163" s="12"/>
      <c r="B163" s="12"/>
      <c r="G163" s="158"/>
    </row>
    <row r="164" spans="1:31" x14ac:dyDescent="0.2">
      <c r="A164" s="12"/>
      <c r="B164" s="12"/>
      <c r="C164" s="11" t="s">
        <v>269</v>
      </c>
      <c r="G164" s="158"/>
    </row>
    <row r="165" spans="1:31" x14ac:dyDescent="0.2">
      <c r="A165" s="12">
        <f>+A162+1</f>
        <v>112</v>
      </c>
      <c r="B165" s="12">
        <v>908</v>
      </c>
      <c r="F165" s="11" t="s">
        <v>270</v>
      </c>
      <c r="G165" s="15">
        <v>1483.63</v>
      </c>
      <c r="H165" s="158">
        <f>SUM(K165:AD165)</f>
        <v>0</v>
      </c>
      <c r="I165" s="74">
        <f>G165+H165</f>
        <v>1483.63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1:31" x14ac:dyDescent="0.2">
      <c r="A166" s="12">
        <f>+A165+1</f>
        <v>113</v>
      </c>
      <c r="B166" s="12">
        <v>909</v>
      </c>
      <c r="F166" s="11" t="s">
        <v>271</v>
      </c>
      <c r="G166" s="15">
        <v>18370.8</v>
      </c>
      <c r="H166" s="158">
        <f>SUM(K166:AD166)</f>
        <v>952514</v>
      </c>
      <c r="I166" s="74">
        <f>G166+H166</f>
        <v>970884.8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>
        <v>952514</v>
      </c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1:31" x14ac:dyDescent="0.2">
      <c r="A167" s="111">
        <f t="shared" ref="A167:A168" si="117">+A166+1</f>
        <v>114</v>
      </c>
      <c r="B167" s="111">
        <v>910</v>
      </c>
      <c r="C167" s="24"/>
      <c r="D167" s="24"/>
      <c r="E167" s="24"/>
      <c r="F167" s="24" t="s">
        <v>265</v>
      </c>
      <c r="G167" s="109">
        <v>7351.59</v>
      </c>
      <c r="H167" s="161">
        <f>SUM(K167:AD167)</f>
        <v>0</v>
      </c>
      <c r="I167" s="89">
        <f>G167+H167</f>
        <v>7351.59</v>
      </c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</row>
    <row r="168" spans="1:31" x14ac:dyDescent="0.2">
      <c r="A168" s="12">
        <f t="shared" si="117"/>
        <v>115</v>
      </c>
      <c r="B168" s="12"/>
      <c r="C168" s="11" t="s">
        <v>272</v>
      </c>
      <c r="G168" s="74">
        <f>SUM(G165:G167)</f>
        <v>27206.02</v>
      </c>
      <c r="H168" s="74">
        <f>SUM(H165:H167)</f>
        <v>952514</v>
      </c>
      <c r="I168" s="74">
        <f>SUM(I165:I167)</f>
        <v>979720.02</v>
      </c>
      <c r="K168" s="74">
        <f>SUM(K165:K167)</f>
        <v>0</v>
      </c>
      <c r="L168" s="74">
        <f t="shared" ref="L168:O168" si="118">SUM(L165:L167)</f>
        <v>0</v>
      </c>
      <c r="M168" s="74">
        <f t="shared" si="118"/>
        <v>0</v>
      </c>
      <c r="N168" s="74">
        <f>SUM(N165:N167)</f>
        <v>0</v>
      </c>
      <c r="O168" s="74">
        <f t="shared" si="118"/>
        <v>0</v>
      </c>
      <c r="P168" s="74">
        <f t="shared" ref="P168" si="119">SUM(P165:P167)</f>
        <v>0</v>
      </c>
      <c r="Q168" s="74">
        <f t="shared" ref="Q168:AD168" si="120">SUM(Q165:Q167)</f>
        <v>0</v>
      </c>
      <c r="R168" s="74">
        <f t="shared" si="120"/>
        <v>0</v>
      </c>
      <c r="S168" s="74">
        <f t="shared" si="120"/>
        <v>0</v>
      </c>
      <c r="T168" s="74">
        <f t="shared" si="120"/>
        <v>0</v>
      </c>
      <c r="U168" s="74">
        <f t="shared" si="120"/>
        <v>0</v>
      </c>
      <c r="V168" s="74">
        <f t="shared" si="120"/>
        <v>952514</v>
      </c>
      <c r="W168" s="74">
        <f>SUM(W165:W167)</f>
        <v>0</v>
      </c>
      <c r="X168" s="74">
        <f t="shared" si="120"/>
        <v>0</v>
      </c>
      <c r="Y168" s="74">
        <f t="shared" si="120"/>
        <v>0</v>
      </c>
      <c r="Z168" s="74">
        <f t="shared" si="120"/>
        <v>0</v>
      </c>
      <c r="AA168" s="74">
        <f t="shared" si="120"/>
        <v>0</v>
      </c>
      <c r="AB168" s="74">
        <f t="shared" si="120"/>
        <v>0</v>
      </c>
      <c r="AC168" s="74">
        <f t="shared" ref="AC168" si="121">SUM(AC165:AC167)</f>
        <v>0</v>
      </c>
      <c r="AD168" s="74">
        <f t="shared" si="120"/>
        <v>0</v>
      </c>
      <c r="AE168" s="74">
        <f t="shared" ref="AE168" si="122">SUM(AE165:AE167)</f>
        <v>0</v>
      </c>
    </row>
    <row r="169" spans="1:31" x14ac:dyDescent="0.2">
      <c r="A169" s="12"/>
      <c r="B169" s="12"/>
      <c r="G169" s="158"/>
      <c r="I169" s="158"/>
    </row>
    <row r="170" spans="1:31" x14ac:dyDescent="0.2">
      <c r="A170" s="12"/>
      <c r="B170" s="12"/>
      <c r="C170" s="11" t="s">
        <v>273</v>
      </c>
      <c r="G170" s="158"/>
    </row>
    <row r="171" spans="1:31" x14ac:dyDescent="0.2">
      <c r="A171" s="12">
        <f>+A168+1</f>
        <v>116</v>
      </c>
      <c r="B171" s="12">
        <v>912</v>
      </c>
      <c r="F171" s="11" t="s">
        <v>274</v>
      </c>
      <c r="G171" s="15">
        <v>181251.02</v>
      </c>
      <c r="H171" s="158">
        <f>SUM(K171:AD171)</f>
        <v>-76407</v>
      </c>
      <c r="I171" s="74">
        <f>G171+H171</f>
        <v>104844.01999999999</v>
      </c>
      <c r="K171" s="15"/>
      <c r="L171" s="15"/>
      <c r="M171" s="15"/>
      <c r="N171" s="15"/>
      <c r="O171" s="15"/>
      <c r="P171" s="15"/>
      <c r="Q171" s="15">
        <v>3091</v>
      </c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>
        <v>-79498</v>
      </c>
      <c r="AC171" s="15"/>
      <c r="AD171" s="15"/>
      <c r="AE171" s="15"/>
    </row>
    <row r="172" spans="1:31" x14ac:dyDescent="0.2">
      <c r="A172" s="111">
        <f>+A171+1</f>
        <v>117</v>
      </c>
      <c r="B172" s="111">
        <v>916</v>
      </c>
      <c r="C172" s="24"/>
      <c r="D172" s="24"/>
      <c r="E172" s="24"/>
      <c r="F172" s="24" t="s">
        <v>265</v>
      </c>
      <c r="G172" s="109">
        <v>50166.95</v>
      </c>
      <c r="H172" s="161">
        <f>SUM(K172:AD172)</f>
        <v>259</v>
      </c>
      <c r="I172" s="89">
        <f>G172+H172</f>
        <v>50425.95</v>
      </c>
      <c r="K172" s="109"/>
      <c r="L172" s="109"/>
      <c r="M172" s="109"/>
      <c r="N172" s="109"/>
      <c r="O172" s="109"/>
      <c r="P172" s="109"/>
      <c r="Q172" s="109">
        <v>259</v>
      </c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</row>
    <row r="173" spans="1:31" x14ac:dyDescent="0.2">
      <c r="A173" s="12">
        <f>+A172+1</f>
        <v>118</v>
      </c>
      <c r="B173" s="12"/>
      <c r="C173" s="11" t="s">
        <v>275</v>
      </c>
      <c r="G173" s="74">
        <f>SUM(G171:G172)</f>
        <v>231417.96999999997</v>
      </c>
      <c r="H173" s="74">
        <f>SUM(H171:H172)</f>
        <v>-76148</v>
      </c>
      <c r="I173" s="74">
        <f>SUM(I171:I172)</f>
        <v>155269.96999999997</v>
      </c>
      <c r="K173" s="74">
        <f>SUM(K171:K172)</f>
        <v>0</v>
      </c>
      <c r="L173" s="74">
        <f t="shared" ref="L173:O173" si="123">SUM(L171:L172)</f>
        <v>0</v>
      </c>
      <c r="M173" s="74">
        <f t="shared" si="123"/>
        <v>0</v>
      </c>
      <c r="N173" s="74">
        <f>SUM(N171:N172)</f>
        <v>0</v>
      </c>
      <c r="O173" s="74">
        <f t="shared" si="123"/>
        <v>0</v>
      </c>
      <c r="P173" s="74">
        <f t="shared" ref="P173" si="124">SUM(P171:P172)</f>
        <v>0</v>
      </c>
      <c r="Q173" s="74">
        <f t="shared" ref="Q173:AD173" si="125">SUM(Q171:Q172)</f>
        <v>3350</v>
      </c>
      <c r="R173" s="74">
        <f t="shared" si="125"/>
        <v>0</v>
      </c>
      <c r="S173" s="74">
        <f t="shared" si="125"/>
        <v>0</v>
      </c>
      <c r="T173" s="74">
        <f t="shared" si="125"/>
        <v>0</v>
      </c>
      <c r="U173" s="74">
        <f t="shared" si="125"/>
        <v>0</v>
      </c>
      <c r="V173" s="74">
        <f t="shared" si="125"/>
        <v>0</v>
      </c>
      <c r="W173" s="74">
        <f>SUM(W171:W172)</f>
        <v>0</v>
      </c>
      <c r="X173" s="74">
        <f t="shared" si="125"/>
        <v>0</v>
      </c>
      <c r="Y173" s="74">
        <f t="shared" si="125"/>
        <v>0</v>
      </c>
      <c r="Z173" s="74">
        <f t="shared" si="125"/>
        <v>0</v>
      </c>
      <c r="AA173" s="74">
        <f t="shared" si="125"/>
        <v>0</v>
      </c>
      <c r="AB173" s="74">
        <f t="shared" si="125"/>
        <v>-79498</v>
      </c>
      <c r="AC173" s="74">
        <f t="shared" ref="AC173" si="126">SUM(AC171:AC172)</f>
        <v>0</v>
      </c>
      <c r="AD173" s="74">
        <f t="shared" si="125"/>
        <v>0</v>
      </c>
      <c r="AE173" s="74">
        <f t="shared" ref="AE173" si="127">SUM(AE171:AE172)</f>
        <v>0</v>
      </c>
    </row>
    <row r="174" spans="1:31" x14ac:dyDescent="0.2">
      <c r="A174" s="12"/>
      <c r="B174" s="12"/>
      <c r="G174" s="158"/>
    </row>
    <row r="175" spans="1:31" x14ac:dyDescent="0.2">
      <c r="A175" s="12"/>
      <c r="B175" s="12"/>
      <c r="C175" s="11" t="s">
        <v>276</v>
      </c>
      <c r="G175" s="158"/>
    </row>
    <row r="176" spans="1:31" x14ac:dyDescent="0.2">
      <c r="A176" s="12"/>
      <c r="B176" s="12"/>
      <c r="E176" s="11" t="s">
        <v>228</v>
      </c>
      <c r="G176" s="158"/>
    </row>
    <row r="177" spans="1:31" x14ac:dyDescent="0.2">
      <c r="A177" s="12">
        <f>+A173+1</f>
        <v>119</v>
      </c>
      <c r="B177" s="12">
        <v>920</v>
      </c>
      <c r="F177" s="11" t="s">
        <v>277</v>
      </c>
      <c r="G177" s="15">
        <v>673692.03</v>
      </c>
      <c r="H177" s="158">
        <f t="shared" ref="H177:H187" si="128">SUM(K177:AD177)</f>
        <v>26176</v>
      </c>
      <c r="I177" s="74">
        <f t="shared" ref="I177:I187" si="129">G177+H177</f>
        <v>699868.03</v>
      </c>
      <c r="K177" s="15"/>
      <c r="L177" s="15"/>
      <c r="M177" s="15"/>
      <c r="N177" s="15"/>
      <c r="O177" s="15"/>
      <c r="P177" s="15"/>
      <c r="Q177" s="15">
        <v>26176</v>
      </c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</row>
    <row r="178" spans="1:31" x14ac:dyDescent="0.2">
      <c r="A178" s="12">
        <f>+A177+1</f>
        <v>120</v>
      </c>
      <c r="B178" s="12">
        <v>921</v>
      </c>
      <c r="F178" s="11" t="s">
        <v>278</v>
      </c>
      <c r="G178" s="15">
        <v>304191.95</v>
      </c>
      <c r="H178" s="158">
        <f t="shared" si="128"/>
        <v>0</v>
      </c>
      <c r="I178" s="74">
        <f t="shared" si="129"/>
        <v>304191.95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</row>
    <row r="179" spans="1:31" x14ac:dyDescent="0.2">
      <c r="A179" s="12">
        <f t="shared" ref="A179:A187" si="130">+A178+1</f>
        <v>121</v>
      </c>
      <c r="B179" s="12">
        <v>922</v>
      </c>
      <c r="F179" s="11" t="s">
        <v>279</v>
      </c>
      <c r="G179" s="15">
        <v>-125722.95</v>
      </c>
      <c r="H179" s="158">
        <f t="shared" si="128"/>
        <v>-4213</v>
      </c>
      <c r="I179" s="74">
        <f t="shared" si="129"/>
        <v>-129935.95</v>
      </c>
      <c r="K179" s="15"/>
      <c r="L179" s="15"/>
      <c r="M179" s="15"/>
      <c r="N179" s="15"/>
      <c r="O179" s="15"/>
      <c r="P179" s="15"/>
      <c r="Q179" s="15">
        <v>-4213</v>
      </c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</row>
    <row r="180" spans="1:31" x14ac:dyDescent="0.2">
      <c r="A180" s="12">
        <f t="shared" si="130"/>
        <v>122</v>
      </c>
      <c r="B180" s="12">
        <v>923</v>
      </c>
      <c r="F180" s="11" t="s">
        <v>280</v>
      </c>
      <c r="G180" s="15">
        <v>176942.44</v>
      </c>
      <c r="H180" s="158">
        <f t="shared" si="128"/>
        <v>0</v>
      </c>
      <c r="I180" s="74">
        <f t="shared" si="129"/>
        <v>176942.44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</row>
    <row r="181" spans="1:31" x14ac:dyDescent="0.2">
      <c r="A181" s="12">
        <f t="shared" si="130"/>
        <v>123</v>
      </c>
      <c r="B181" s="12">
        <v>924</v>
      </c>
      <c r="F181" s="11" t="s">
        <v>281</v>
      </c>
      <c r="G181" s="15">
        <v>12947.46</v>
      </c>
      <c r="H181" s="158">
        <f t="shared" si="128"/>
        <v>369</v>
      </c>
      <c r="I181" s="74">
        <f t="shared" si="129"/>
        <v>13316.46</v>
      </c>
      <c r="K181" s="15"/>
      <c r="L181" s="15"/>
      <c r="M181" s="15"/>
      <c r="N181" s="15"/>
      <c r="O181" s="15"/>
      <c r="P181" s="15"/>
      <c r="Q181" s="15">
        <v>369</v>
      </c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</row>
    <row r="182" spans="1:31" x14ac:dyDescent="0.2">
      <c r="A182" s="12">
        <f t="shared" si="130"/>
        <v>124</v>
      </c>
      <c r="B182" s="12">
        <v>925</v>
      </c>
      <c r="F182" s="11" t="s">
        <v>282</v>
      </c>
      <c r="G182" s="15">
        <v>169944.76</v>
      </c>
      <c r="H182" s="158">
        <f t="shared" si="128"/>
        <v>552</v>
      </c>
      <c r="I182" s="74">
        <f t="shared" si="129"/>
        <v>170496.76</v>
      </c>
      <c r="K182" s="15"/>
      <c r="L182" s="15"/>
      <c r="M182" s="15"/>
      <c r="N182" s="15"/>
      <c r="O182" s="15"/>
      <c r="P182" s="15"/>
      <c r="Q182" s="15">
        <v>552</v>
      </c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1:31" x14ac:dyDescent="0.2">
      <c r="A183" s="12">
        <f t="shared" si="130"/>
        <v>125</v>
      </c>
      <c r="B183" s="12">
        <v>926</v>
      </c>
      <c r="F183" s="11" t="s">
        <v>283</v>
      </c>
      <c r="G183" s="15">
        <v>778854.95</v>
      </c>
      <c r="H183" s="158">
        <f t="shared" si="128"/>
        <v>-50162</v>
      </c>
      <c r="I183" s="74">
        <f t="shared" si="129"/>
        <v>728692.95</v>
      </c>
      <c r="K183" s="15"/>
      <c r="L183" s="15"/>
      <c r="M183" s="15"/>
      <c r="N183" s="15"/>
      <c r="O183" s="15"/>
      <c r="P183" s="15"/>
      <c r="Q183" s="15">
        <v>-14689</v>
      </c>
      <c r="R183" s="15"/>
      <c r="S183" s="15">
        <v>143956</v>
      </c>
      <c r="T183" s="15"/>
      <c r="U183" s="15"/>
      <c r="V183" s="15"/>
      <c r="W183" s="15"/>
      <c r="X183" s="15"/>
      <c r="Y183" s="15">
        <v>-179429</v>
      </c>
      <c r="Z183" s="15"/>
      <c r="AA183" s="15"/>
      <c r="AB183" s="15"/>
      <c r="AC183" s="15"/>
      <c r="AD183" s="15"/>
      <c r="AE183" s="15"/>
    </row>
    <row r="184" spans="1:31" x14ac:dyDescent="0.2">
      <c r="A184" s="12">
        <f t="shared" si="130"/>
        <v>126</v>
      </c>
      <c r="B184" s="12">
        <v>928</v>
      </c>
      <c r="F184" s="11" t="s">
        <v>284</v>
      </c>
      <c r="G184" s="15">
        <v>161730.31</v>
      </c>
      <c r="H184" s="158">
        <f t="shared" si="128"/>
        <v>65851</v>
      </c>
      <c r="I184" s="74">
        <f t="shared" si="129"/>
        <v>227581.31</v>
      </c>
      <c r="K184" s="15"/>
      <c r="L184" s="15"/>
      <c r="M184" s="15"/>
      <c r="N184" s="15"/>
      <c r="O184" s="15"/>
      <c r="P184" s="15"/>
      <c r="Q184" s="15">
        <v>51</v>
      </c>
      <c r="R184" s="15"/>
      <c r="S184" s="15"/>
      <c r="T184" s="15"/>
      <c r="U184" s="15"/>
      <c r="V184" s="15"/>
      <c r="W184" s="15">
        <v>65800</v>
      </c>
      <c r="X184" s="15"/>
      <c r="Y184" s="15"/>
      <c r="Z184" s="15"/>
      <c r="AA184" s="15"/>
      <c r="AB184" s="15"/>
      <c r="AC184" s="15"/>
      <c r="AD184" s="15"/>
      <c r="AE184" s="15"/>
    </row>
    <row r="185" spans="1:31" x14ac:dyDescent="0.2">
      <c r="A185" s="12">
        <f t="shared" si="130"/>
        <v>127</v>
      </c>
      <c r="B185" s="12">
        <v>929</v>
      </c>
      <c r="F185" s="11" t="s">
        <v>285</v>
      </c>
      <c r="G185" s="15">
        <v>-29219.56</v>
      </c>
      <c r="H185" s="158">
        <f t="shared" si="128"/>
        <v>22916</v>
      </c>
      <c r="I185" s="74">
        <f t="shared" si="129"/>
        <v>-6303.5600000000013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>
        <v>22916</v>
      </c>
      <c r="AB185" s="15"/>
      <c r="AC185" s="15"/>
      <c r="AD185" s="15"/>
      <c r="AE185" s="15"/>
    </row>
    <row r="186" spans="1:31" x14ac:dyDescent="0.2">
      <c r="A186" s="12">
        <f t="shared" si="130"/>
        <v>128</v>
      </c>
      <c r="B186" s="12">
        <v>930</v>
      </c>
      <c r="F186" s="11" t="s">
        <v>286</v>
      </c>
      <c r="G186" s="15">
        <v>82949.33</v>
      </c>
      <c r="H186" s="158">
        <f t="shared" si="128"/>
        <v>324</v>
      </c>
      <c r="I186" s="74">
        <f t="shared" si="129"/>
        <v>83273.33</v>
      </c>
      <c r="K186" s="15"/>
      <c r="L186" s="15"/>
      <c r="M186" s="15"/>
      <c r="N186" s="15"/>
      <c r="O186" s="15"/>
      <c r="P186" s="15"/>
      <c r="Q186" s="15">
        <v>324</v>
      </c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</row>
    <row r="187" spans="1:31" x14ac:dyDescent="0.2">
      <c r="A187" s="12">
        <f t="shared" si="130"/>
        <v>129</v>
      </c>
      <c r="B187" s="12">
        <v>931</v>
      </c>
      <c r="F187" s="11" t="s">
        <v>247</v>
      </c>
      <c r="G187" s="15">
        <v>-308065.55</v>
      </c>
      <c r="H187" s="158">
        <f t="shared" si="128"/>
        <v>0</v>
      </c>
      <c r="I187" s="74">
        <f t="shared" si="129"/>
        <v>-308065.55</v>
      </c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</row>
    <row r="188" spans="1:31" x14ac:dyDescent="0.2">
      <c r="A188" s="12"/>
      <c r="B188" s="12"/>
      <c r="E188" s="11" t="s">
        <v>235</v>
      </c>
      <c r="G188" s="18"/>
      <c r="H188" s="158"/>
      <c r="I188" s="74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</row>
    <row r="189" spans="1:31" x14ac:dyDescent="0.2">
      <c r="A189" s="111">
        <f>+A187+1</f>
        <v>130</v>
      </c>
      <c r="B189" s="111">
        <v>935</v>
      </c>
      <c r="C189" s="24"/>
      <c r="D189" s="24"/>
      <c r="E189" s="24"/>
      <c r="F189" s="24" t="s">
        <v>287</v>
      </c>
      <c r="G189" s="109">
        <v>173.15</v>
      </c>
      <c r="H189" s="161">
        <f>SUM(K189:AD189)</f>
        <v>0</v>
      </c>
      <c r="I189" s="89">
        <f>G189+H189</f>
        <v>173.15</v>
      </c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</row>
    <row r="190" spans="1:31" x14ac:dyDescent="0.2">
      <c r="A190" s="12">
        <f>+A189+1</f>
        <v>131</v>
      </c>
      <c r="B190" s="12"/>
      <c r="C190" s="11" t="s">
        <v>288</v>
      </c>
      <c r="G190" s="158">
        <f>SUM(G177:G189)</f>
        <v>1898418.3199999996</v>
      </c>
      <c r="H190" s="158">
        <f>SUM(H177:H189)</f>
        <v>61813</v>
      </c>
      <c r="I190" s="158">
        <f>SUM(I177:I189)</f>
        <v>1960231.3199999996</v>
      </c>
      <c r="K190" s="158">
        <f>SUM(K177:K189)</f>
        <v>0</v>
      </c>
      <c r="L190" s="158">
        <f t="shared" ref="L190:M190" si="131">SUM(L177:L189)</f>
        <v>0</v>
      </c>
      <c r="M190" s="158">
        <f t="shared" si="131"/>
        <v>0</v>
      </c>
      <c r="N190" s="158">
        <f>SUM(N177:N189)</f>
        <v>0</v>
      </c>
      <c r="O190" s="158">
        <f t="shared" ref="O190" si="132">SUM(O177:O189)</f>
        <v>0</v>
      </c>
      <c r="P190" s="158">
        <f t="shared" ref="P190" si="133">SUM(P177:P189)</f>
        <v>0</v>
      </c>
      <c r="Q190" s="158">
        <f t="shared" ref="Q190:AD190" si="134">SUM(Q177:Q189)</f>
        <v>8570</v>
      </c>
      <c r="R190" s="158">
        <f t="shared" si="134"/>
        <v>0</v>
      </c>
      <c r="S190" s="158">
        <f t="shared" si="134"/>
        <v>143956</v>
      </c>
      <c r="T190" s="158">
        <f t="shared" si="134"/>
        <v>0</v>
      </c>
      <c r="U190" s="158">
        <f t="shared" si="134"/>
        <v>0</v>
      </c>
      <c r="V190" s="158">
        <f t="shared" si="134"/>
        <v>0</v>
      </c>
      <c r="W190" s="158">
        <f>SUM(W177:W189)</f>
        <v>65800</v>
      </c>
      <c r="X190" s="158">
        <f t="shared" si="134"/>
        <v>0</v>
      </c>
      <c r="Y190" s="158">
        <f t="shared" si="134"/>
        <v>-179429</v>
      </c>
      <c r="Z190" s="158">
        <f t="shared" si="134"/>
        <v>0</v>
      </c>
      <c r="AA190" s="158">
        <f t="shared" si="134"/>
        <v>22916</v>
      </c>
      <c r="AB190" s="158">
        <f t="shared" si="134"/>
        <v>0</v>
      </c>
      <c r="AC190" s="158">
        <f t="shared" ref="AC190" si="135">SUM(AC177:AC189)</f>
        <v>0</v>
      </c>
      <c r="AD190" s="158">
        <f t="shared" si="134"/>
        <v>0</v>
      </c>
      <c r="AE190" s="158">
        <f t="shared" ref="AE190" si="136">SUM(AE177:AE189)</f>
        <v>0</v>
      </c>
    </row>
    <row r="191" spans="1:31" x14ac:dyDescent="0.2">
      <c r="A191" s="12"/>
      <c r="B191" s="12"/>
      <c r="G191" s="158"/>
      <c r="H191" s="158"/>
      <c r="I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</row>
    <row r="192" spans="1:31" x14ac:dyDescent="0.2">
      <c r="A192" s="12">
        <f>+A190+1</f>
        <v>132</v>
      </c>
      <c r="B192" s="12"/>
      <c r="C192" s="11" t="s">
        <v>289</v>
      </c>
      <c r="G192" s="158">
        <f>SUM(G97:G102)+SUM(G108:G111)+SUM(G116:G118)+SUM(G133:G142)+SUM(G156:G161)+SUM(G165:G167)+SUM(G171:G172)+SUM(G177:G187)</f>
        <v>110681781.59999996</v>
      </c>
      <c r="H192" s="158">
        <f>SUM(H97:H102)+SUM(H108:H111)+SUM(H116:H118)+SUM(H133:H142)+SUM(H156:H161)+SUM(H165:H167)+SUM(H171:H172)+SUM(H177:H187)</f>
        <v>-79267302.000000015</v>
      </c>
      <c r="I192" s="158">
        <f>SUM(I97:I102)+SUM(I108:I111)+SUM(I116:I118)+SUM(I133:I142)+SUM(I156:I161)+SUM(I165:I167)+SUM(I171:I172)+SUM(I177:I187)</f>
        <v>31414479.599999979</v>
      </c>
      <c r="J192" s="158"/>
      <c r="K192" s="158">
        <f t="shared" ref="K192:AD192" si="137">SUM(K97:K102)+SUM(K108:K111)+SUM(K116:K118)+SUM(K133:K142)+SUM(K156:K161)+SUM(K165:K167)+SUM(K171:K172)+SUM(K177:K187)</f>
        <v>0</v>
      </c>
      <c r="L192" s="158">
        <f t="shared" si="137"/>
        <v>0</v>
      </c>
      <c r="M192" s="158">
        <f t="shared" si="137"/>
        <v>0</v>
      </c>
      <c r="N192" s="158">
        <f>SUM(N97:N102)+SUM(N108:N111)+SUM(N116:N118)+SUM(N133:N142)+SUM(N156:N161)+SUM(N165:N167)+SUM(N171:N172)+SUM(N177:N187)</f>
        <v>0</v>
      </c>
      <c r="O192" s="158">
        <f t="shared" ref="O192" si="138">SUM(O97:O102)+SUM(O108:O111)+SUM(O116:O118)+SUM(O133:O142)+SUM(O156:O161)+SUM(O165:O167)+SUM(O171:O172)+SUM(O177:O187)</f>
        <v>0</v>
      </c>
      <c r="P192" s="158">
        <f t="shared" si="137"/>
        <v>0</v>
      </c>
      <c r="Q192" s="158">
        <f t="shared" si="137"/>
        <v>243404</v>
      </c>
      <c r="R192" s="158">
        <f t="shared" si="137"/>
        <v>0</v>
      </c>
      <c r="S192" s="158">
        <f t="shared" si="137"/>
        <v>143956</v>
      </c>
      <c r="T192" s="158">
        <f t="shared" si="137"/>
        <v>0</v>
      </c>
      <c r="U192" s="158">
        <f t="shared" si="137"/>
        <v>0</v>
      </c>
      <c r="V192" s="158">
        <f t="shared" si="137"/>
        <v>952514</v>
      </c>
      <c r="W192" s="158">
        <f t="shared" si="137"/>
        <v>65800</v>
      </c>
      <c r="X192" s="158">
        <f t="shared" si="137"/>
        <v>0</v>
      </c>
      <c r="Y192" s="158">
        <f t="shared" si="137"/>
        <v>-179429</v>
      </c>
      <c r="Z192" s="158">
        <f t="shared" si="137"/>
        <v>0</v>
      </c>
      <c r="AA192" s="158">
        <f t="shared" si="137"/>
        <v>-80414049</v>
      </c>
      <c r="AB192" s="158">
        <f t="shared" si="137"/>
        <v>-79498</v>
      </c>
      <c r="AC192" s="158">
        <f t="shared" si="137"/>
        <v>0</v>
      </c>
      <c r="AD192" s="158">
        <f t="shared" si="137"/>
        <v>0</v>
      </c>
      <c r="AE192" s="158">
        <f t="shared" ref="AE192" si="139">SUM(AE97:AE102)+SUM(AE108:AE111)+SUM(AE116:AE118)+SUM(AE133:AE142)+SUM(AE156:AE161)+SUM(AE165:AE167)+SUM(AE171:AE172)+SUM(AE177:AE187)</f>
        <v>0</v>
      </c>
    </row>
    <row r="193" spans="1:31" x14ac:dyDescent="0.2">
      <c r="A193" s="12"/>
      <c r="B193" s="12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</row>
    <row r="194" spans="1:31" x14ac:dyDescent="0.2">
      <c r="A194" s="12">
        <f>+A192+1</f>
        <v>133</v>
      </c>
      <c r="B194" s="12"/>
      <c r="C194" s="11" t="s">
        <v>290</v>
      </c>
      <c r="G194" s="158">
        <f>SUM(G104:G106)++SUM(G120:G128)+SUM(G144:G152)+G189</f>
        <v>1372618.89</v>
      </c>
      <c r="H194" s="158">
        <f>SUM(H104:H106)++SUM(H120:H128)+SUM(H144:H152)+H189</f>
        <v>40756</v>
      </c>
      <c r="I194" s="158">
        <f>SUM(I104:I106)++SUM(I120:I128)+SUM(I144:I152)+I189</f>
        <v>1413374.89</v>
      </c>
      <c r="J194" s="158"/>
      <c r="K194" s="158">
        <f t="shared" ref="K194:AD194" si="140">SUM(K104:K106)++SUM(K120:K128)+SUM(K144:K152)+K189</f>
        <v>0</v>
      </c>
      <c r="L194" s="158">
        <f t="shared" si="140"/>
        <v>0</v>
      </c>
      <c r="M194" s="158">
        <f t="shared" si="140"/>
        <v>0</v>
      </c>
      <c r="N194" s="158">
        <f>SUM(N104:N106)++SUM(N120:N128)+SUM(N144:N152)+N189</f>
        <v>0</v>
      </c>
      <c r="O194" s="158">
        <f t="shared" ref="O194" si="141">SUM(O104:O106)++SUM(O120:O128)+SUM(O144:O152)+O189</f>
        <v>0</v>
      </c>
      <c r="P194" s="158">
        <f t="shared" si="140"/>
        <v>0</v>
      </c>
      <c r="Q194" s="158">
        <f t="shared" si="140"/>
        <v>40756</v>
      </c>
      <c r="R194" s="158">
        <f t="shared" si="140"/>
        <v>0</v>
      </c>
      <c r="S194" s="158">
        <f t="shared" si="140"/>
        <v>0</v>
      </c>
      <c r="T194" s="158">
        <f t="shared" si="140"/>
        <v>0</v>
      </c>
      <c r="U194" s="158">
        <f t="shared" si="140"/>
        <v>0</v>
      </c>
      <c r="V194" s="158">
        <f t="shared" si="140"/>
        <v>0</v>
      </c>
      <c r="W194" s="158">
        <f t="shared" si="140"/>
        <v>0</v>
      </c>
      <c r="X194" s="158">
        <f t="shared" si="140"/>
        <v>0</v>
      </c>
      <c r="Y194" s="158">
        <f t="shared" si="140"/>
        <v>0</v>
      </c>
      <c r="Z194" s="158">
        <f t="shared" si="140"/>
        <v>0</v>
      </c>
      <c r="AA194" s="158">
        <f t="shared" si="140"/>
        <v>0</v>
      </c>
      <c r="AB194" s="158">
        <f t="shared" si="140"/>
        <v>0</v>
      </c>
      <c r="AC194" s="158">
        <f t="shared" si="140"/>
        <v>0</v>
      </c>
      <c r="AD194" s="158">
        <f t="shared" si="140"/>
        <v>0</v>
      </c>
      <c r="AE194" s="158">
        <f t="shared" ref="AE194" si="142">SUM(AE104:AE106)++SUM(AE120:AE128)+SUM(AE144:AE152)+AE189</f>
        <v>0</v>
      </c>
    </row>
    <row r="195" spans="1:31" x14ac:dyDescent="0.2">
      <c r="A195" s="12"/>
      <c r="B195" s="12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</row>
    <row r="196" spans="1:31" x14ac:dyDescent="0.2">
      <c r="A196" s="12">
        <f>+A194+1</f>
        <v>134</v>
      </c>
      <c r="B196" s="12"/>
      <c r="C196" s="11" t="s">
        <v>291</v>
      </c>
      <c r="G196" s="158">
        <f>G112+G129+G153+G162+G168+G173+G190</f>
        <v>112054400.48999996</v>
      </c>
      <c r="H196" s="158">
        <f>H112+H129+H153+H162+H168+H173+H190</f>
        <v>-79226546.000000015</v>
      </c>
      <c r="I196" s="158">
        <f>I112+I129+I153+I162+I168+I173+I190</f>
        <v>32827854.489999983</v>
      </c>
      <c r="J196" s="158"/>
      <c r="K196" s="158">
        <f t="shared" ref="K196:AD196" si="143">K112+K129+K153+K162+K168+K173+K190</f>
        <v>0</v>
      </c>
      <c r="L196" s="158">
        <f t="shared" si="143"/>
        <v>0</v>
      </c>
      <c r="M196" s="158">
        <f t="shared" si="143"/>
        <v>0</v>
      </c>
      <c r="N196" s="158">
        <f>N112+N129+N153+N162+N168+N173+N190</f>
        <v>0</v>
      </c>
      <c r="O196" s="158">
        <f t="shared" ref="O196" si="144">O112+O129+O153+O162+O168+O173+O190</f>
        <v>0</v>
      </c>
      <c r="P196" s="158">
        <f t="shared" si="143"/>
        <v>0</v>
      </c>
      <c r="Q196" s="158">
        <f t="shared" si="143"/>
        <v>284160</v>
      </c>
      <c r="R196" s="158">
        <f t="shared" si="143"/>
        <v>0</v>
      </c>
      <c r="S196" s="158">
        <f t="shared" si="143"/>
        <v>143956</v>
      </c>
      <c r="T196" s="158">
        <f t="shared" si="143"/>
        <v>0</v>
      </c>
      <c r="U196" s="158">
        <f t="shared" si="143"/>
        <v>0</v>
      </c>
      <c r="V196" s="158">
        <f t="shared" si="143"/>
        <v>952514</v>
      </c>
      <c r="W196" s="158">
        <f t="shared" si="143"/>
        <v>65800</v>
      </c>
      <c r="X196" s="158">
        <f t="shared" si="143"/>
        <v>0</v>
      </c>
      <c r="Y196" s="158">
        <f t="shared" si="143"/>
        <v>-179429</v>
      </c>
      <c r="Z196" s="158">
        <f t="shared" si="143"/>
        <v>0</v>
      </c>
      <c r="AA196" s="158">
        <f t="shared" si="143"/>
        <v>-80414049</v>
      </c>
      <c r="AB196" s="158">
        <f t="shared" si="143"/>
        <v>-79498</v>
      </c>
      <c r="AC196" s="158">
        <f t="shared" si="143"/>
        <v>0</v>
      </c>
      <c r="AD196" s="158">
        <f t="shared" si="143"/>
        <v>0</v>
      </c>
      <c r="AE196" s="158">
        <f t="shared" ref="AE196" si="145">AE112+AE129+AE153+AE162+AE168+AE173+AE190</f>
        <v>0</v>
      </c>
    </row>
    <row r="197" spans="1:31" x14ac:dyDescent="0.2">
      <c r="A197" s="12"/>
      <c r="G197" s="158"/>
      <c r="I197" s="158"/>
    </row>
    <row r="198" spans="1:31" ht="18" x14ac:dyDescent="0.25">
      <c r="A198" s="59" t="s">
        <v>46</v>
      </c>
      <c r="C198" s="10"/>
      <c r="G198" s="158"/>
      <c r="R198" s="158"/>
    </row>
    <row r="199" spans="1:31" x14ac:dyDescent="0.2">
      <c r="A199" s="12"/>
      <c r="B199" s="23"/>
      <c r="C199" s="12"/>
      <c r="G199" s="158"/>
    </row>
    <row r="200" spans="1:31" x14ac:dyDescent="0.2">
      <c r="A200" s="12"/>
      <c r="C200" s="11" t="s">
        <v>292</v>
      </c>
      <c r="G200" s="74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</row>
    <row r="201" spans="1:31" x14ac:dyDescent="0.2">
      <c r="A201" s="12">
        <f>+A196+1</f>
        <v>135</v>
      </c>
      <c r="B201" s="11" t="s">
        <v>293</v>
      </c>
      <c r="D201" s="11" t="s">
        <v>215</v>
      </c>
      <c r="G201" s="15">
        <v>413185.45</v>
      </c>
      <c r="H201" s="158">
        <f t="shared" ref="H201:H207" si="146">SUM(K201:AD201)</f>
        <v>233205.96</v>
      </c>
      <c r="I201" s="74">
        <f t="shared" ref="I201:I207" si="147">G201+H201</f>
        <v>646391.41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>
        <v>233205.96</v>
      </c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</row>
    <row r="202" spans="1:31" x14ac:dyDescent="0.2">
      <c r="A202" s="12">
        <f>+A201+1</f>
        <v>136</v>
      </c>
      <c r="B202" s="11" t="s">
        <v>293</v>
      </c>
      <c r="D202" s="11" t="s">
        <v>294</v>
      </c>
      <c r="G202" s="15">
        <v>0</v>
      </c>
      <c r="H202" s="158">
        <f t="shared" si="146"/>
        <v>0</v>
      </c>
      <c r="I202" s="74">
        <f t="shared" si="147"/>
        <v>0</v>
      </c>
      <c r="K202" s="145"/>
      <c r="L202" s="145"/>
      <c r="M202" s="145"/>
      <c r="N202" s="145"/>
      <c r="O202" s="145"/>
      <c r="P202" s="15"/>
      <c r="Q202" s="15"/>
      <c r="R202" s="15"/>
      <c r="S202" s="15"/>
      <c r="T202" s="14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</row>
    <row r="203" spans="1:31" x14ac:dyDescent="0.2">
      <c r="A203" s="12">
        <f t="shared" ref="A203:A208" si="148">+A202+1</f>
        <v>137</v>
      </c>
      <c r="B203" s="11" t="s">
        <v>293</v>
      </c>
      <c r="D203" s="11" t="s">
        <v>213</v>
      </c>
      <c r="G203" s="15">
        <v>116113.5</v>
      </c>
      <c r="H203" s="158">
        <f t="shared" si="146"/>
        <v>67426.993072642712</v>
      </c>
      <c r="I203" s="74">
        <f t="shared" si="147"/>
        <v>183540.49307264271</v>
      </c>
      <c r="K203" s="145"/>
      <c r="L203" s="145"/>
      <c r="M203" s="145"/>
      <c r="N203" s="15"/>
      <c r="O203" s="15">
        <v>67426.993072642712</v>
      </c>
      <c r="P203" s="15"/>
      <c r="Q203" s="15"/>
      <c r="R203" s="15"/>
      <c r="S203" s="15"/>
      <c r="T203" s="14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</row>
    <row r="204" spans="1:31" x14ac:dyDescent="0.2">
      <c r="A204" s="12">
        <f t="shared" si="148"/>
        <v>138</v>
      </c>
      <c r="B204" s="12" t="s">
        <v>293</v>
      </c>
      <c r="D204" s="11" t="s">
        <v>214</v>
      </c>
      <c r="G204" s="15">
        <v>5823972.7999999998</v>
      </c>
      <c r="H204" s="158">
        <f t="shared" si="146"/>
        <v>806946.60033515911</v>
      </c>
      <c r="I204" s="74">
        <f t="shared" si="147"/>
        <v>6630919.4003351592</v>
      </c>
      <c r="K204" s="145"/>
      <c r="L204" s="145"/>
      <c r="M204" s="145"/>
      <c r="N204" s="15"/>
      <c r="O204" s="15">
        <v>362697.43033515906</v>
      </c>
      <c r="P204" s="15"/>
      <c r="Q204" s="15"/>
      <c r="R204" s="15"/>
      <c r="S204" s="15"/>
      <c r="T204" s="15">
        <f>7125.77+356535.36+58168.44+22419.6</f>
        <v>444249.17</v>
      </c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</row>
    <row r="205" spans="1:31" x14ac:dyDescent="0.2">
      <c r="A205" s="12">
        <f t="shared" si="148"/>
        <v>139</v>
      </c>
      <c r="B205" s="12" t="s">
        <v>293</v>
      </c>
      <c r="D205" s="11" t="s">
        <v>216</v>
      </c>
      <c r="G205" s="15">
        <v>639675.14</v>
      </c>
      <c r="H205" s="158">
        <f t="shared" si="146"/>
        <v>-64548.539791824187</v>
      </c>
      <c r="I205" s="74">
        <f t="shared" si="147"/>
        <v>575126.60020817583</v>
      </c>
      <c r="K205" s="145"/>
      <c r="L205" s="145"/>
      <c r="M205" s="145"/>
      <c r="N205" s="15"/>
      <c r="O205" s="15">
        <v>-64548.539791824187</v>
      </c>
      <c r="P205" s="15"/>
      <c r="Q205" s="15"/>
      <c r="R205" s="15"/>
      <c r="S205" s="15"/>
      <c r="T205" s="14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</row>
    <row r="206" spans="1:31" x14ac:dyDescent="0.2">
      <c r="A206" s="12">
        <f t="shared" si="148"/>
        <v>140</v>
      </c>
      <c r="B206" s="166" t="s">
        <v>293</v>
      </c>
      <c r="D206" s="11" t="s">
        <v>295</v>
      </c>
      <c r="G206" s="15">
        <v>0</v>
      </c>
      <c r="H206" s="158">
        <f t="shared" si="146"/>
        <v>0</v>
      </c>
      <c r="I206" s="74">
        <f t="shared" si="147"/>
        <v>0</v>
      </c>
      <c r="K206" s="15"/>
      <c r="L206" s="15"/>
      <c r="M206" s="15"/>
      <c r="N206" s="15"/>
      <c r="O206" s="15"/>
      <c r="P206" s="15"/>
      <c r="Q206" s="15"/>
      <c r="R206" s="15"/>
      <c r="S206" s="15"/>
      <c r="T206" s="14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</row>
    <row r="207" spans="1:31" ht="15" x14ac:dyDescent="0.35">
      <c r="A207" s="111">
        <f t="shared" si="148"/>
        <v>141</v>
      </c>
      <c r="B207" s="111">
        <v>406</v>
      </c>
      <c r="C207" s="24"/>
      <c r="D207" s="24" t="s">
        <v>296</v>
      </c>
      <c r="E207" s="24"/>
      <c r="F207" s="24"/>
      <c r="G207" s="109">
        <v>0</v>
      </c>
      <c r="H207" s="161">
        <f t="shared" si="146"/>
        <v>0</v>
      </c>
      <c r="I207" s="89">
        <f t="shared" si="147"/>
        <v>0</v>
      </c>
      <c r="J207" s="75"/>
      <c r="K207" s="109"/>
      <c r="L207" s="109"/>
      <c r="M207" s="109"/>
      <c r="N207" s="109"/>
      <c r="O207" s="109"/>
      <c r="P207" s="109"/>
      <c r="Q207" s="109"/>
      <c r="R207" s="109"/>
      <c r="S207" s="109"/>
      <c r="T207" s="147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</row>
    <row r="208" spans="1:31" x14ac:dyDescent="0.2">
      <c r="A208" s="12">
        <f t="shared" si="148"/>
        <v>142</v>
      </c>
      <c r="C208" s="11" t="s">
        <v>297</v>
      </c>
      <c r="G208" s="74">
        <f>SUM(G201:G207)</f>
        <v>6992946.8899999997</v>
      </c>
      <c r="H208" s="74">
        <f>SUM(H201:H207)</f>
        <v>1043031.0136159776</v>
      </c>
      <c r="I208" s="74">
        <f>SUM(I201:I207)</f>
        <v>8035977.9036159776</v>
      </c>
      <c r="K208" s="74">
        <f>SUM(K201:K207)</f>
        <v>0</v>
      </c>
      <c r="L208" s="74">
        <f t="shared" ref="L208:M208" si="149">SUM(L201:L207)</f>
        <v>0</v>
      </c>
      <c r="M208" s="74">
        <f t="shared" si="149"/>
        <v>0</v>
      </c>
      <c r="N208" s="74">
        <f>SUM(N201:N207)</f>
        <v>0</v>
      </c>
      <c r="O208" s="74">
        <f>SUM(O201:O207)</f>
        <v>365575.8836159776</v>
      </c>
      <c r="P208" s="74">
        <f t="shared" ref="P208" si="150">SUM(P201:P207)</f>
        <v>0</v>
      </c>
      <c r="Q208" s="74">
        <f t="shared" ref="Q208:AD208" si="151">SUM(Q201:Q207)</f>
        <v>0</v>
      </c>
      <c r="R208" s="74">
        <f t="shared" si="151"/>
        <v>0</v>
      </c>
      <c r="S208" s="74">
        <f t="shared" si="151"/>
        <v>0</v>
      </c>
      <c r="T208" s="74">
        <f>SUM(T201:T207)</f>
        <v>677455.13</v>
      </c>
      <c r="U208" s="74">
        <f t="shared" si="151"/>
        <v>0</v>
      </c>
      <c r="V208" s="74">
        <f t="shared" si="151"/>
        <v>0</v>
      </c>
      <c r="W208" s="74">
        <f>SUM(W201:W207)</f>
        <v>0</v>
      </c>
      <c r="X208" s="74">
        <f t="shared" si="151"/>
        <v>0</v>
      </c>
      <c r="Y208" s="74">
        <f t="shared" si="151"/>
        <v>0</v>
      </c>
      <c r="Z208" s="74">
        <f t="shared" si="151"/>
        <v>0</v>
      </c>
      <c r="AA208" s="74">
        <f t="shared" si="151"/>
        <v>0</v>
      </c>
      <c r="AB208" s="74">
        <f t="shared" si="151"/>
        <v>0</v>
      </c>
      <c r="AC208" s="74">
        <f t="shared" ref="AC208" si="152">SUM(AC201:AC207)</f>
        <v>0</v>
      </c>
      <c r="AD208" s="74">
        <f t="shared" si="151"/>
        <v>0</v>
      </c>
      <c r="AE208" s="74">
        <f t="shared" ref="AE208" si="153">SUM(AE201:AE207)</f>
        <v>0</v>
      </c>
    </row>
    <row r="209" spans="1:33" x14ac:dyDescent="0.2">
      <c r="A209" s="12"/>
      <c r="G209" s="74"/>
      <c r="I209" s="74"/>
    </row>
    <row r="210" spans="1:33" x14ac:dyDescent="0.2">
      <c r="A210" s="12"/>
      <c r="C210" s="11" t="s">
        <v>298</v>
      </c>
      <c r="G210" s="74"/>
      <c r="I210" s="74"/>
    </row>
    <row r="211" spans="1:33" x14ac:dyDescent="0.2">
      <c r="A211" s="12">
        <f>+A208+1</f>
        <v>143</v>
      </c>
      <c r="B211" s="12" t="s">
        <v>299</v>
      </c>
      <c r="D211" s="11" t="s">
        <v>300</v>
      </c>
      <c r="G211" s="15">
        <v>529123</v>
      </c>
      <c r="H211" s="158">
        <f>SUM(K211:AD211)</f>
        <v>22735</v>
      </c>
      <c r="I211" s="74">
        <f t="shared" ref="I211:I214" si="154">G211+H211</f>
        <v>551858</v>
      </c>
      <c r="K211" s="15"/>
      <c r="L211" s="15"/>
      <c r="M211" s="15"/>
      <c r="N211" s="15"/>
      <c r="O211" s="15"/>
      <c r="P211" s="15"/>
      <c r="Q211" s="15">
        <v>22735</v>
      </c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</row>
    <row r="212" spans="1:33" x14ac:dyDescent="0.2">
      <c r="A212" s="12">
        <f>+A211+1</f>
        <v>144</v>
      </c>
      <c r="B212" s="12" t="s">
        <v>301</v>
      </c>
      <c r="D212" s="11" t="s">
        <v>302</v>
      </c>
      <c r="G212" s="15">
        <v>1369690</v>
      </c>
      <c r="H212" s="158">
        <f>SUM(K212:AD212)</f>
        <v>-91790</v>
      </c>
      <c r="I212" s="74">
        <f t="shared" si="154"/>
        <v>1277900</v>
      </c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>
        <v>-50804</v>
      </c>
      <c r="AA212" s="15">
        <v>-40986</v>
      </c>
      <c r="AB212" s="15"/>
      <c r="AC212" s="15"/>
      <c r="AD212" s="15"/>
      <c r="AE212" s="15"/>
    </row>
    <row r="213" spans="1:33" x14ac:dyDescent="0.2">
      <c r="A213" s="12">
        <f t="shared" ref="A213:A215" si="155">+A212+1</f>
        <v>145</v>
      </c>
      <c r="B213" s="12" t="s">
        <v>303</v>
      </c>
      <c r="D213" s="11" t="s">
        <v>304</v>
      </c>
      <c r="G213" s="15">
        <v>0</v>
      </c>
      <c r="H213" s="158">
        <f>SUM(K213:AD213)</f>
        <v>0</v>
      </c>
      <c r="I213" s="74">
        <f t="shared" si="154"/>
        <v>0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1:33" x14ac:dyDescent="0.2">
      <c r="A214" s="111">
        <f t="shared" si="155"/>
        <v>146</v>
      </c>
      <c r="B214" s="111">
        <v>408151</v>
      </c>
      <c r="C214" s="24"/>
      <c r="D214" s="24" t="s">
        <v>305</v>
      </c>
      <c r="E214" s="24"/>
      <c r="F214" s="24"/>
      <c r="G214" s="109">
        <v>872</v>
      </c>
      <c r="H214" s="161">
        <f>SUM(K214:AD214)</f>
        <v>0</v>
      </c>
      <c r="I214" s="89">
        <f t="shared" si="154"/>
        <v>872</v>
      </c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</row>
    <row r="215" spans="1:33" x14ac:dyDescent="0.2">
      <c r="A215" s="12">
        <f t="shared" si="155"/>
        <v>147</v>
      </c>
      <c r="B215" s="12"/>
      <c r="C215" s="11" t="s">
        <v>306</v>
      </c>
      <c r="G215" s="74">
        <f>SUM(G211:G214)</f>
        <v>1899685</v>
      </c>
      <c r="H215" s="74">
        <f>SUM(H211:H214)</f>
        <v>-69055</v>
      </c>
      <c r="I215" s="74">
        <f>SUM(I211:I214)</f>
        <v>1830630</v>
      </c>
      <c r="K215" s="74">
        <f>SUM(K211:K214)</f>
        <v>0</v>
      </c>
      <c r="L215" s="74">
        <f t="shared" ref="L215:M215" si="156">SUM(L211:L214)</f>
        <v>0</v>
      </c>
      <c r="M215" s="74">
        <f t="shared" si="156"/>
        <v>0</v>
      </c>
      <c r="N215" s="74">
        <f>SUM(N211:N214)</f>
        <v>0</v>
      </c>
      <c r="O215" s="74">
        <f t="shared" ref="O215" si="157">SUM(O211:O214)</f>
        <v>0</v>
      </c>
      <c r="P215" s="74">
        <f t="shared" ref="P215" si="158">SUM(P211:P214)</f>
        <v>0</v>
      </c>
      <c r="Q215" s="74">
        <f t="shared" ref="Q215:AD215" si="159">SUM(Q211:Q214)</f>
        <v>22735</v>
      </c>
      <c r="R215" s="74">
        <f t="shared" si="159"/>
        <v>0</v>
      </c>
      <c r="S215" s="74">
        <f t="shared" si="159"/>
        <v>0</v>
      </c>
      <c r="T215" s="74">
        <f t="shared" si="159"/>
        <v>0</v>
      </c>
      <c r="U215" s="74">
        <f t="shared" si="159"/>
        <v>0</v>
      </c>
      <c r="V215" s="74">
        <f t="shared" si="159"/>
        <v>0</v>
      </c>
      <c r="W215" s="74">
        <f>SUM(W211:W214)</f>
        <v>0</v>
      </c>
      <c r="X215" s="74">
        <f t="shared" si="159"/>
        <v>0</v>
      </c>
      <c r="Y215" s="74">
        <f t="shared" si="159"/>
        <v>0</v>
      </c>
      <c r="Z215" s="74">
        <f t="shared" si="159"/>
        <v>-50804</v>
      </c>
      <c r="AA215" s="74">
        <f t="shared" si="159"/>
        <v>-40986</v>
      </c>
      <c r="AB215" s="74">
        <f t="shared" si="159"/>
        <v>0</v>
      </c>
      <c r="AC215" s="74">
        <f t="shared" ref="AC215" si="160">SUM(AC211:AC214)</f>
        <v>0</v>
      </c>
      <c r="AD215" s="74">
        <f t="shared" si="159"/>
        <v>0</v>
      </c>
      <c r="AE215" s="74">
        <f t="shared" ref="AE215" si="161">SUM(AE211:AE214)</f>
        <v>0</v>
      </c>
    </row>
    <row r="216" spans="1:33" x14ac:dyDescent="0.2">
      <c r="A216" s="12"/>
      <c r="B216" s="12"/>
      <c r="G216" s="74"/>
      <c r="H216" s="74"/>
      <c r="I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</row>
    <row r="217" spans="1:33" x14ac:dyDescent="0.2">
      <c r="A217" s="12">
        <f>+A215+1</f>
        <v>148</v>
      </c>
      <c r="B217" s="8"/>
      <c r="C217" s="11" t="s">
        <v>243</v>
      </c>
      <c r="G217" s="74">
        <f>G208+G215</f>
        <v>8892631.8900000006</v>
      </c>
      <c r="H217" s="74">
        <f>H208+H215</f>
        <v>973976.0136159776</v>
      </c>
      <c r="I217" s="74">
        <f>I208+I215</f>
        <v>9866607.9036159776</v>
      </c>
      <c r="K217" s="74">
        <f>K208+K215</f>
        <v>0</v>
      </c>
      <c r="L217" s="74">
        <f t="shared" ref="L217:M217" si="162">L208+L215</f>
        <v>0</v>
      </c>
      <c r="M217" s="74">
        <f t="shared" si="162"/>
        <v>0</v>
      </c>
      <c r="N217" s="74">
        <f>N208+N215</f>
        <v>0</v>
      </c>
      <c r="O217" s="74">
        <f t="shared" ref="O217" si="163">O208+O215</f>
        <v>365575.8836159776</v>
      </c>
      <c r="P217" s="74">
        <f t="shared" ref="P217" si="164">P208+P215</f>
        <v>0</v>
      </c>
      <c r="Q217" s="74">
        <f t="shared" ref="Q217:AD217" si="165">Q208+Q215</f>
        <v>22735</v>
      </c>
      <c r="R217" s="74">
        <f t="shared" si="165"/>
        <v>0</v>
      </c>
      <c r="S217" s="74">
        <f t="shared" si="165"/>
        <v>0</v>
      </c>
      <c r="T217" s="74">
        <f t="shared" si="165"/>
        <v>677455.13</v>
      </c>
      <c r="U217" s="74">
        <f t="shared" si="165"/>
        <v>0</v>
      </c>
      <c r="V217" s="74">
        <f t="shared" si="165"/>
        <v>0</v>
      </c>
      <c r="W217" s="74">
        <f>W208+W215</f>
        <v>0</v>
      </c>
      <c r="X217" s="74">
        <f t="shared" si="165"/>
        <v>0</v>
      </c>
      <c r="Y217" s="74">
        <f t="shared" si="165"/>
        <v>0</v>
      </c>
      <c r="Z217" s="74">
        <f t="shared" si="165"/>
        <v>-50804</v>
      </c>
      <c r="AA217" s="74">
        <f t="shared" si="165"/>
        <v>-40986</v>
      </c>
      <c r="AB217" s="74">
        <f t="shared" si="165"/>
        <v>0</v>
      </c>
      <c r="AC217" s="74">
        <f t="shared" ref="AC217" si="166">AC208+AC215</f>
        <v>0</v>
      </c>
      <c r="AD217" s="74">
        <f t="shared" si="165"/>
        <v>0</v>
      </c>
      <c r="AE217" s="74">
        <f t="shared" ref="AE217" si="167">AE208+AE215</f>
        <v>0</v>
      </c>
    </row>
    <row r="218" spans="1:33" x14ac:dyDescent="0.2">
      <c r="A218" s="12"/>
      <c r="G218" s="158"/>
    </row>
    <row r="219" spans="1:33" ht="18" x14ac:dyDescent="0.25">
      <c r="A219" s="59" t="s">
        <v>307</v>
      </c>
      <c r="C219" s="10"/>
      <c r="G219" s="158"/>
    </row>
    <row r="220" spans="1:33" x14ac:dyDescent="0.2">
      <c r="A220" s="12"/>
      <c r="B220" s="23"/>
      <c r="C220" s="12"/>
      <c r="G220" s="158"/>
    </row>
    <row r="221" spans="1:33" x14ac:dyDescent="0.2">
      <c r="A221" s="12"/>
      <c r="B221" s="12"/>
      <c r="C221" s="11" t="s">
        <v>308</v>
      </c>
      <c r="G221" s="158"/>
      <c r="I221" s="158"/>
    </row>
    <row r="222" spans="1:33" x14ac:dyDescent="0.2">
      <c r="A222" s="12">
        <f>+A217+1</f>
        <v>149</v>
      </c>
      <c r="B222" s="12" t="s">
        <v>309</v>
      </c>
      <c r="D222" s="11" t="s">
        <v>310</v>
      </c>
      <c r="G222" s="118">
        <v>105957164.7</v>
      </c>
      <c r="H222" s="158">
        <f>SUM(K222:AE222)</f>
        <v>-76036552.204164132</v>
      </c>
      <c r="I222" s="90">
        <f>G222+H222</f>
        <v>29920612.495835871</v>
      </c>
      <c r="K222" s="118"/>
      <c r="L222" s="118"/>
      <c r="M222" s="118"/>
      <c r="N222" s="118"/>
      <c r="O222" s="118"/>
      <c r="P222" s="118"/>
      <c r="Q222" s="118"/>
      <c r="R222" s="15">
        <v>894498</v>
      </c>
      <c r="S222" s="15"/>
      <c r="T222" s="15"/>
      <c r="U222" s="15">
        <v>390713</v>
      </c>
      <c r="V222" s="118"/>
      <c r="W222" s="118"/>
      <c r="X222" s="118"/>
      <c r="Y222" s="118"/>
      <c r="Z222" s="118"/>
      <c r="AA222" s="118">
        <v>-80455035</v>
      </c>
      <c r="AB222" s="118"/>
      <c r="AC222" s="118">
        <v>3255661.9700000007</v>
      </c>
      <c r="AD222" s="118"/>
      <c r="AE222" s="90">
        <f>-SUM('SRC-2 (S.D. Revenue)'!G10,'SRC-2 (S.D. Revenue)'!G16,'SRC-2 (S.D. Revenue)'!G26,'SRC-2 (S.D. Revenue)'!R11,'SRC-2 (S.D. Revenue)'!R19)+'SRC-2 (S.D. Revenue)'!K11+'SRC-2 (S.D. Revenue)'!K19</f>
        <v>-122390.17416413441</v>
      </c>
    </row>
    <row r="223" spans="1:33" x14ac:dyDescent="0.2">
      <c r="A223" s="111">
        <f>+A222+1</f>
        <v>150</v>
      </c>
      <c r="B223" s="111" t="s">
        <v>309</v>
      </c>
      <c r="C223" s="24"/>
      <c r="D223" s="24" t="s">
        <v>311</v>
      </c>
      <c r="E223" s="24"/>
      <c r="F223" s="24"/>
      <c r="G223" s="109">
        <v>0</v>
      </c>
      <c r="H223" s="161">
        <f>SUM(K223:AE223)</f>
        <v>122390.17416413441</v>
      </c>
      <c r="I223" s="89">
        <f>G223+H223</f>
        <v>122390.17416413441</v>
      </c>
      <c r="J223" s="24"/>
      <c r="K223" s="109"/>
      <c r="L223" s="109"/>
      <c r="M223" s="109"/>
      <c r="N223" s="109"/>
      <c r="O223" s="109"/>
      <c r="P223" s="109"/>
      <c r="Q223" s="109"/>
      <c r="R223" s="167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89">
        <f>SUM('SRC-2 (S.D. Revenue)'!G10,'SRC-2 (S.D. Revenue)'!G16,'SRC-2 (S.D. Revenue)'!G26,'SRC-2 (S.D. Revenue)'!R11,'SRC-2 (S.D. Revenue)'!R19)-'SRC-2 (S.D. Revenue)'!K11-'SRC-2 (S.D. Revenue)'!K19</f>
        <v>122390.17416413441</v>
      </c>
      <c r="AG223" s="160"/>
    </row>
    <row r="224" spans="1:33" x14ac:dyDescent="0.2">
      <c r="A224" s="12">
        <f>+A223+1</f>
        <v>151</v>
      </c>
      <c r="B224" s="12"/>
      <c r="C224" s="11" t="s">
        <v>312</v>
      </c>
      <c r="G224" s="74">
        <f>SUM(G222:G223)</f>
        <v>105957164.7</v>
      </c>
      <c r="H224" s="74">
        <f t="shared" ref="H224:AE224" si="168">SUM(H222:H223)</f>
        <v>-75914162.030000001</v>
      </c>
      <c r="I224" s="74">
        <f t="shared" si="168"/>
        <v>30043002.670000006</v>
      </c>
      <c r="J224" s="74"/>
      <c r="K224" s="74">
        <f t="shared" si="168"/>
        <v>0</v>
      </c>
      <c r="L224" s="74">
        <f t="shared" si="168"/>
        <v>0</v>
      </c>
      <c r="M224" s="74">
        <f t="shared" si="168"/>
        <v>0</v>
      </c>
      <c r="N224" s="74">
        <f>SUM(N222:N223)</f>
        <v>0</v>
      </c>
      <c r="O224" s="74">
        <f t="shared" si="168"/>
        <v>0</v>
      </c>
      <c r="P224" s="74">
        <f t="shared" si="168"/>
        <v>0</v>
      </c>
      <c r="Q224" s="74">
        <f t="shared" si="168"/>
        <v>0</v>
      </c>
      <c r="R224" s="74">
        <f t="shared" si="168"/>
        <v>894498</v>
      </c>
      <c r="S224" s="74">
        <f t="shared" si="168"/>
        <v>0</v>
      </c>
      <c r="T224" s="74">
        <f t="shared" si="168"/>
        <v>0</v>
      </c>
      <c r="U224" s="74">
        <f t="shared" si="168"/>
        <v>390713</v>
      </c>
      <c r="V224" s="74">
        <f t="shared" si="168"/>
        <v>0</v>
      </c>
      <c r="W224" s="74">
        <f t="shared" si="168"/>
        <v>0</v>
      </c>
      <c r="X224" s="74">
        <f t="shared" si="168"/>
        <v>0</v>
      </c>
      <c r="Y224" s="74">
        <f t="shared" si="168"/>
        <v>0</v>
      </c>
      <c r="Z224" s="74">
        <f t="shared" si="168"/>
        <v>0</v>
      </c>
      <c r="AA224" s="74">
        <f t="shared" si="168"/>
        <v>-80455035</v>
      </c>
      <c r="AB224" s="74">
        <f t="shared" si="168"/>
        <v>0</v>
      </c>
      <c r="AC224" s="74">
        <f t="shared" si="168"/>
        <v>3255661.9700000007</v>
      </c>
      <c r="AD224" s="74">
        <f t="shared" si="168"/>
        <v>0</v>
      </c>
      <c r="AE224" s="74">
        <f t="shared" si="168"/>
        <v>0</v>
      </c>
    </row>
    <row r="225" spans="1:31" x14ac:dyDescent="0.2">
      <c r="A225" s="12"/>
      <c r="B225" s="12"/>
      <c r="G225" s="74"/>
      <c r="I225" s="74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</row>
    <row r="226" spans="1:31" x14ac:dyDescent="0.2">
      <c r="A226" s="12"/>
      <c r="B226" s="12"/>
      <c r="C226" s="11" t="s">
        <v>60</v>
      </c>
      <c r="G226" s="74"/>
      <c r="I226" s="74"/>
    </row>
    <row r="227" spans="1:31" x14ac:dyDescent="0.2">
      <c r="A227" s="12">
        <f>+A224+1</f>
        <v>152</v>
      </c>
      <c r="B227" s="168">
        <v>481</v>
      </c>
      <c r="D227" s="11" t="s">
        <v>313</v>
      </c>
      <c r="G227" s="15">
        <v>0</v>
      </c>
      <c r="H227" s="158">
        <f t="shared" ref="H227:H235" si="169">SUM(K227:AD227)</f>
        <v>0</v>
      </c>
      <c r="I227" s="74">
        <f t="shared" ref="I227:I235" si="170">G227+H227</f>
        <v>0</v>
      </c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 x14ac:dyDescent="0.2">
      <c r="A228" s="12">
        <f>+A227+1</f>
        <v>153</v>
      </c>
      <c r="B228" s="12">
        <v>483</v>
      </c>
      <c r="D228" s="11" t="s">
        <v>314</v>
      </c>
      <c r="G228" s="15">
        <v>19206044.539999999</v>
      </c>
      <c r="H228" s="158">
        <f t="shared" si="169"/>
        <v>0</v>
      </c>
      <c r="I228" s="74">
        <f t="shared" si="170"/>
        <v>19206044.539999999</v>
      </c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</row>
    <row r="229" spans="1:31" x14ac:dyDescent="0.2">
      <c r="A229" s="12">
        <f t="shared" ref="A229:A235" si="171">+A228+1</f>
        <v>154</v>
      </c>
      <c r="B229" s="12">
        <v>484</v>
      </c>
      <c r="D229" s="11" t="s">
        <v>315</v>
      </c>
      <c r="G229" s="15">
        <v>0</v>
      </c>
      <c r="H229" s="158">
        <f t="shared" si="169"/>
        <v>0</v>
      </c>
      <c r="I229" s="74">
        <f t="shared" si="170"/>
        <v>0</v>
      </c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 x14ac:dyDescent="0.2">
      <c r="A230" s="12">
        <f t="shared" si="171"/>
        <v>155</v>
      </c>
      <c r="B230" s="12">
        <v>487011</v>
      </c>
      <c r="D230" s="11" t="s">
        <v>316</v>
      </c>
      <c r="G230" s="15">
        <v>122195.71</v>
      </c>
      <c r="H230" s="158">
        <f t="shared" si="169"/>
        <v>-122195.71</v>
      </c>
      <c r="I230" s="74">
        <f t="shared" si="170"/>
        <v>0</v>
      </c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>
        <v>-122195.71</v>
      </c>
      <c r="Y230" s="18"/>
      <c r="Z230" s="18"/>
      <c r="AA230" s="18"/>
      <c r="AB230" s="18"/>
      <c r="AC230" s="18"/>
      <c r="AD230" s="18"/>
      <c r="AE230" s="18"/>
    </row>
    <row r="231" spans="1:31" x14ac:dyDescent="0.2">
      <c r="A231" s="12">
        <f t="shared" si="171"/>
        <v>156</v>
      </c>
      <c r="B231" s="12">
        <v>488</v>
      </c>
      <c r="D231" s="11" t="s">
        <v>317</v>
      </c>
      <c r="G231" s="15">
        <f>130+34097+2520+37379.98</f>
        <v>74126.98000000001</v>
      </c>
      <c r="H231" s="158">
        <f t="shared" si="169"/>
        <v>0</v>
      </c>
      <c r="I231" s="74">
        <f t="shared" si="170"/>
        <v>74126.98000000001</v>
      </c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 x14ac:dyDescent="0.2">
      <c r="A232" s="12">
        <f t="shared" si="171"/>
        <v>157</v>
      </c>
      <c r="B232" s="12">
        <v>489</v>
      </c>
      <c r="D232" s="11" t="s">
        <v>318</v>
      </c>
      <c r="G232" s="15">
        <f>57585+53002.38+74415+28372.76+39125+105287.8+15204.47+35164.97+1090579.09+1802846.81+194.69+2819.74+251.94+23.16</f>
        <v>3304872.8100000005</v>
      </c>
      <c r="H232" s="158">
        <f t="shared" si="169"/>
        <v>-3255661.97</v>
      </c>
      <c r="I232" s="74">
        <f>G232+H232</f>
        <v>49210.840000000317</v>
      </c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5">
        <v>-3255661.97</v>
      </c>
      <c r="AD232" s="18"/>
      <c r="AE232" s="18"/>
    </row>
    <row r="233" spans="1:31" x14ac:dyDescent="0.2">
      <c r="A233" s="12">
        <f t="shared" si="171"/>
        <v>158</v>
      </c>
      <c r="B233" s="12">
        <v>493001</v>
      </c>
      <c r="D233" s="11" t="s">
        <v>319</v>
      </c>
      <c r="G233" s="15">
        <v>0</v>
      </c>
      <c r="H233" s="158">
        <f t="shared" si="169"/>
        <v>0</v>
      </c>
      <c r="I233" s="74">
        <f t="shared" si="170"/>
        <v>0</v>
      </c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 x14ac:dyDescent="0.2">
      <c r="A234" s="12">
        <f t="shared" si="171"/>
        <v>159</v>
      </c>
      <c r="B234" s="12">
        <v>495051</v>
      </c>
      <c r="D234" s="11" t="s">
        <v>320</v>
      </c>
      <c r="G234" s="15">
        <v>0</v>
      </c>
      <c r="H234" s="158">
        <f t="shared" si="169"/>
        <v>0</v>
      </c>
      <c r="I234" s="74">
        <f t="shared" si="170"/>
        <v>0</v>
      </c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x14ac:dyDescent="0.2">
      <c r="A235" s="111">
        <f t="shared" si="171"/>
        <v>160</v>
      </c>
      <c r="B235" s="111">
        <v>495061</v>
      </c>
      <c r="C235" s="24"/>
      <c r="D235" s="24" t="s">
        <v>321</v>
      </c>
      <c r="E235" s="24"/>
      <c r="F235" s="24"/>
      <c r="G235" s="109">
        <v>840</v>
      </c>
      <c r="H235" s="161">
        <f t="shared" si="169"/>
        <v>0</v>
      </c>
      <c r="I235" s="89">
        <f t="shared" si="170"/>
        <v>840</v>
      </c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</row>
    <row r="236" spans="1:31" x14ac:dyDescent="0.2">
      <c r="A236" s="12">
        <f t="shared" ref="A236" si="172">A235+1</f>
        <v>161</v>
      </c>
      <c r="B236" s="12"/>
      <c r="C236" s="11" t="s">
        <v>322</v>
      </c>
      <c r="G236" s="74">
        <f>SUM(G227:G235)</f>
        <v>22708080.039999999</v>
      </c>
      <c r="H236" s="74">
        <f>SUM(H227:H235)</f>
        <v>-3377857.68</v>
      </c>
      <c r="I236" s="74">
        <f>SUM(I227:I235)</f>
        <v>19330222.359999999</v>
      </c>
      <c r="K236" s="74">
        <f>SUM(K227:K235)</f>
        <v>0</v>
      </c>
      <c r="L236" s="74">
        <f t="shared" ref="L236:M236" si="173">SUM(L227:L235)</f>
        <v>0</v>
      </c>
      <c r="M236" s="74">
        <f t="shared" si="173"/>
        <v>0</v>
      </c>
      <c r="N236" s="74">
        <f>SUM(N227:N235)</f>
        <v>0</v>
      </c>
      <c r="O236" s="74">
        <f t="shared" ref="O236" si="174">SUM(O227:O235)</f>
        <v>0</v>
      </c>
      <c r="P236" s="74">
        <f t="shared" ref="P236" si="175">SUM(P227:P235)</f>
        <v>0</v>
      </c>
      <c r="Q236" s="74">
        <f t="shared" ref="Q236:AD236" si="176">SUM(Q227:Q235)</f>
        <v>0</v>
      </c>
      <c r="R236" s="74">
        <f t="shared" si="176"/>
        <v>0</v>
      </c>
      <c r="S236" s="74">
        <f t="shared" si="176"/>
        <v>0</v>
      </c>
      <c r="T236" s="74">
        <f t="shared" si="176"/>
        <v>0</v>
      </c>
      <c r="U236" s="74">
        <f t="shared" si="176"/>
        <v>0</v>
      </c>
      <c r="V236" s="74">
        <f t="shared" si="176"/>
        <v>0</v>
      </c>
      <c r="W236" s="74">
        <f>SUM(W227:W235)</f>
        <v>0</v>
      </c>
      <c r="X236" s="74">
        <f t="shared" si="176"/>
        <v>-122195.71</v>
      </c>
      <c r="Y236" s="74">
        <f t="shared" si="176"/>
        <v>0</v>
      </c>
      <c r="Z236" s="74">
        <f t="shared" si="176"/>
        <v>0</v>
      </c>
      <c r="AA236" s="74">
        <f t="shared" si="176"/>
        <v>0</v>
      </c>
      <c r="AB236" s="74">
        <f t="shared" si="176"/>
        <v>0</v>
      </c>
      <c r="AC236" s="74">
        <f t="shared" ref="AC236" si="177">SUM(AC227:AC235)</f>
        <v>-3255661.97</v>
      </c>
      <c r="AD236" s="74">
        <f t="shared" si="176"/>
        <v>0</v>
      </c>
      <c r="AE236" s="74">
        <f t="shared" ref="AE236" si="178">SUM(AE227:AE235)</f>
        <v>0</v>
      </c>
    </row>
    <row r="237" spans="1:31" x14ac:dyDescent="0.2">
      <c r="A237" s="12"/>
      <c r="B237" s="12"/>
      <c r="G237" s="158"/>
      <c r="H237" s="90"/>
      <c r="I237" s="90"/>
    </row>
    <row r="238" spans="1:31" x14ac:dyDescent="0.2">
      <c r="A238" s="12">
        <f>+A236+1</f>
        <v>162</v>
      </c>
      <c r="B238" s="8"/>
      <c r="C238" s="11" t="s">
        <v>39</v>
      </c>
      <c r="G238" s="74">
        <f>G224+G236</f>
        <v>128665244.74000001</v>
      </c>
      <c r="H238" s="74">
        <f>H224+H236</f>
        <v>-79292019.710000008</v>
      </c>
      <c r="I238" s="74">
        <f>I224+I236</f>
        <v>49373225.030000001</v>
      </c>
      <c r="J238" s="158"/>
      <c r="K238" s="74">
        <f>K224+K236</f>
        <v>0</v>
      </c>
      <c r="L238" s="74">
        <f t="shared" ref="L238:M238" si="179">L224+L236</f>
        <v>0</v>
      </c>
      <c r="M238" s="74">
        <f t="shared" si="179"/>
        <v>0</v>
      </c>
      <c r="N238" s="74">
        <f>N224+N236</f>
        <v>0</v>
      </c>
      <c r="O238" s="74">
        <f t="shared" ref="O238" si="180">O224+O236</f>
        <v>0</v>
      </c>
      <c r="P238" s="74">
        <f t="shared" ref="P238" si="181">P224+P236</f>
        <v>0</v>
      </c>
      <c r="Q238" s="74">
        <f t="shared" ref="Q238:AD238" si="182">Q224+Q236</f>
        <v>0</v>
      </c>
      <c r="R238" s="74">
        <f t="shared" si="182"/>
        <v>894498</v>
      </c>
      <c r="S238" s="74">
        <f t="shared" si="182"/>
        <v>0</v>
      </c>
      <c r="T238" s="74">
        <f t="shared" si="182"/>
        <v>0</v>
      </c>
      <c r="U238" s="74">
        <f t="shared" si="182"/>
        <v>390713</v>
      </c>
      <c r="V238" s="74">
        <f t="shared" si="182"/>
        <v>0</v>
      </c>
      <c r="W238" s="74">
        <f>W224+W236</f>
        <v>0</v>
      </c>
      <c r="X238" s="74">
        <f t="shared" si="182"/>
        <v>-122195.71</v>
      </c>
      <c r="Y238" s="74">
        <f t="shared" si="182"/>
        <v>0</v>
      </c>
      <c r="Z238" s="74">
        <f t="shared" si="182"/>
        <v>0</v>
      </c>
      <c r="AA238" s="74">
        <f t="shared" si="182"/>
        <v>-80455035</v>
      </c>
      <c r="AB238" s="74">
        <f t="shared" si="182"/>
        <v>0</v>
      </c>
      <c r="AC238" s="74">
        <f t="shared" ref="AC238" si="183">AC224+AC236</f>
        <v>0</v>
      </c>
      <c r="AD238" s="74">
        <f t="shared" si="182"/>
        <v>0</v>
      </c>
      <c r="AE238" s="74">
        <f t="shared" ref="AE238" si="184">AE224+AE236</f>
        <v>0</v>
      </c>
    </row>
    <row r="239" spans="1:31" x14ac:dyDescent="0.2">
      <c r="A239" s="12"/>
      <c r="B239" s="23"/>
      <c r="G239" s="158"/>
    </row>
    <row r="240" spans="1:31" x14ac:dyDescent="0.2">
      <c r="A240" s="12"/>
      <c r="B240" s="11" t="s">
        <v>57</v>
      </c>
      <c r="G240" s="74"/>
      <c r="H240" s="11" t="s">
        <v>323</v>
      </c>
      <c r="I240" s="74"/>
    </row>
    <row r="241" spans="1:31" x14ac:dyDescent="0.2">
      <c r="A241" s="12">
        <f>+A238+1</f>
        <v>163</v>
      </c>
      <c r="C241" s="11" t="s">
        <v>42</v>
      </c>
      <c r="G241" s="74">
        <f>G196</f>
        <v>112054400.48999996</v>
      </c>
      <c r="H241" s="74">
        <f>H196</f>
        <v>-79226546.000000015</v>
      </c>
      <c r="I241" s="74">
        <f>I196</f>
        <v>32827854.489999983</v>
      </c>
      <c r="K241" s="74">
        <f>K196</f>
        <v>0</v>
      </c>
      <c r="L241" s="74">
        <f t="shared" ref="L241:M241" si="185">L196</f>
        <v>0</v>
      </c>
      <c r="M241" s="74">
        <f t="shared" si="185"/>
        <v>0</v>
      </c>
      <c r="N241" s="74">
        <f>N196</f>
        <v>0</v>
      </c>
      <c r="O241" s="74">
        <f t="shared" ref="O241" si="186">O196</f>
        <v>0</v>
      </c>
      <c r="P241" s="74">
        <f t="shared" ref="P241" si="187">P196</f>
        <v>0</v>
      </c>
      <c r="Q241" s="74">
        <v>284158.94301176688</v>
      </c>
      <c r="R241" s="74">
        <f t="shared" ref="R241:AD241" si="188">R196</f>
        <v>0</v>
      </c>
      <c r="S241" s="74">
        <f t="shared" si="188"/>
        <v>143956</v>
      </c>
      <c r="T241" s="74">
        <f t="shared" si="188"/>
        <v>0</v>
      </c>
      <c r="U241" s="74">
        <f t="shared" si="188"/>
        <v>0</v>
      </c>
      <c r="V241" s="74">
        <f t="shared" si="188"/>
        <v>952514</v>
      </c>
      <c r="W241" s="74">
        <f>W196</f>
        <v>65800</v>
      </c>
      <c r="X241" s="74">
        <f t="shared" si="188"/>
        <v>0</v>
      </c>
      <c r="Y241" s="74">
        <f t="shared" si="188"/>
        <v>-179429</v>
      </c>
      <c r="Z241" s="74">
        <f t="shared" si="188"/>
        <v>0</v>
      </c>
      <c r="AA241" s="74">
        <f t="shared" si="188"/>
        <v>-80414049</v>
      </c>
      <c r="AB241" s="74">
        <f t="shared" si="188"/>
        <v>-79498</v>
      </c>
      <c r="AC241" s="74">
        <f t="shared" ref="AC241" si="189">AC196</f>
        <v>0</v>
      </c>
      <c r="AD241" s="74">
        <f t="shared" si="188"/>
        <v>0</v>
      </c>
      <c r="AE241" s="74">
        <f>AE196</f>
        <v>0</v>
      </c>
    </row>
    <row r="242" spans="1:31" x14ac:dyDescent="0.2">
      <c r="A242" s="111">
        <f>+A241+1</f>
        <v>164</v>
      </c>
      <c r="B242" s="24"/>
      <c r="C242" s="24" t="s">
        <v>46</v>
      </c>
      <c r="D242" s="24"/>
      <c r="E242" s="24"/>
      <c r="F242" s="24"/>
      <c r="G242" s="89">
        <f>G217</f>
        <v>8892631.8900000006</v>
      </c>
      <c r="H242" s="89">
        <f>H217</f>
        <v>973976.0136159776</v>
      </c>
      <c r="I242" s="89">
        <f>I217</f>
        <v>9866607.9036159776</v>
      </c>
      <c r="K242" s="89">
        <f>K217</f>
        <v>0</v>
      </c>
      <c r="L242" s="89">
        <f t="shared" ref="L242:M242" si="190">L217</f>
        <v>0</v>
      </c>
      <c r="M242" s="89">
        <f t="shared" si="190"/>
        <v>0</v>
      </c>
      <c r="N242" s="89">
        <f>N217</f>
        <v>0</v>
      </c>
      <c r="O242" s="89">
        <f t="shared" ref="O242" si="191">O217</f>
        <v>365575.8836159776</v>
      </c>
      <c r="P242" s="89">
        <f t="shared" ref="P242" si="192">P217</f>
        <v>0</v>
      </c>
      <c r="Q242" s="89">
        <f t="shared" ref="Q242:AD242" si="193">Q217</f>
        <v>22735</v>
      </c>
      <c r="R242" s="89">
        <f t="shared" si="193"/>
        <v>0</v>
      </c>
      <c r="S242" s="89">
        <f t="shared" si="193"/>
        <v>0</v>
      </c>
      <c r="T242" s="89">
        <f t="shared" si="193"/>
        <v>677455.13</v>
      </c>
      <c r="U242" s="89">
        <f t="shared" si="193"/>
        <v>0</v>
      </c>
      <c r="V242" s="89">
        <f t="shared" si="193"/>
        <v>0</v>
      </c>
      <c r="W242" s="89">
        <f>W217</f>
        <v>0</v>
      </c>
      <c r="X242" s="89">
        <f t="shared" si="193"/>
        <v>0</v>
      </c>
      <c r="Y242" s="89">
        <f t="shared" si="193"/>
        <v>0</v>
      </c>
      <c r="Z242" s="89">
        <f t="shared" si="193"/>
        <v>-50804</v>
      </c>
      <c r="AA242" s="89">
        <f t="shared" si="193"/>
        <v>-40986</v>
      </c>
      <c r="AB242" s="89">
        <f t="shared" si="193"/>
        <v>0</v>
      </c>
      <c r="AC242" s="89">
        <f t="shared" ref="AC242" si="194">AC217</f>
        <v>0</v>
      </c>
      <c r="AD242" s="89">
        <f t="shared" si="193"/>
        <v>0</v>
      </c>
      <c r="AE242" s="89">
        <f t="shared" ref="AE242" si="195">AE217</f>
        <v>0</v>
      </c>
    </row>
    <row r="243" spans="1:31" x14ac:dyDescent="0.2">
      <c r="A243" s="12">
        <f>+A242+1</f>
        <v>165</v>
      </c>
      <c r="C243" s="11" t="s">
        <v>57</v>
      </c>
      <c r="G243" s="74">
        <f>SUM(G241:G242)</f>
        <v>120947032.37999997</v>
      </c>
      <c r="H243" s="74">
        <f>SUM(H241:H242)</f>
        <v>-78252569.986384034</v>
      </c>
      <c r="I243" s="74">
        <f>SUM(I241:I242)</f>
        <v>42694462.393615961</v>
      </c>
      <c r="K243" s="74">
        <f>SUM(K241:K242)</f>
        <v>0</v>
      </c>
      <c r="L243" s="74">
        <f t="shared" ref="L243:M243" si="196">SUM(L241:L242)</f>
        <v>0</v>
      </c>
      <c r="M243" s="74">
        <f t="shared" si="196"/>
        <v>0</v>
      </c>
      <c r="N243" s="74">
        <f>SUM(N241:N242)</f>
        <v>0</v>
      </c>
      <c r="O243" s="74">
        <f t="shared" ref="O243" si="197">SUM(O241:O242)</f>
        <v>365575.8836159776</v>
      </c>
      <c r="P243" s="74">
        <f t="shared" ref="P243" si="198">SUM(P241:P242)</f>
        <v>0</v>
      </c>
      <c r="Q243" s="74">
        <f t="shared" ref="Q243:AD243" si="199">SUM(Q241:Q242)</f>
        <v>306893.94301176688</v>
      </c>
      <c r="R243" s="74">
        <f t="shared" si="199"/>
        <v>0</v>
      </c>
      <c r="S243" s="74">
        <f t="shared" si="199"/>
        <v>143956</v>
      </c>
      <c r="T243" s="74">
        <f t="shared" si="199"/>
        <v>677455.13</v>
      </c>
      <c r="U243" s="74">
        <f t="shared" si="199"/>
        <v>0</v>
      </c>
      <c r="V243" s="74">
        <f t="shared" si="199"/>
        <v>952514</v>
      </c>
      <c r="W243" s="74">
        <f>SUM(W241:W242)</f>
        <v>65800</v>
      </c>
      <c r="X243" s="74">
        <f t="shared" si="199"/>
        <v>0</v>
      </c>
      <c r="Y243" s="74">
        <f t="shared" si="199"/>
        <v>-179429</v>
      </c>
      <c r="Z243" s="74">
        <f t="shared" si="199"/>
        <v>-50804</v>
      </c>
      <c r="AA243" s="74">
        <f>SUM(AA241:AA242)</f>
        <v>-80455035</v>
      </c>
      <c r="AB243" s="74">
        <f t="shared" si="199"/>
        <v>-79498</v>
      </c>
      <c r="AC243" s="74">
        <f t="shared" ref="AC243" si="200">SUM(AC241:AC242)</f>
        <v>0</v>
      </c>
      <c r="AD243" s="74">
        <f t="shared" si="199"/>
        <v>0</v>
      </c>
      <c r="AE243" s="74">
        <f t="shared" ref="AE243" si="201">SUM(AE241:AE242)</f>
        <v>0</v>
      </c>
    </row>
    <row r="244" spans="1:31" x14ac:dyDescent="0.2">
      <c r="A244" s="12"/>
      <c r="G244" s="158"/>
    </row>
    <row r="245" spans="1:31" x14ac:dyDescent="0.2">
      <c r="A245" s="12">
        <f>+A243+1</f>
        <v>166</v>
      </c>
      <c r="B245" s="11" t="s">
        <v>324</v>
      </c>
      <c r="G245" s="90">
        <f>G238-G243</f>
        <v>7718212.3600000441</v>
      </c>
      <c r="H245" s="90">
        <f>H238-H243</f>
        <v>-1039449.7236159742</v>
      </c>
      <c r="I245" s="90">
        <f>I238-I243</f>
        <v>6678762.6363840401</v>
      </c>
      <c r="K245" s="90">
        <f>K238-K243</f>
        <v>0</v>
      </c>
      <c r="L245" s="90">
        <f t="shared" ref="L245:M245" si="202">L238-L243</f>
        <v>0</v>
      </c>
      <c r="M245" s="90">
        <f t="shared" si="202"/>
        <v>0</v>
      </c>
      <c r="N245" s="90">
        <f>N238-N243</f>
        <v>0</v>
      </c>
      <c r="O245" s="90">
        <f t="shared" ref="O245" si="203">O238-O243</f>
        <v>-365575.8836159776</v>
      </c>
      <c r="P245" s="90">
        <f t="shared" ref="P245" si="204">P238-P243</f>
        <v>0</v>
      </c>
      <c r="Q245" s="90">
        <f t="shared" ref="Q245:AD245" si="205">Q238-Q243</f>
        <v>-306893.94301176688</v>
      </c>
      <c r="R245" s="90">
        <f t="shared" si="205"/>
        <v>894498</v>
      </c>
      <c r="S245" s="90">
        <f t="shared" si="205"/>
        <v>-143956</v>
      </c>
      <c r="T245" s="90">
        <f t="shared" si="205"/>
        <v>-677455.13</v>
      </c>
      <c r="U245" s="90">
        <f t="shared" si="205"/>
        <v>390713</v>
      </c>
      <c r="V245" s="90">
        <f t="shared" si="205"/>
        <v>-952514</v>
      </c>
      <c r="W245" s="90">
        <f>W238-W243</f>
        <v>-65800</v>
      </c>
      <c r="X245" s="90">
        <f t="shared" si="205"/>
        <v>-122195.71</v>
      </c>
      <c r="Y245" s="90">
        <f t="shared" si="205"/>
        <v>179429</v>
      </c>
      <c r="Z245" s="90">
        <f t="shared" si="205"/>
        <v>50804</v>
      </c>
      <c r="AA245" s="90">
        <f>AA238-AA243</f>
        <v>0</v>
      </c>
      <c r="AB245" s="90">
        <f t="shared" si="205"/>
        <v>79498</v>
      </c>
      <c r="AC245" s="90">
        <f t="shared" ref="AC245" si="206">AC238-AC243</f>
        <v>0</v>
      </c>
      <c r="AD245" s="90">
        <f t="shared" si="205"/>
        <v>0</v>
      </c>
      <c r="AE245" s="90">
        <f t="shared" ref="AE245" si="207">AE238-AE243</f>
        <v>0</v>
      </c>
    </row>
    <row r="246" spans="1:31" x14ac:dyDescent="0.2">
      <c r="A246" s="12"/>
      <c r="G246" s="90"/>
      <c r="H246" s="169"/>
      <c r="I246" s="90"/>
    </row>
    <row r="247" spans="1:31" x14ac:dyDescent="0.2">
      <c r="A247" s="12"/>
      <c r="B247" s="11" t="s">
        <v>325</v>
      </c>
      <c r="G247" s="90"/>
      <c r="H247" s="169"/>
      <c r="I247" s="90"/>
    </row>
    <row r="248" spans="1:31" x14ac:dyDescent="0.2">
      <c r="A248" s="12">
        <f>+A245+1</f>
        <v>167</v>
      </c>
      <c r="C248" s="11" t="s">
        <v>326</v>
      </c>
      <c r="G248" s="118">
        <v>-2811787.78</v>
      </c>
      <c r="H248" s="74">
        <f>SUM(K248:AD248)</f>
        <v>0</v>
      </c>
      <c r="I248" s="90">
        <f>G248+H248</f>
        <v>-2811787.78</v>
      </c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</row>
    <row r="249" spans="1:31" ht="24" customHeight="1" x14ac:dyDescent="0.2">
      <c r="A249" s="111">
        <f>+A248+1</f>
        <v>168</v>
      </c>
      <c r="B249" s="24"/>
      <c r="C249" s="323" t="s">
        <v>327</v>
      </c>
      <c r="D249" s="323"/>
      <c r="E249" s="323"/>
      <c r="F249" s="323"/>
      <c r="G249" s="109">
        <f>-52905.75-9164.16+32921.52-28601.23+3560.15</f>
        <v>-54189.470000000008</v>
      </c>
      <c r="H249" s="89">
        <f>SUM(K249:AD249)</f>
        <v>0</v>
      </c>
      <c r="I249" s="89">
        <f>G249+H249</f>
        <v>-54189.470000000008</v>
      </c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</row>
    <row r="250" spans="1:31" x14ac:dyDescent="0.2">
      <c r="A250" s="12">
        <f>+A249+1</f>
        <v>169</v>
      </c>
      <c r="B250" s="11" t="s">
        <v>328</v>
      </c>
      <c r="G250" s="90">
        <f>SUM(G248:G249)</f>
        <v>-2865977.25</v>
      </c>
      <c r="H250" s="158">
        <f>SUM(H248:H249)</f>
        <v>0</v>
      </c>
      <c r="I250" s="90">
        <f>SUM(I248:I249)</f>
        <v>-2865977.25</v>
      </c>
      <c r="K250" s="90">
        <f>SUM(K248:K249)</f>
        <v>0</v>
      </c>
      <c r="L250" s="90">
        <f t="shared" ref="L250:M250" si="208">SUM(L248:L249)</f>
        <v>0</v>
      </c>
      <c r="M250" s="90">
        <f t="shared" si="208"/>
        <v>0</v>
      </c>
      <c r="N250" s="90">
        <f>SUM(N248:N249)</f>
        <v>0</v>
      </c>
      <c r="O250" s="90">
        <f t="shared" ref="O250" si="209">SUM(O248:O249)</f>
        <v>0</v>
      </c>
      <c r="P250" s="90">
        <f t="shared" ref="P250" si="210">SUM(P248:P249)</f>
        <v>0</v>
      </c>
      <c r="Q250" s="90">
        <f t="shared" ref="Q250:AD250" si="211">SUM(Q248:Q249)</f>
        <v>0</v>
      </c>
      <c r="R250" s="90">
        <f t="shared" si="211"/>
        <v>0</v>
      </c>
      <c r="S250" s="90">
        <f t="shared" si="211"/>
        <v>0</v>
      </c>
      <c r="T250" s="90">
        <f t="shared" si="211"/>
        <v>0</v>
      </c>
      <c r="U250" s="90">
        <f t="shared" si="211"/>
        <v>0</v>
      </c>
      <c r="V250" s="90">
        <f t="shared" si="211"/>
        <v>0</v>
      </c>
      <c r="W250" s="90">
        <f>SUM(W248:W249)</f>
        <v>0</v>
      </c>
      <c r="X250" s="90">
        <f t="shared" si="211"/>
        <v>0</v>
      </c>
      <c r="Y250" s="90">
        <f t="shared" si="211"/>
        <v>0</v>
      </c>
      <c r="Z250" s="90">
        <f t="shared" si="211"/>
        <v>0</v>
      </c>
      <c r="AA250" s="90">
        <f t="shared" si="211"/>
        <v>0</v>
      </c>
      <c r="AB250" s="90">
        <f t="shared" si="211"/>
        <v>0</v>
      </c>
      <c r="AC250" s="90">
        <f t="shared" ref="AC250" si="212">SUM(AC248:AC249)</f>
        <v>0</v>
      </c>
      <c r="AD250" s="90">
        <f t="shared" si="211"/>
        <v>0</v>
      </c>
      <c r="AE250" s="90">
        <f t="shared" ref="AE250" si="213">SUM(AE248:AE249)</f>
        <v>0</v>
      </c>
    </row>
    <row r="251" spans="1:31" x14ac:dyDescent="0.2">
      <c r="A251" s="12"/>
      <c r="G251" s="158"/>
      <c r="I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</row>
    <row r="252" spans="1:31" x14ac:dyDescent="0.2">
      <c r="A252" s="12">
        <f>+A250+1</f>
        <v>170</v>
      </c>
      <c r="B252" s="11" t="s">
        <v>329</v>
      </c>
      <c r="G252" s="90">
        <f>G245+G250</f>
        <v>4852235.1100000441</v>
      </c>
      <c r="H252" s="90">
        <f>H245+H250</f>
        <v>-1039449.7236159742</v>
      </c>
      <c r="I252" s="90">
        <f>I245+I250</f>
        <v>3812785.3863840401</v>
      </c>
      <c r="K252" s="90">
        <f>K245+K250</f>
        <v>0</v>
      </c>
      <c r="L252" s="90">
        <f t="shared" ref="L252:M252" si="214">L245+L250</f>
        <v>0</v>
      </c>
      <c r="M252" s="90">
        <f t="shared" si="214"/>
        <v>0</v>
      </c>
      <c r="N252" s="90">
        <f>N245+N250</f>
        <v>0</v>
      </c>
      <c r="O252" s="90">
        <f t="shared" ref="O252" si="215">O245+O250</f>
        <v>-365575.8836159776</v>
      </c>
      <c r="P252" s="90">
        <f t="shared" ref="P252" si="216">P245+P250</f>
        <v>0</v>
      </c>
      <c r="Q252" s="90">
        <f>Q245+Q250</f>
        <v>-306893.94301176688</v>
      </c>
      <c r="R252" s="90">
        <f t="shared" ref="R252:AD252" si="217">R245+R250</f>
        <v>894498</v>
      </c>
      <c r="S252" s="90">
        <f t="shared" si="217"/>
        <v>-143956</v>
      </c>
      <c r="T252" s="90">
        <f t="shared" si="217"/>
        <v>-677455.13</v>
      </c>
      <c r="U252" s="90">
        <f t="shared" si="217"/>
        <v>390713</v>
      </c>
      <c r="V252" s="90">
        <f t="shared" si="217"/>
        <v>-952514</v>
      </c>
      <c r="W252" s="90">
        <f>W245+W250</f>
        <v>-65800</v>
      </c>
      <c r="X252" s="90">
        <f t="shared" si="217"/>
        <v>-122195.71</v>
      </c>
      <c r="Y252" s="90">
        <f t="shared" si="217"/>
        <v>179429</v>
      </c>
      <c r="Z252" s="90">
        <f t="shared" si="217"/>
        <v>50804</v>
      </c>
      <c r="AA252" s="90">
        <f t="shared" si="217"/>
        <v>0</v>
      </c>
      <c r="AB252" s="90">
        <f t="shared" si="217"/>
        <v>79498</v>
      </c>
      <c r="AC252" s="90">
        <f t="shared" ref="AC252" si="218">AC245+AC250</f>
        <v>0</v>
      </c>
      <c r="AD252" s="90">
        <f t="shared" si="217"/>
        <v>0</v>
      </c>
      <c r="AE252" s="90">
        <f t="shared" ref="AE252" si="219">AE245+AE250</f>
        <v>0</v>
      </c>
    </row>
    <row r="253" spans="1:31" x14ac:dyDescent="0.2">
      <c r="A253" s="12"/>
      <c r="G253" s="90"/>
      <c r="H253" s="90"/>
      <c r="I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</row>
    <row r="254" spans="1:31" ht="15" x14ac:dyDescent="0.2">
      <c r="A254" s="59" t="s">
        <v>330</v>
      </c>
      <c r="F254" s="61"/>
      <c r="G254" s="145"/>
      <c r="H254" s="145"/>
      <c r="I254" s="145"/>
    </row>
    <row r="255" spans="1:31" ht="15" x14ac:dyDescent="0.2">
      <c r="A255" s="12"/>
      <c r="B255" s="58"/>
      <c r="F255" s="61"/>
      <c r="G255" s="145"/>
      <c r="H255" s="145"/>
      <c r="I255" s="145"/>
    </row>
    <row r="256" spans="1:31" x14ac:dyDescent="0.2">
      <c r="A256" s="12"/>
      <c r="B256" s="11" t="s">
        <v>44</v>
      </c>
      <c r="G256" s="158"/>
    </row>
    <row r="257" spans="1:31" x14ac:dyDescent="0.2">
      <c r="A257" s="12"/>
      <c r="C257" s="11" t="s">
        <v>331</v>
      </c>
      <c r="G257" s="158"/>
    </row>
    <row r="258" spans="1:31" x14ac:dyDescent="0.2">
      <c r="A258" s="12">
        <f>+A252+1</f>
        <v>171</v>
      </c>
      <c r="B258" s="12">
        <v>409111</v>
      </c>
      <c r="C258" s="62" t="s">
        <v>332</v>
      </c>
      <c r="G258" s="90">
        <f>G252*G271</f>
        <v>1018969.3731000093</v>
      </c>
      <c r="H258" s="158">
        <f>SUM(K258:AD258)</f>
        <v>-218284.21999182637</v>
      </c>
      <c r="I258" s="90">
        <f>G258+H258</f>
        <v>800685.15310818295</v>
      </c>
      <c r="J258" s="163"/>
      <c r="K258" s="90">
        <f>K252*K271</f>
        <v>0</v>
      </c>
      <c r="L258" s="90">
        <f t="shared" ref="L258:O258" si="220">L252*L271</f>
        <v>0</v>
      </c>
      <c r="M258" s="90">
        <f t="shared" si="220"/>
        <v>0</v>
      </c>
      <c r="N258" s="90">
        <f>N252*N271</f>
        <v>0</v>
      </c>
      <c r="O258" s="90">
        <f t="shared" si="220"/>
        <v>-76770.93555935529</v>
      </c>
      <c r="P258" s="90">
        <f t="shared" ref="P258" si="221">P252*P271</f>
        <v>0</v>
      </c>
      <c r="Q258" s="90">
        <f>Q252*Q271</f>
        <v>-64447.728032471045</v>
      </c>
      <c r="R258" s="90">
        <f t="shared" ref="R258:AD258" si="222">R252*R271</f>
        <v>187844.58</v>
      </c>
      <c r="S258" s="90">
        <f t="shared" si="222"/>
        <v>-30230.76</v>
      </c>
      <c r="T258" s="90">
        <f t="shared" si="222"/>
        <v>-142265.5773</v>
      </c>
      <c r="U258" s="90">
        <f t="shared" si="222"/>
        <v>82049.73</v>
      </c>
      <c r="V258" s="90">
        <f t="shared" si="222"/>
        <v>-200027.94</v>
      </c>
      <c r="W258" s="90">
        <f>W252*W271</f>
        <v>-13818</v>
      </c>
      <c r="X258" s="90">
        <f t="shared" si="222"/>
        <v>-25661.099099999999</v>
      </c>
      <c r="Y258" s="90">
        <f t="shared" si="222"/>
        <v>37680.089999999997</v>
      </c>
      <c r="Z258" s="90">
        <f>Z252*Z271</f>
        <v>10668.84</v>
      </c>
      <c r="AA258" s="90">
        <f t="shared" si="222"/>
        <v>0</v>
      </c>
      <c r="AB258" s="90">
        <f t="shared" si="222"/>
        <v>16694.579999999998</v>
      </c>
      <c r="AC258" s="90">
        <f t="shared" ref="AC258" si="223">AC252*AC271</f>
        <v>0</v>
      </c>
      <c r="AD258" s="90">
        <f t="shared" si="222"/>
        <v>0</v>
      </c>
      <c r="AE258" s="90">
        <f t="shared" ref="AE258" si="224">AE252*AE271</f>
        <v>0</v>
      </c>
    </row>
    <row r="259" spans="1:31" x14ac:dyDescent="0.2">
      <c r="A259" s="12">
        <f>A258+1</f>
        <v>172</v>
      </c>
      <c r="B259" s="12">
        <v>409118</v>
      </c>
      <c r="C259" s="62" t="s">
        <v>333</v>
      </c>
      <c r="G259" s="118">
        <v>78960</v>
      </c>
      <c r="H259" s="158">
        <f>SUM(K259:AD259)</f>
        <v>-75261.070000000007</v>
      </c>
      <c r="I259" s="90">
        <f>G259+H259</f>
        <v>3698.929999999993</v>
      </c>
      <c r="J259" s="163"/>
      <c r="K259" s="90"/>
      <c r="L259" s="90"/>
      <c r="M259" s="90"/>
      <c r="N259" s="90"/>
      <c r="O259" s="90"/>
      <c r="P259" s="170">
        <v>-75261.070000000007</v>
      </c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</row>
    <row r="260" spans="1:31" x14ac:dyDescent="0.2">
      <c r="A260" s="12">
        <f>A259+1</f>
        <v>173</v>
      </c>
      <c r="B260" s="12">
        <v>409119</v>
      </c>
      <c r="C260" s="62" t="s">
        <v>234</v>
      </c>
      <c r="G260" s="118">
        <f>919286.31-3067912.94</f>
        <v>-2148626.63</v>
      </c>
      <c r="H260" s="158">
        <f>SUM(K260:AD260)</f>
        <v>0</v>
      </c>
      <c r="I260" s="90">
        <f>G260+H260</f>
        <v>-2148626.63</v>
      </c>
      <c r="J260" s="163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</row>
    <row r="261" spans="1:31" x14ac:dyDescent="0.2">
      <c r="A261" s="12">
        <f t="shared" ref="A261:A263" si="225">A260+1</f>
        <v>174</v>
      </c>
      <c r="B261" s="12"/>
      <c r="C261" s="11" t="s">
        <v>334</v>
      </c>
      <c r="G261" s="118"/>
      <c r="H261" s="158"/>
      <c r="I261" s="90"/>
      <c r="J261" s="163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</row>
    <row r="262" spans="1:31" x14ac:dyDescent="0.2">
      <c r="A262" s="12">
        <f t="shared" si="225"/>
        <v>175</v>
      </c>
      <c r="B262" s="12">
        <v>409121</v>
      </c>
      <c r="C262" s="62" t="s">
        <v>332</v>
      </c>
      <c r="G262" s="118">
        <v>1032</v>
      </c>
      <c r="H262" s="158">
        <f>SUM(K262:AD262)</f>
        <v>-1032</v>
      </c>
      <c r="I262" s="90">
        <f>G262+H262</f>
        <v>0</v>
      </c>
      <c r="J262" s="163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>
        <v>-1032</v>
      </c>
      <c r="AA262" s="118"/>
      <c r="AB262" s="118"/>
      <c r="AC262" s="118"/>
      <c r="AD262" s="118"/>
      <c r="AE262" s="118"/>
    </row>
    <row r="263" spans="1:31" ht="13.5" customHeight="1" x14ac:dyDescent="0.2">
      <c r="A263" s="12">
        <f t="shared" si="225"/>
        <v>176</v>
      </c>
      <c r="B263" s="12" t="s">
        <v>335</v>
      </c>
      <c r="C263" s="11" t="s">
        <v>336</v>
      </c>
      <c r="G263" s="118">
        <f>14480357-12509709</f>
        <v>1970648</v>
      </c>
      <c r="H263" s="158">
        <f>SUM(K263:AD263)</f>
        <v>1464</v>
      </c>
      <c r="I263" s="90">
        <f>G263+H263</f>
        <v>1972112</v>
      </c>
      <c r="J263" s="163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>
        <v>1464</v>
      </c>
      <c r="AA263" s="118"/>
      <c r="AB263" s="118"/>
      <c r="AC263" s="118"/>
      <c r="AD263" s="118"/>
      <c r="AE263" s="118"/>
    </row>
    <row r="264" spans="1:31" ht="13.5" customHeight="1" x14ac:dyDescent="0.2">
      <c r="A264" s="111">
        <f>A263+1</f>
        <v>177</v>
      </c>
      <c r="B264" s="111">
        <v>411401</v>
      </c>
      <c r="C264" s="24" t="s">
        <v>337</v>
      </c>
      <c r="D264" s="24"/>
      <c r="E264" s="24"/>
      <c r="F264" s="24"/>
      <c r="G264" s="109">
        <v>-1696</v>
      </c>
      <c r="H264" s="161">
        <f>SUM(K264:AD264)</f>
        <v>0</v>
      </c>
      <c r="I264" s="89">
        <f>G264+H264</f>
        <v>-1696</v>
      </c>
      <c r="J264" s="163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</row>
    <row r="265" spans="1:31" ht="13.5" customHeight="1" x14ac:dyDescent="0.2">
      <c r="A265" s="12">
        <f>A264+1</f>
        <v>178</v>
      </c>
      <c r="B265" s="90"/>
      <c r="C265" s="11" t="s">
        <v>338</v>
      </c>
      <c r="G265" s="171">
        <f>SUM(G258:G264)</f>
        <v>919286.74310000939</v>
      </c>
      <c r="H265" s="90">
        <f>SUM(H258:H264)</f>
        <v>-293113.2899918264</v>
      </c>
      <c r="I265" s="61">
        <f>SUM(I258:I264)</f>
        <v>626173.45310818311</v>
      </c>
      <c r="J265" s="163"/>
      <c r="K265" s="90">
        <f>SUM(K258:K264)</f>
        <v>0</v>
      </c>
      <c r="L265" s="90">
        <f t="shared" ref="L265:M265" si="226">SUM(L258:L264)</f>
        <v>0</v>
      </c>
      <c r="M265" s="90">
        <f t="shared" si="226"/>
        <v>0</v>
      </c>
      <c r="N265" s="90">
        <f>SUM(N258:N264)</f>
        <v>0</v>
      </c>
      <c r="O265" s="90">
        <f t="shared" ref="O265" si="227">SUM(O258:O264)</f>
        <v>-76770.93555935529</v>
      </c>
      <c r="P265" s="90">
        <f>SUM(P258:P264)</f>
        <v>-75261.070000000007</v>
      </c>
      <c r="Q265" s="90">
        <f t="shared" ref="Q265:AD265" si="228">SUM(Q258:Q264)</f>
        <v>-64447.728032471045</v>
      </c>
      <c r="R265" s="90">
        <f t="shared" si="228"/>
        <v>187844.58</v>
      </c>
      <c r="S265" s="90">
        <f t="shared" si="228"/>
        <v>-30230.76</v>
      </c>
      <c r="T265" s="90">
        <f t="shared" si="228"/>
        <v>-142265.5773</v>
      </c>
      <c r="U265" s="90">
        <f t="shared" si="228"/>
        <v>82049.73</v>
      </c>
      <c r="V265" s="90">
        <f t="shared" si="228"/>
        <v>-200027.94</v>
      </c>
      <c r="W265" s="90">
        <f>SUM(W258:W264)</f>
        <v>-13818</v>
      </c>
      <c r="X265" s="90">
        <f t="shared" si="228"/>
        <v>-25661.099099999999</v>
      </c>
      <c r="Y265" s="90">
        <f t="shared" si="228"/>
        <v>37680.089999999997</v>
      </c>
      <c r="Z265" s="90">
        <f t="shared" si="228"/>
        <v>11100.84</v>
      </c>
      <c r="AA265" s="90">
        <f t="shared" si="228"/>
        <v>0</v>
      </c>
      <c r="AB265" s="90">
        <f t="shared" si="228"/>
        <v>16694.579999999998</v>
      </c>
      <c r="AC265" s="90">
        <f t="shared" ref="AC265" si="229">SUM(AC258:AC264)</f>
        <v>0</v>
      </c>
      <c r="AD265" s="90">
        <f t="shared" si="228"/>
        <v>0</v>
      </c>
      <c r="AE265" s="90">
        <f t="shared" ref="AE265" si="230">SUM(AE258:AE264)</f>
        <v>0</v>
      </c>
    </row>
    <row r="266" spans="1:31" x14ac:dyDescent="0.2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</row>
    <row r="267" spans="1:31" x14ac:dyDescent="0.2">
      <c r="A267" s="12">
        <f>A265+1</f>
        <v>179</v>
      </c>
      <c r="B267" s="11" t="s">
        <v>339</v>
      </c>
      <c r="G267" s="158">
        <f>SUM(G265:G266)</f>
        <v>919286.74310000939</v>
      </c>
      <c r="H267" s="158">
        <f>SUM(H265:H266)</f>
        <v>-293113.2899918264</v>
      </c>
      <c r="I267" s="158">
        <f>SUM(I265:I266)</f>
        <v>626173.45310818311</v>
      </c>
      <c r="K267" s="158">
        <f>SUM(K265:K266)</f>
        <v>0</v>
      </c>
      <c r="L267" s="158">
        <f t="shared" ref="L267:M267" si="231">SUM(L265:L266)</f>
        <v>0</v>
      </c>
      <c r="M267" s="158">
        <f t="shared" si="231"/>
        <v>0</v>
      </c>
      <c r="N267" s="158">
        <f>SUM(N265:N266)</f>
        <v>0</v>
      </c>
      <c r="O267" s="158">
        <f t="shared" ref="O267" si="232">SUM(O265:O266)</f>
        <v>-76770.93555935529</v>
      </c>
      <c r="P267" s="158">
        <f t="shared" ref="P267" si="233">SUM(P265:P266)</f>
        <v>-75261.070000000007</v>
      </c>
      <c r="Q267" s="158">
        <f t="shared" ref="Q267:AD267" si="234">SUM(Q265:Q266)</f>
        <v>-64447.728032471045</v>
      </c>
      <c r="R267" s="158">
        <f t="shared" si="234"/>
        <v>187844.58</v>
      </c>
      <c r="S267" s="158">
        <f t="shared" si="234"/>
        <v>-30230.76</v>
      </c>
      <c r="T267" s="158">
        <f t="shared" si="234"/>
        <v>-142265.5773</v>
      </c>
      <c r="U267" s="158">
        <f t="shared" si="234"/>
        <v>82049.73</v>
      </c>
      <c r="V267" s="158">
        <f t="shared" si="234"/>
        <v>-200027.94</v>
      </c>
      <c r="W267" s="158">
        <f>SUM(W265:W266)</f>
        <v>-13818</v>
      </c>
      <c r="X267" s="158">
        <f t="shared" si="234"/>
        <v>-25661.099099999999</v>
      </c>
      <c r="Y267" s="158">
        <f t="shared" si="234"/>
        <v>37680.089999999997</v>
      </c>
      <c r="Z267" s="158">
        <f t="shared" si="234"/>
        <v>11100.84</v>
      </c>
      <c r="AA267" s="158">
        <f t="shared" si="234"/>
        <v>0</v>
      </c>
      <c r="AB267" s="158">
        <f t="shared" si="234"/>
        <v>16694.579999999998</v>
      </c>
      <c r="AC267" s="158">
        <f t="shared" ref="AC267" si="235">SUM(AC265:AC266)</f>
        <v>0</v>
      </c>
      <c r="AD267" s="158">
        <f t="shared" si="234"/>
        <v>0</v>
      </c>
      <c r="AE267" s="158">
        <f t="shared" ref="AE267" si="236">SUM(AE265:AE266)</f>
        <v>0</v>
      </c>
    </row>
    <row r="268" spans="1:31" x14ac:dyDescent="0.2">
      <c r="A268" s="12"/>
      <c r="G268" s="18"/>
      <c r="I268" s="158"/>
    </row>
    <row r="269" spans="1:31" x14ac:dyDescent="0.2">
      <c r="A269" s="12">
        <f>A267+1</f>
        <v>180</v>
      </c>
      <c r="B269" s="11" t="s">
        <v>340</v>
      </c>
      <c r="G269" s="158">
        <f>G238-G243-G267</f>
        <v>6798925.6169000342</v>
      </c>
      <c r="H269" s="158">
        <f>H238-H243-H267</f>
        <v>-746336.43362414779</v>
      </c>
      <c r="I269" s="158">
        <f>I238-I243-I267</f>
        <v>6052589.183275857</v>
      </c>
      <c r="K269" s="158">
        <f>K238-K243-K267</f>
        <v>0</v>
      </c>
      <c r="L269" s="158">
        <f t="shared" ref="L269:M269" si="237">L238-L243-L267</f>
        <v>0</v>
      </c>
      <c r="M269" s="158">
        <f t="shared" si="237"/>
        <v>0</v>
      </c>
      <c r="N269" s="158">
        <f>N238-N243-N267</f>
        <v>0</v>
      </c>
      <c r="O269" s="158">
        <f t="shared" ref="O269" si="238">O238-O243-O267</f>
        <v>-288804.94805662229</v>
      </c>
      <c r="P269" s="158">
        <f>P238-P243-P267</f>
        <v>75261.070000000007</v>
      </c>
      <c r="Q269" s="158">
        <f>Q238-Q243-Q267</f>
        <v>-242446.21497929585</v>
      </c>
      <c r="R269" s="158">
        <f t="shared" ref="R269:AD269" si="239">R238-R243-R267</f>
        <v>706653.42</v>
      </c>
      <c r="S269" s="158">
        <f t="shared" si="239"/>
        <v>-113725.24</v>
      </c>
      <c r="T269" s="158">
        <f t="shared" si="239"/>
        <v>-535189.5527</v>
      </c>
      <c r="U269" s="158">
        <f t="shared" si="239"/>
        <v>308663.27</v>
      </c>
      <c r="V269" s="158">
        <f t="shared" si="239"/>
        <v>-752486.06</v>
      </c>
      <c r="W269" s="158">
        <f>W238-W243-W267</f>
        <v>-51982</v>
      </c>
      <c r="X269" s="158">
        <f t="shared" si="239"/>
        <v>-96534.6109</v>
      </c>
      <c r="Y269" s="158">
        <f t="shared" si="239"/>
        <v>141748.91</v>
      </c>
      <c r="Z269" s="158">
        <f t="shared" si="239"/>
        <v>39703.160000000003</v>
      </c>
      <c r="AA269" s="158">
        <f t="shared" si="239"/>
        <v>0</v>
      </c>
      <c r="AB269" s="158">
        <f t="shared" si="239"/>
        <v>62803.42</v>
      </c>
      <c r="AC269" s="158">
        <f t="shared" ref="AC269" si="240">AC238-AC243-AC267</f>
        <v>0</v>
      </c>
      <c r="AD269" s="158">
        <f t="shared" si="239"/>
        <v>0</v>
      </c>
      <c r="AE269" s="158">
        <f t="shared" ref="AE269" si="241">AE238-AE243-AE267</f>
        <v>0</v>
      </c>
    </row>
    <row r="270" spans="1:31" x14ac:dyDescent="0.2">
      <c r="A270" s="12"/>
      <c r="G270" s="18"/>
      <c r="I270" s="158"/>
    </row>
    <row r="271" spans="1:31" x14ac:dyDescent="0.2">
      <c r="A271" s="12">
        <f>A269+1</f>
        <v>181</v>
      </c>
      <c r="B271" s="11" t="s">
        <v>78</v>
      </c>
      <c r="G271" s="154">
        <v>0.21</v>
      </c>
      <c r="H271" s="154">
        <f>K271</f>
        <v>0.21</v>
      </c>
      <c r="I271" s="154">
        <f>G271</f>
        <v>0.21</v>
      </c>
      <c r="K271" s="154">
        <v>0.21</v>
      </c>
      <c r="L271" s="154">
        <v>0.21</v>
      </c>
      <c r="M271" s="154">
        <v>0.21</v>
      </c>
      <c r="N271" s="154">
        <v>0.21</v>
      </c>
      <c r="O271" s="154">
        <v>0.21</v>
      </c>
      <c r="P271" s="154">
        <v>0.21</v>
      </c>
      <c r="Q271" s="154">
        <v>0.21</v>
      </c>
      <c r="R271" s="154">
        <v>0.21</v>
      </c>
      <c r="S271" s="154">
        <v>0.21</v>
      </c>
      <c r="T271" s="154">
        <v>0.21</v>
      </c>
      <c r="U271" s="154">
        <v>0.21</v>
      </c>
      <c r="V271" s="154">
        <v>0.21</v>
      </c>
      <c r="W271" s="154">
        <v>0.21</v>
      </c>
      <c r="X271" s="154">
        <v>0.21</v>
      </c>
      <c r="Y271" s="154">
        <v>0.21</v>
      </c>
      <c r="Z271" s="154">
        <v>0.21</v>
      </c>
      <c r="AA271" s="154">
        <v>0.21</v>
      </c>
      <c r="AB271" s="154">
        <v>0.21</v>
      </c>
      <c r="AC271" s="154">
        <v>0.21</v>
      </c>
      <c r="AD271" s="154">
        <v>0.21</v>
      </c>
      <c r="AE271" s="154">
        <v>0.21</v>
      </c>
    </row>
    <row r="272" spans="1:31" x14ac:dyDescent="0.2">
      <c r="A272" s="12"/>
    </row>
    <row r="273" spans="1:9" x14ac:dyDescent="0.2">
      <c r="A273" s="12">
        <f>A271+1</f>
        <v>182</v>
      </c>
      <c r="B273" s="11" t="s">
        <v>54</v>
      </c>
      <c r="G273" s="76">
        <f>G269/G90</f>
        <v>5.1920015065254226E-2</v>
      </c>
      <c r="H273" s="172" t="s">
        <v>341</v>
      </c>
      <c r="I273" s="76">
        <f>I269/I90</f>
        <v>3.9771296426526069E-2</v>
      </c>
    </row>
    <row r="275" spans="1:9" x14ac:dyDescent="0.2">
      <c r="A275" s="11" t="s">
        <v>342</v>
      </c>
      <c r="G275" s="158"/>
    </row>
    <row r="276" spans="1:9" x14ac:dyDescent="0.2">
      <c r="A276" s="11" t="s">
        <v>343</v>
      </c>
      <c r="C276" s="62"/>
      <c r="G276" s="74"/>
    </row>
    <row r="277" spans="1:9" x14ac:dyDescent="0.2">
      <c r="A277" s="11" t="s">
        <v>344</v>
      </c>
      <c r="C277" s="62"/>
    </row>
    <row r="278" spans="1:9" x14ac:dyDescent="0.2">
      <c r="A278" s="11" t="s">
        <v>345</v>
      </c>
      <c r="C278" s="62"/>
    </row>
    <row r="279" spans="1:9" x14ac:dyDescent="0.2">
      <c r="C279" s="62"/>
    </row>
    <row r="280" spans="1:9" x14ac:dyDescent="0.2">
      <c r="A280" s="11" t="s">
        <v>83</v>
      </c>
      <c r="G280" s="74"/>
    </row>
    <row r="281" spans="1:9" x14ac:dyDescent="0.2">
      <c r="A281" s="11" t="s">
        <v>346</v>
      </c>
      <c r="G281" s="74"/>
    </row>
    <row r="282" spans="1:9" x14ac:dyDescent="0.2">
      <c r="G282" s="158"/>
    </row>
    <row r="283" spans="1:9" x14ac:dyDescent="0.2">
      <c r="G283" s="158"/>
    </row>
    <row r="284" spans="1:9" x14ac:dyDescent="0.2">
      <c r="G284" s="158"/>
    </row>
    <row r="285" spans="1:9" x14ac:dyDescent="0.2">
      <c r="G285" s="158"/>
    </row>
  </sheetData>
  <mergeCells count="1">
    <mergeCell ref="C249:F249"/>
  </mergeCells>
  <phoneticPr fontId="15" type="noConversion"/>
  <conditionalFormatting sqref="G197">
    <cfRule type="cellIs" dxfId="0" priority="1" operator="notEqual">
      <formula>0</formula>
    </cfRule>
  </conditionalFormatting>
  <pageMargins left="0.7" right="0.7" top="1.4357142857142857" bottom="0.75" header="0.3" footer="0.3"/>
  <pageSetup scale="69" fitToWidth="7" fitToHeight="7" pageOrder="overThenDown" orientation="landscape" cellComments="asDisplayed" useFirstPageNumber="1" r:id="rId1"/>
  <headerFooter alignWithMargins="0">
    <oddHeader>&amp;CRULE 20:10:13:98
STATEMENT O WORKPAPER - Tab &amp;A
Test Year Financials with Pro Formas
Test Year Ending December 31, 2021
Utility: MidAmerican Energy Company
Docket No. NG22-___
Individual Responsible: Amanda Hosch</oddHeader>
    <oddFooter>&amp;C20:10:13:98
Statement O Workpaper - Tab &amp;A
&amp;P of &amp;N</oddFooter>
  </headerFooter>
  <rowBreaks count="5" manualBreakCount="5">
    <brk id="47" max="16383" man="1"/>
    <brk id="91" max="16383" man="1"/>
    <brk id="130" max="16383" man="1"/>
    <brk id="174" max="16383" man="1"/>
    <brk id="253" max="16383" man="1"/>
  </rowBreaks>
  <colBreaks count="2" manualBreakCount="2">
    <brk id="11" max="1048575" man="1"/>
    <brk id="2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P75"/>
  <sheetViews>
    <sheetView view="pageLayout" zoomScaleNormal="100" workbookViewId="0"/>
  </sheetViews>
  <sheetFormatPr defaultRowHeight="12.75" x14ac:dyDescent="0.2"/>
  <cols>
    <col min="1" max="1" width="37.42578125" style="145" customWidth="1"/>
    <col min="2" max="2" width="11" style="145" customWidth="1"/>
    <col min="3" max="3" width="9.140625" style="145"/>
    <col min="4" max="4" width="11.7109375" style="145" customWidth="1"/>
    <col min="5" max="5" width="10" style="145" bestFit="1" customWidth="1"/>
    <col min="6" max="7" width="9.140625" style="145"/>
    <col min="8" max="8" width="10" style="145" bestFit="1" customWidth="1"/>
    <col min="9" max="16384" width="9.140625" style="145"/>
  </cols>
  <sheetData>
    <row r="1" spans="1:16" s="14" customFormat="1" ht="18" x14ac:dyDescent="0.25">
      <c r="A1" s="14" t="s">
        <v>615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s="14" customFormat="1" ht="18" x14ac:dyDescent="0.25">
      <c r="A2" s="14" t="s">
        <v>1041</v>
      </c>
      <c r="E2" s="145"/>
      <c r="F2" s="145"/>
      <c r="G2" s="145"/>
      <c r="H2" s="145"/>
      <c r="I2" s="145"/>
      <c r="J2" s="145"/>
    </row>
    <row r="3" spans="1:16" s="14" customFormat="1" ht="18" x14ac:dyDescent="0.25">
      <c r="A3" s="14" t="s">
        <v>1064</v>
      </c>
      <c r="E3" s="145"/>
      <c r="F3" s="145"/>
      <c r="G3" s="145"/>
      <c r="H3" s="145"/>
      <c r="I3" s="145"/>
      <c r="J3" s="145"/>
    </row>
    <row r="4" spans="1:16" s="14" customFormat="1" ht="18" x14ac:dyDescent="0.25">
      <c r="A4" s="14" t="s">
        <v>1097</v>
      </c>
      <c r="E4" s="145"/>
      <c r="F4" s="145"/>
      <c r="G4" s="145"/>
      <c r="H4" s="145"/>
      <c r="I4" s="145"/>
      <c r="J4" s="145"/>
    </row>
    <row r="5" spans="1:16" s="14" customFormat="1" ht="18" x14ac:dyDescent="0.25">
      <c r="E5" s="145"/>
      <c r="F5" s="145"/>
      <c r="G5" s="145"/>
      <c r="H5" s="145"/>
      <c r="I5" s="145"/>
      <c r="J5" s="145"/>
    </row>
    <row r="7" spans="1:16" x14ac:dyDescent="0.2">
      <c r="A7" s="147" t="s">
        <v>1065</v>
      </c>
      <c r="B7" s="148" t="s">
        <v>864</v>
      </c>
    </row>
    <row r="8" spans="1:16" x14ac:dyDescent="0.2">
      <c r="A8" s="145" t="s">
        <v>1066</v>
      </c>
      <c r="B8" s="173">
        <f>'RD-1 (SV)'!C43</f>
        <v>10</v>
      </c>
    </row>
    <row r="9" spans="1:16" x14ac:dyDescent="0.2">
      <c r="A9" s="145" t="s">
        <v>1067</v>
      </c>
      <c r="B9" s="173">
        <f>'RD-1 (SV)'!C44</f>
        <v>40</v>
      </c>
      <c r="C9" s="145" t="s">
        <v>1068</v>
      </c>
    </row>
    <row r="10" spans="1:16" x14ac:dyDescent="0.2">
      <c r="A10" s="145" t="s">
        <v>1069</v>
      </c>
      <c r="B10" s="173">
        <f>'RD-1 (SV)'!C45</f>
        <v>16</v>
      </c>
      <c r="C10" s="145" t="s">
        <v>1070</v>
      </c>
    </row>
    <row r="11" spans="1:16" x14ac:dyDescent="0.2">
      <c r="A11" s="145" t="s">
        <v>1071</v>
      </c>
      <c r="B11" s="173">
        <f>'RD-5 (INTRVL METER) '!C15</f>
        <v>35</v>
      </c>
      <c r="C11" s="145" t="s">
        <v>1068</v>
      </c>
    </row>
    <row r="12" spans="1:16" x14ac:dyDescent="0.2">
      <c r="A12" s="145" t="s">
        <v>1072</v>
      </c>
      <c r="B12" s="53">
        <f>'RD-1 (SV)'!C51</f>
        <v>0.16575000000000001</v>
      </c>
    </row>
    <row r="13" spans="1:16" x14ac:dyDescent="0.2">
      <c r="A13" s="145" t="s">
        <v>1073</v>
      </c>
      <c r="B13" s="53">
        <f>'RD-1 (SV)'!C52</f>
        <v>0.12431</v>
      </c>
    </row>
    <row r="14" spans="1:16" x14ac:dyDescent="0.2">
      <c r="B14" s="53"/>
    </row>
    <row r="15" spans="1:16" x14ac:dyDescent="0.2">
      <c r="A15" s="147" t="s">
        <v>1074</v>
      </c>
      <c r="B15" s="148" t="s">
        <v>864</v>
      </c>
    </row>
    <row r="16" spans="1:16" x14ac:dyDescent="0.2">
      <c r="A16" s="145" t="s">
        <v>1066</v>
      </c>
      <c r="B16" s="173">
        <f>'RD-1 (SV)'!C56</f>
        <v>42.5</v>
      </c>
    </row>
    <row r="17" spans="1:3" x14ac:dyDescent="0.2">
      <c r="A17" s="145" t="s">
        <v>1075</v>
      </c>
      <c r="B17" s="53">
        <f>'RD-1 (SV)'!C57</f>
        <v>6.6119999999999998E-2</v>
      </c>
    </row>
    <row r="18" spans="1:3" x14ac:dyDescent="0.2">
      <c r="A18" s="145" t="s">
        <v>1076</v>
      </c>
      <c r="B18" s="53">
        <f>'RD-1 (SV)'!C58</f>
        <v>0.12328</v>
      </c>
    </row>
    <row r="20" spans="1:3" x14ac:dyDescent="0.2">
      <c r="A20" s="147" t="s">
        <v>1077</v>
      </c>
      <c r="B20" s="148" t="s">
        <v>864</v>
      </c>
    </row>
    <row r="21" spans="1:3" x14ac:dyDescent="0.2">
      <c r="A21" s="145" t="s">
        <v>1066</v>
      </c>
      <c r="B21" s="173">
        <f>'RD-1 (SV)'!C62</f>
        <v>42.5</v>
      </c>
    </row>
    <row r="22" spans="1:3" x14ac:dyDescent="0.2">
      <c r="A22" s="145" t="s">
        <v>1071</v>
      </c>
      <c r="B22" s="173">
        <f>'RD-5 (INTRVL METER) '!C15</f>
        <v>35</v>
      </c>
    </row>
    <row r="23" spans="1:3" x14ac:dyDescent="0.2">
      <c r="A23" s="145" t="s">
        <v>1078</v>
      </c>
      <c r="B23" s="53">
        <f>'RD-1 (SV)'!C63</f>
        <v>8.4059999999999996E-2</v>
      </c>
    </row>
    <row r="25" spans="1:3" x14ac:dyDescent="0.2">
      <c r="A25" s="147" t="s">
        <v>1079</v>
      </c>
      <c r="B25" s="148" t="s">
        <v>864</v>
      </c>
    </row>
    <row r="26" spans="1:3" x14ac:dyDescent="0.2">
      <c r="A26" s="145" t="s">
        <v>1066</v>
      </c>
      <c r="B26" s="173">
        <f>'RD-2 (MV)'!C41</f>
        <v>42.5</v>
      </c>
    </row>
    <row r="27" spans="1:3" x14ac:dyDescent="0.2">
      <c r="A27" s="145" t="s">
        <v>1067</v>
      </c>
      <c r="B27" s="173">
        <f>'RD-2 (MV)'!C42</f>
        <v>40</v>
      </c>
      <c r="C27" s="145" t="s">
        <v>1080</v>
      </c>
    </row>
    <row r="28" spans="1:3" x14ac:dyDescent="0.2">
      <c r="A28" s="145" t="s">
        <v>1069</v>
      </c>
      <c r="B28" s="173">
        <f>'RD-2 (MV)'!C43</f>
        <v>16</v>
      </c>
      <c r="C28" s="145" t="s">
        <v>1081</v>
      </c>
    </row>
    <row r="29" spans="1:3" x14ac:dyDescent="0.2">
      <c r="A29" s="145" t="s">
        <v>1071</v>
      </c>
      <c r="B29" s="173">
        <f>'RD-5 (INTRVL METER) '!C15</f>
        <v>35</v>
      </c>
      <c r="C29" s="145" t="s">
        <v>1080</v>
      </c>
    </row>
    <row r="30" spans="1:3" x14ac:dyDescent="0.2">
      <c r="A30" s="145" t="s">
        <v>1082</v>
      </c>
      <c r="B30" s="53">
        <f>'RD-2 (MV)'!C46</f>
        <v>0.10253</v>
      </c>
    </row>
    <row r="32" spans="1:3" x14ac:dyDescent="0.2">
      <c r="A32" s="147" t="s">
        <v>1083</v>
      </c>
      <c r="B32" s="148" t="s">
        <v>864</v>
      </c>
    </row>
    <row r="33" spans="1:3" x14ac:dyDescent="0.2">
      <c r="A33" s="145" t="s">
        <v>1066</v>
      </c>
      <c r="B33" s="173">
        <f>'RD-3 (LV)'!C41</f>
        <v>80</v>
      </c>
    </row>
    <row r="34" spans="1:3" x14ac:dyDescent="0.2">
      <c r="A34" s="145" t="s">
        <v>1084</v>
      </c>
      <c r="B34" s="173">
        <f>'RD-3 (LV)'!C42</f>
        <v>40</v>
      </c>
      <c r="C34" s="145" t="s">
        <v>1096</v>
      </c>
    </row>
    <row r="35" spans="1:3" x14ac:dyDescent="0.2">
      <c r="A35" s="145" t="s">
        <v>1071</v>
      </c>
      <c r="B35" s="173">
        <f>'RD-5 (INTRVL METER) '!C15</f>
        <v>35</v>
      </c>
    </row>
    <row r="36" spans="1:3" x14ac:dyDescent="0.2">
      <c r="A36" s="145" t="s">
        <v>1082</v>
      </c>
      <c r="B36" s="53">
        <f>'RD-3 (LV)'!C56</f>
        <v>4.9849999999999998E-2</v>
      </c>
    </row>
    <row r="37" spans="1:3" x14ac:dyDescent="0.2">
      <c r="A37" s="145" t="s">
        <v>1085</v>
      </c>
      <c r="B37" s="173">
        <f>'RD-3 (LV)'!C51</f>
        <v>0.19</v>
      </c>
      <c r="C37" s="145" t="s">
        <v>1086</v>
      </c>
    </row>
    <row r="38" spans="1:3" x14ac:dyDescent="0.2">
      <c r="A38" s="145" t="s">
        <v>1087</v>
      </c>
      <c r="B38" s="173">
        <f>'RD-3 (LV)'!C52</f>
        <v>0.19</v>
      </c>
      <c r="C38" s="145" t="s">
        <v>1086</v>
      </c>
    </row>
    <row r="40" spans="1:3" x14ac:dyDescent="0.2">
      <c r="A40" s="147" t="s">
        <v>1088</v>
      </c>
      <c r="B40" s="148" t="s">
        <v>864</v>
      </c>
    </row>
    <row r="41" spans="1:3" x14ac:dyDescent="0.2">
      <c r="A41" s="145" t="s">
        <v>1066</v>
      </c>
      <c r="B41" s="173">
        <f>'RD-3 (LV)'!C61</f>
        <v>80</v>
      </c>
    </row>
    <row r="42" spans="1:3" x14ac:dyDescent="0.2">
      <c r="A42" s="145" t="s">
        <v>1075</v>
      </c>
      <c r="B42" s="53">
        <f>'RD-3 (LV)'!C62</f>
        <v>5.6279999999999997E-2</v>
      </c>
    </row>
    <row r="43" spans="1:3" x14ac:dyDescent="0.2">
      <c r="A43" s="145" t="s">
        <v>1076</v>
      </c>
      <c r="B43" s="53">
        <f>'RD-3 (LV)'!C63</f>
        <v>0.10664</v>
      </c>
    </row>
    <row r="45" spans="1:3" x14ac:dyDescent="0.2">
      <c r="A45" s="147" t="s">
        <v>1089</v>
      </c>
      <c r="B45" s="148" t="s">
        <v>864</v>
      </c>
    </row>
    <row r="46" spans="1:3" x14ac:dyDescent="0.2">
      <c r="A46" s="145" t="s">
        <v>1090</v>
      </c>
      <c r="B46" s="34">
        <f>'RD-4 (MTR)'!G207</f>
        <v>3</v>
      </c>
      <c r="C46" s="145" t="s">
        <v>1091</v>
      </c>
    </row>
    <row r="47" spans="1:3" x14ac:dyDescent="0.2">
      <c r="A47" s="145" t="s">
        <v>1092</v>
      </c>
      <c r="B47" s="34">
        <f>'RD-4 (MTR)'!G208</f>
        <v>15</v>
      </c>
      <c r="C47" s="145" t="s">
        <v>1091</v>
      </c>
    </row>
    <row r="48" spans="1:3" x14ac:dyDescent="0.2">
      <c r="A48" s="145" t="s">
        <v>1093</v>
      </c>
      <c r="B48" s="34">
        <f>'RD-4 (MTR)'!G209</f>
        <v>40</v>
      </c>
      <c r="C48" s="145" t="s">
        <v>1091</v>
      </c>
    </row>
    <row r="49" spans="1:3" x14ac:dyDescent="0.2">
      <c r="A49" s="145" t="s">
        <v>1094</v>
      </c>
      <c r="B49" s="34">
        <f>'RD-4 (MTR)'!G210</f>
        <v>70</v>
      </c>
      <c r="C49" s="145" t="s">
        <v>1091</v>
      </c>
    </row>
    <row r="51" spans="1:3" x14ac:dyDescent="0.2">
      <c r="A51" s="147" t="s">
        <v>1095</v>
      </c>
      <c r="B51" s="148" t="s">
        <v>864</v>
      </c>
    </row>
    <row r="52" spans="1:3" x14ac:dyDescent="0.2">
      <c r="A52" s="4">
        <v>2021</v>
      </c>
    </row>
    <row r="53" spans="1:3" x14ac:dyDescent="0.2">
      <c r="A53" s="145" t="s">
        <v>1066</v>
      </c>
      <c r="B53" s="173">
        <f>'RD-6 (NF RATE SCHEDULE)'!D11</f>
        <v>8.8863840000000014</v>
      </c>
    </row>
    <row r="54" spans="1:3" x14ac:dyDescent="0.2">
      <c r="A54" s="145" t="s">
        <v>1078</v>
      </c>
      <c r="B54" s="53">
        <f>'RD-6 (NF RATE SCHEDULE)'!D12</f>
        <v>0.32078612019999997</v>
      </c>
    </row>
    <row r="55" spans="1:3" x14ac:dyDescent="0.2">
      <c r="A55" s="4">
        <f>+A52+1</f>
        <v>2022</v>
      </c>
    </row>
    <row r="56" spans="1:3" x14ac:dyDescent="0.2">
      <c r="A56" s="145" t="s">
        <v>1066</v>
      </c>
      <c r="B56" s="173">
        <f>'RD-6 (NF RATE SCHEDULE)'!D30</f>
        <v>9.5765058670442311</v>
      </c>
    </row>
    <row r="57" spans="1:3" x14ac:dyDescent="0.2">
      <c r="A57" s="145" t="s">
        <v>1078</v>
      </c>
      <c r="B57" s="53">
        <f>'RD-6 (NF RATE SCHEDULE)'!D31</f>
        <v>0.34569856109770353</v>
      </c>
    </row>
    <row r="58" spans="1:3" x14ac:dyDescent="0.2">
      <c r="A58" s="4">
        <f>+A55+1</f>
        <v>2023</v>
      </c>
    </row>
    <row r="59" spans="1:3" x14ac:dyDescent="0.2">
      <c r="A59" s="145" t="s">
        <v>1066</v>
      </c>
      <c r="B59" s="173">
        <f>'RD-6 (NF RATE SCHEDULE)'!D49</f>
        <v>10.320223008766284</v>
      </c>
    </row>
    <row r="60" spans="1:3" x14ac:dyDescent="0.2">
      <c r="A60" s="145" t="s">
        <v>1078</v>
      </c>
      <c r="B60" s="53">
        <f>'RD-6 (NF RATE SCHEDULE)'!D50</f>
        <v>0.372545716973395</v>
      </c>
    </row>
    <row r="61" spans="1:3" x14ac:dyDescent="0.2">
      <c r="A61" s="4">
        <f t="shared" ref="A61" si="0">+A58+1</f>
        <v>2024</v>
      </c>
    </row>
    <row r="62" spans="1:3" x14ac:dyDescent="0.2">
      <c r="A62" s="145" t="s">
        <v>1066</v>
      </c>
      <c r="B62" s="173">
        <f>'RD-6 (NF RATE SCHEDULE)'!D68</f>
        <v>11.121697666076008</v>
      </c>
    </row>
    <row r="63" spans="1:3" x14ac:dyDescent="0.2">
      <c r="A63" s="145" t="s">
        <v>1078</v>
      </c>
      <c r="B63" s="53">
        <f>'RD-6 (NF RATE SCHEDULE)'!D69</f>
        <v>0.40147783894302974</v>
      </c>
    </row>
    <row r="64" spans="1:3" x14ac:dyDescent="0.2">
      <c r="A64" s="4">
        <f t="shared" ref="A64" si="1">+A61+1</f>
        <v>2025</v>
      </c>
    </row>
    <row r="65" spans="1:2" x14ac:dyDescent="0.2">
      <c r="A65" s="145" t="s">
        <v>1066</v>
      </c>
      <c r="B65" s="173">
        <f>'RD-6 (NF RATE SCHEDULE)'!D87</f>
        <v>11.985415321987999</v>
      </c>
    </row>
    <row r="66" spans="1:2" x14ac:dyDescent="0.2">
      <c r="A66" s="145" t="s">
        <v>1078</v>
      </c>
      <c r="B66" s="53">
        <f>'RD-6 (NF RATE SCHEDULE)'!D88</f>
        <v>0.43265684671359722</v>
      </c>
    </row>
    <row r="67" spans="1:2" x14ac:dyDescent="0.2">
      <c r="A67" s="4">
        <f t="shared" ref="A67" si="2">+A64+1</f>
        <v>2026</v>
      </c>
    </row>
    <row r="68" spans="1:2" x14ac:dyDescent="0.2">
      <c r="A68" s="145" t="s">
        <v>1066</v>
      </c>
      <c r="B68" s="173">
        <f>'RD-6 (NF RATE SCHEDULE)'!D106</f>
        <v>12.916209804795727</v>
      </c>
    </row>
    <row r="69" spans="1:2" x14ac:dyDescent="0.2">
      <c r="A69" s="145" t="s">
        <v>1078</v>
      </c>
      <c r="B69" s="53">
        <f>'RD-6 (NF RATE SCHEDULE)'!D107</f>
        <v>0.4662572347728412</v>
      </c>
    </row>
    <row r="70" spans="1:2" x14ac:dyDescent="0.2">
      <c r="A70" s="4">
        <f t="shared" ref="A70" si="3">+A67+1</f>
        <v>2027</v>
      </c>
    </row>
    <row r="71" spans="1:2" x14ac:dyDescent="0.2">
      <c r="A71" s="145" t="s">
        <v>1066</v>
      </c>
      <c r="B71" s="173">
        <f>'RD-6 (NF RATE SCHEDULE)'!D125</f>
        <v>13.919290340773085</v>
      </c>
    </row>
    <row r="72" spans="1:2" x14ac:dyDescent="0.2">
      <c r="A72" s="145" t="s">
        <v>1078</v>
      </c>
      <c r="B72" s="53">
        <f>'RD-6 (NF RATE SCHEDULE)'!D126</f>
        <v>0.50246704895421268</v>
      </c>
    </row>
    <row r="73" spans="1:2" x14ac:dyDescent="0.2">
      <c r="A73" s="4">
        <f t="shared" ref="A73" si="4">+A70+1</f>
        <v>2028</v>
      </c>
    </row>
    <row r="74" spans="1:2" x14ac:dyDescent="0.2">
      <c r="A74" s="145" t="s">
        <v>1066</v>
      </c>
      <c r="B74" s="173">
        <f>'RD-6 (NF RATE SCHEDULE)'!D144</f>
        <v>15.00027070780483</v>
      </c>
    </row>
    <row r="75" spans="1:2" x14ac:dyDescent="0.2">
      <c r="A75" s="145" t="s">
        <v>1078</v>
      </c>
      <c r="B75" s="53">
        <f>'RD-6 (NF RATE SCHEDULE)'!D145</f>
        <v>0.54148893884243787</v>
      </c>
    </row>
  </sheetData>
  <pageMargins left="0.7" right="0.7" top="0.75" bottom="0.75" header="0.3" footer="0.3"/>
  <pageSetup scale="52" orientation="landscape" r:id="rId1"/>
  <headerFooter>
    <oddHeader>&amp;CRULE 20:10:13:98
STATEMENT O WORKPAPER - Tab &amp;A
Rate Summary
Test Year Ending December 31, 2021
Utility: MidAmerican Energy Company
Docket No. NG22-___
Individual Responsible: Amanda Hosch</oddHeader>
    <oddFooter>&amp;C20:10:13:98
Statement O Workpapers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278"/>
  <sheetViews>
    <sheetView view="pageLayout" zoomScale="85" zoomScaleNormal="100" zoomScalePageLayoutView="85" workbookViewId="0"/>
  </sheetViews>
  <sheetFormatPr defaultColWidth="9.140625" defaultRowHeight="12.75" x14ac:dyDescent="0.2"/>
  <cols>
    <col min="1" max="1" width="5.85546875" style="11" customWidth="1"/>
    <col min="2" max="2" width="6" style="23" customWidth="1"/>
    <col min="3" max="3" width="14" style="11" customWidth="1"/>
    <col min="4" max="6" width="3.28515625" style="11" customWidth="1"/>
    <col min="7" max="7" width="37.140625" style="11" customWidth="1"/>
    <col min="8" max="8" width="18.140625" style="11" customWidth="1"/>
    <col min="9" max="9" width="17" style="11" bestFit="1" customWidth="1"/>
    <col min="10" max="10" width="16.28515625" style="11" bestFit="1" customWidth="1"/>
    <col min="11" max="11" width="15.28515625" style="11" bestFit="1" customWidth="1"/>
    <col min="12" max="12" width="16.28515625" style="11" bestFit="1" customWidth="1"/>
    <col min="13" max="13" width="15.28515625" style="11" bestFit="1" customWidth="1"/>
    <col min="14" max="14" width="14.5703125" style="11" bestFit="1" customWidth="1"/>
    <col min="15" max="16" width="14.28515625" style="11" bestFit="1" customWidth="1"/>
    <col min="17" max="18" width="15.7109375" style="11" customWidth="1"/>
    <col min="19" max="19" width="16.7109375" style="11" bestFit="1" customWidth="1"/>
    <col min="20" max="20" width="18.140625" style="11" customWidth="1"/>
    <col min="21" max="21" width="14.5703125" style="11" customWidth="1"/>
    <col min="22" max="16384" width="9.140625" style="11"/>
  </cols>
  <sheetData>
    <row r="1" spans="1:21" ht="18" x14ac:dyDescent="0.25">
      <c r="A1" s="112" t="s">
        <v>347</v>
      </c>
      <c r="B1" s="11"/>
      <c r="D1" s="23"/>
    </row>
    <row r="2" spans="1:21" x14ac:dyDescent="0.2">
      <c r="B2" s="11"/>
      <c r="D2" s="23"/>
      <c r="H2" s="13" t="s">
        <v>1</v>
      </c>
      <c r="Q2" s="88" t="s">
        <v>2</v>
      </c>
      <c r="R2" s="88" t="s">
        <v>3</v>
      </c>
    </row>
    <row r="3" spans="1:21" x14ac:dyDescent="0.2">
      <c r="A3" s="11" t="s">
        <v>10</v>
      </c>
      <c r="B3" s="23" t="s">
        <v>348</v>
      </c>
      <c r="C3" s="12"/>
      <c r="H3" s="13" t="s">
        <v>12</v>
      </c>
      <c r="I3" s="146"/>
      <c r="J3" s="146" t="s">
        <v>5</v>
      </c>
      <c r="K3" s="146" t="s">
        <v>5</v>
      </c>
      <c r="L3" s="146"/>
      <c r="M3" s="146"/>
      <c r="N3" s="146"/>
      <c r="O3" s="146" t="s">
        <v>6</v>
      </c>
      <c r="P3" s="146" t="s">
        <v>7</v>
      </c>
      <c r="Q3" s="146" t="s">
        <v>8</v>
      </c>
      <c r="R3" s="146" t="s">
        <v>8</v>
      </c>
      <c r="S3" s="146" t="s">
        <v>9</v>
      </c>
      <c r="T3" s="13"/>
      <c r="U3" s="13"/>
    </row>
    <row r="4" spans="1:21" x14ac:dyDescent="0.2">
      <c r="A4" s="24" t="s">
        <v>1098</v>
      </c>
      <c r="B4" s="28" t="s">
        <v>349</v>
      </c>
      <c r="C4" s="111" t="s">
        <v>133</v>
      </c>
      <c r="D4" s="24" t="s">
        <v>11</v>
      </c>
      <c r="E4" s="24"/>
      <c r="F4" s="24"/>
      <c r="G4" s="24"/>
      <c r="H4" s="311" t="s">
        <v>4</v>
      </c>
      <c r="I4" s="148" t="s">
        <v>13</v>
      </c>
      <c r="J4" s="148" t="s">
        <v>14</v>
      </c>
      <c r="K4" s="148" t="s">
        <v>15</v>
      </c>
      <c r="L4" s="148" t="s">
        <v>16</v>
      </c>
      <c r="M4" s="148" t="s">
        <v>17</v>
      </c>
      <c r="N4" s="148" t="s">
        <v>18</v>
      </c>
      <c r="O4" s="148" t="s">
        <v>17</v>
      </c>
      <c r="P4" s="148" t="s">
        <v>19</v>
      </c>
      <c r="Q4" s="148" t="s">
        <v>20</v>
      </c>
      <c r="R4" s="148" t="s">
        <v>20</v>
      </c>
      <c r="S4" s="148" t="s">
        <v>21</v>
      </c>
      <c r="T4" s="311" t="s">
        <v>22</v>
      </c>
      <c r="U4" s="22"/>
    </row>
    <row r="5" spans="1:21" x14ac:dyDescent="0.2">
      <c r="B5" s="23" t="s">
        <v>24</v>
      </c>
      <c r="C5" s="23" t="s">
        <v>25</v>
      </c>
      <c r="D5" s="23" t="s">
        <v>26</v>
      </c>
      <c r="E5" s="23" t="s">
        <v>27</v>
      </c>
      <c r="F5" s="23" t="s">
        <v>28</v>
      </c>
      <c r="G5" s="23"/>
      <c r="H5" s="23" t="s">
        <v>29</v>
      </c>
      <c r="I5" s="23" t="s">
        <v>30</v>
      </c>
      <c r="J5" s="23" t="s">
        <v>31</v>
      </c>
      <c r="K5" s="23" t="s">
        <v>32</v>
      </c>
      <c r="L5" s="23" t="s">
        <v>33</v>
      </c>
      <c r="M5" s="23" t="s">
        <v>34</v>
      </c>
      <c r="N5" s="23" t="s">
        <v>35</v>
      </c>
      <c r="O5" s="23" t="s">
        <v>36</v>
      </c>
      <c r="P5" s="23" t="s">
        <v>37</v>
      </c>
      <c r="Q5" s="23" t="s">
        <v>38</v>
      </c>
      <c r="R5" s="23" t="s">
        <v>152</v>
      </c>
      <c r="S5" s="23" t="s">
        <v>153</v>
      </c>
      <c r="T5" s="107" t="s">
        <v>154</v>
      </c>
    </row>
    <row r="6" spans="1:21" x14ac:dyDescent="0.2">
      <c r="B6" s="11"/>
      <c r="D6" s="23"/>
    </row>
    <row r="7" spans="1:21" ht="18" x14ac:dyDescent="0.25">
      <c r="A7" s="10" t="s">
        <v>350</v>
      </c>
      <c r="B7" s="11"/>
      <c r="C7" s="10"/>
    </row>
    <row r="8" spans="1:21" x14ac:dyDescent="0.2">
      <c r="C8" s="12"/>
    </row>
    <row r="9" spans="1:21" x14ac:dyDescent="0.2">
      <c r="C9" s="23"/>
      <c r="D9" s="12" t="s">
        <v>166</v>
      </c>
    </row>
    <row r="10" spans="1:21" x14ac:dyDescent="0.2">
      <c r="A10" s="12">
        <v>1</v>
      </c>
      <c r="B10" s="23">
        <v>1.1000000000000001</v>
      </c>
      <c r="C10" s="159">
        <v>304</v>
      </c>
      <c r="D10" s="12"/>
      <c r="E10" s="11" t="s">
        <v>167</v>
      </c>
      <c r="H10" s="2">
        <f>'FUN-2 (Test Year)'!$I$13</f>
        <v>0</v>
      </c>
      <c r="I10" s="2">
        <f t="shared" ref="I10:I15" si="0">INDEX(AlocTable,MATCH($B10,AlocList),3)*$H10</f>
        <v>0</v>
      </c>
      <c r="J10" s="2">
        <f t="shared" ref="J10:J15" si="1">INDEX(AlocTable,MATCH($B10,AlocList),4)*$H10</f>
        <v>0</v>
      </c>
      <c r="K10" s="2">
        <f t="shared" ref="K10:K15" si="2">INDEX(AlocTable,MATCH($B10,AlocList),5)*$H10</f>
        <v>0</v>
      </c>
      <c r="L10" s="2">
        <f t="shared" ref="L10:L15" si="3">INDEX(AlocTable,MATCH($B10,AlocList),6)*$H10</f>
        <v>0</v>
      </c>
      <c r="M10" s="2">
        <f t="shared" ref="M10:M15" si="4">INDEX(AlocTable,MATCH($B10,AlocList),7)*$H10</f>
        <v>0</v>
      </c>
      <c r="N10" s="2">
        <f t="shared" ref="N10:N15" si="5">INDEX(AlocTable,MATCH($B10,AlocList),8)*$H10</f>
        <v>0</v>
      </c>
      <c r="O10" s="2">
        <f t="shared" ref="O10:O15" si="6">INDEX(AlocTable,MATCH($B10,AlocList),9)*$H10</f>
        <v>0</v>
      </c>
      <c r="P10" s="2">
        <f t="shared" ref="P10:P15" si="7">INDEX(AlocTable,MATCH($B10,AlocList),10)*$H10</f>
        <v>0</v>
      </c>
      <c r="Q10" s="2">
        <f t="shared" ref="Q10:Q15" si="8">INDEX(AlocTable,MATCH($B10,AlocList),11)*$H10</f>
        <v>0</v>
      </c>
      <c r="R10" s="2">
        <f t="shared" ref="R10:R15" si="9">INDEX(AlocTable,MATCH($B10,AlocList),12)*$H10</f>
        <v>0</v>
      </c>
      <c r="S10" s="2">
        <f t="shared" ref="S10:S15" si="10">INDEX(AlocTable,MATCH($B10,AlocList),13)*$H10</f>
        <v>0</v>
      </c>
      <c r="T10" s="158">
        <f>SUM(I10:S10)-H10</f>
        <v>0</v>
      </c>
    </row>
    <row r="11" spans="1:21" x14ac:dyDescent="0.2">
      <c r="A11" s="12">
        <f>+A10+1</f>
        <v>2</v>
      </c>
      <c r="B11" s="23">
        <v>1.1000000000000001</v>
      </c>
      <c r="C11" s="159">
        <v>305</v>
      </c>
      <c r="D11" s="12"/>
      <c r="E11" s="11" t="s">
        <v>168</v>
      </c>
      <c r="H11" s="2">
        <f>'FUN-2 (Test Year)'!I14</f>
        <v>0</v>
      </c>
      <c r="I11" s="2">
        <f t="shared" si="0"/>
        <v>0</v>
      </c>
      <c r="J11" s="2">
        <f t="shared" si="1"/>
        <v>0</v>
      </c>
      <c r="K11" s="2">
        <f t="shared" si="2"/>
        <v>0</v>
      </c>
      <c r="L11" s="2">
        <f t="shared" si="3"/>
        <v>0</v>
      </c>
      <c r="M11" s="2">
        <f t="shared" si="4"/>
        <v>0</v>
      </c>
      <c r="N11" s="2">
        <f t="shared" si="5"/>
        <v>0</v>
      </c>
      <c r="O11" s="2">
        <f t="shared" si="6"/>
        <v>0</v>
      </c>
      <c r="P11" s="2">
        <f t="shared" si="7"/>
        <v>0</v>
      </c>
      <c r="Q11" s="2">
        <f t="shared" si="8"/>
        <v>0</v>
      </c>
      <c r="R11" s="2">
        <f t="shared" si="9"/>
        <v>0</v>
      </c>
      <c r="S11" s="2">
        <f t="shared" si="10"/>
        <v>0</v>
      </c>
      <c r="T11" s="158">
        <f t="shared" ref="T11:T16" si="11">SUM(I11:S11)-H11</f>
        <v>0</v>
      </c>
    </row>
    <row r="12" spans="1:21" x14ac:dyDescent="0.2">
      <c r="A12" s="12">
        <f>+A11+1</f>
        <v>3</v>
      </c>
      <c r="B12" s="23">
        <v>1.1000000000000001</v>
      </c>
      <c r="C12" s="159">
        <v>306</v>
      </c>
      <c r="D12" s="12"/>
      <c r="E12" s="11" t="s">
        <v>169</v>
      </c>
      <c r="H12" s="2">
        <f>'FUN-2 (Test Year)'!I15</f>
        <v>0</v>
      </c>
      <c r="I12" s="2">
        <f t="shared" si="0"/>
        <v>0</v>
      </c>
      <c r="J12" s="2">
        <f t="shared" si="1"/>
        <v>0</v>
      </c>
      <c r="K12" s="2">
        <f t="shared" si="2"/>
        <v>0</v>
      </c>
      <c r="L12" s="2">
        <f t="shared" si="3"/>
        <v>0</v>
      </c>
      <c r="M12" s="2">
        <f t="shared" si="4"/>
        <v>0</v>
      </c>
      <c r="N12" s="2">
        <f t="shared" si="5"/>
        <v>0</v>
      </c>
      <c r="O12" s="2">
        <f t="shared" si="6"/>
        <v>0</v>
      </c>
      <c r="P12" s="2">
        <f t="shared" si="7"/>
        <v>0</v>
      </c>
      <c r="Q12" s="2">
        <f t="shared" si="8"/>
        <v>0</v>
      </c>
      <c r="R12" s="2">
        <f t="shared" si="9"/>
        <v>0</v>
      </c>
      <c r="S12" s="2">
        <f t="shared" si="10"/>
        <v>0</v>
      </c>
      <c r="T12" s="158">
        <f t="shared" ref="T12:T13" si="12">SUM(I12:S12)-H12</f>
        <v>0</v>
      </c>
    </row>
    <row r="13" spans="1:21" x14ac:dyDescent="0.2">
      <c r="A13" s="12">
        <f>+A12+1</f>
        <v>4</v>
      </c>
      <c r="B13" s="23">
        <v>1.1000000000000001</v>
      </c>
      <c r="C13" s="159">
        <v>307</v>
      </c>
      <c r="D13" s="12"/>
      <c r="E13" s="11" t="s">
        <v>170</v>
      </c>
      <c r="H13" s="2">
        <f>'FUN-2 (Test Year)'!I16</f>
        <v>0</v>
      </c>
      <c r="I13" s="2">
        <f t="shared" si="0"/>
        <v>0</v>
      </c>
      <c r="J13" s="2">
        <f t="shared" si="1"/>
        <v>0</v>
      </c>
      <c r="K13" s="2">
        <f t="shared" si="2"/>
        <v>0</v>
      </c>
      <c r="L13" s="2">
        <f t="shared" si="3"/>
        <v>0</v>
      </c>
      <c r="M13" s="2">
        <f t="shared" si="4"/>
        <v>0</v>
      </c>
      <c r="N13" s="2">
        <f t="shared" si="5"/>
        <v>0</v>
      </c>
      <c r="O13" s="2">
        <f t="shared" si="6"/>
        <v>0</v>
      </c>
      <c r="P13" s="2">
        <f t="shared" si="7"/>
        <v>0</v>
      </c>
      <c r="Q13" s="2">
        <f t="shared" si="8"/>
        <v>0</v>
      </c>
      <c r="R13" s="2">
        <f t="shared" si="9"/>
        <v>0</v>
      </c>
      <c r="S13" s="2">
        <f t="shared" si="10"/>
        <v>0</v>
      </c>
      <c r="T13" s="158">
        <f t="shared" si="12"/>
        <v>0</v>
      </c>
    </row>
    <row r="14" spans="1:21" x14ac:dyDescent="0.2">
      <c r="A14" s="12">
        <f t="shared" ref="A14:A16" si="13">+A13+1</f>
        <v>5</v>
      </c>
      <c r="B14" s="23">
        <v>1.1000000000000001</v>
      </c>
      <c r="C14" s="159">
        <v>311</v>
      </c>
      <c r="D14" s="12"/>
      <c r="E14" s="11" t="s">
        <v>171</v>
      </c>
      <c r="H14" s="2">
        <f>'FUN-2 (Test Year)'!I17</f>
        <v>0</v>
      </c>
      <c r="I14" s="2">
        <f t="shared" si="0"/>
        <v>0</v>
      </c>
      <c r="J14" s="2">
        <f t="shared" si="1"/>
        <v>0</v>
      </c>
      <c r="K14" s="2">
        <f t="shared" si="2"/>
        <v>0</v>
      </c>
      <c r="L14" s="2">
        <f t="shared" si="3"/>
        <v>0</v>
      </c>
      <c r="M14" s="2">
        <f t="shared" si="4"/>
        <v>0</v>
      </c>
      <c r="N14" s="2">
        <f t="shared" si="5"/>
        <v>0</v>
      </c>
      <c r="O14" s="2">
        <f t="shared" si="6"/>
        <v>0</v>
      </c>
      <c r="P14" s="2">
        <f t="shared" si="7"/>
        <v>0</v>
      </c>
      <c r="Q14" s="2">
        <f t="shared" si="8"/>
        <v>0</v>
      </c>
      <c r="R14" s="2">
        <f t="shared" si="9"/>
        <v>0</v>
      </c>
      <c r="S14" s="2">
        <f t="shared" si="10"/>
        <v>0</v>
      </c>
      <c r="T14" s="158">
        <f t="shared" si="11"/>
        <v>0</v>
      </c>
    </row>
    <row r="15" spans="1:21" x14ac:dyDescent="0.2">
      <c r="A15" s="111">
        <f t="shared" si="13"/>
        <v>6</v>
      </c>
      <c r="B15" s="28">
        <v>1.1000000000000001</v>
      </c>
      <c r="C15" s="60">
        <v>320</v>
      </c>
      <c r="D15" s="111"/>
      <c r="E15" s="24" t="s">
        <v>172</v>
      </c>
      <c r="F15" s="24"/>
      <c r="G15" s="24"/>
      <c r="H15" s="36">
        <f>'FUN-2 (Test Year)'!I18</f>
        <v>0</v>
      </c>
      <c r="I15" s="36">
        <f t="shared" si="0"/>
        <v>0</v>
      </c>
      <c r="J15" s="36">
        <f t="shared" si="1"/>
        <v>0</v>
      </c>
      <c r="K15" s="36">
        <f t="shared" si="2"/>
        <v>0</v>
      </c>
      <c r="L15" s="36">
        <f t="shared" si="3"/>
        <v>0</v>
      </c>
      <c r="M15" s="36">
        <f t="shared" si="4"/>
        <v>0</v>
      </c>
      <c r="N15" s="36">
        <f t="shared" si="5"/>
        <v>0</v>
      </c>
      <c r="O15" s="36">
        <f t="shared" si="6"/>
        <v>0</v>
      </c>
      <c r="P15" s="36">
        <f t="shared" si="7"/>
        <v>0</v>
      </c>
      <c r="Q15" s="36">
        <f t="shared" si="8"/>
        <v>0</v>
      </c>
      <c r="R15" s="36">
        <f t="shared" si="9"/>
        <v>0</v>
      </c>
      <c r="S15" s="36">
        <f t="shared" si="10"/>
        <v>0</v>
      </c>
      <c r="T15" s="161">
        <f t="shared" si="11"/>
        <v>0</v>
      </c>
    </row>
    <row r="16" spans="1:21" x14ac:dyDescent="0.2">
      <c r="A16" s="12">
        <f t="shared" si="13"/>
        <v>7</v>
      </c>
      <c r="C16" s="12" t="s">
        <v>351</v>
      </c>
      <c r="D16" s="12" t="s">
        <v>352</v>
      </c>
      <c r="H16" s="2">
        <f t="shared" ref="H16:P16" si="14">SUM(H10:H15)</f>
        <v>0</v>
      </c>
      <c r="I16" s="2">
        <f t="shared" si="14"/>
        <v>0</v>
      </c>
      <c r="J16" s="2">
        <f t="shared" si="14"/>
        <v>0</v>
      </c>
      <c r="K16" s="2">
        <f t="shared" si="14"/>
        <v>0</v>
      </c>
      <c r="L16" s="2">
        <f t="shared" si="14"/>
        <v>0</v>
      </c>
      <c r="M16" s="2">
        <f t="shared" si="14"/>
        <v>0</v>
      </c>
      <c r="N16" s="2">
        <f t="shared" si="14"/>
        <v>0</v>
      </c>
      <c r="O16" s="2">
        <f t="shared" si="14"/>
        <v>0</v>
      </c>
      <c r="P16" s="2">
        <f t="shared" si="14"/>
        <v>0</v>
      </c>
      <c r="Q16" s="2">
        <f t="shared" ref="Q16:S16" si="15">SUM(Q10:Q15)</f>
        <v>0</v>
      </c>
      <c r="R16" s="2">
        <f t="shared" si="15"/>
        <v>0</v>
      </c>
      <c r="S16" s="2">
        <f t="shared" si="15"/>
        <v>0</v>
      </c>
      <c r="T16" s="158">
        <f t="shared" si="11"/>
        <v>0</v>
      </c>
    </row>
    <row r="17" spans="1:20" x14ac:dyDescent="0.2">
      <c r="A17" s="12"/>
      <c r="C17" s="12"/>
      <c r="H17" s="2"/>
      <c r="T17" s="158"/>
    </row>
    <row r="18" spans="1:20" x14ac:dyDescent="0.2">
      <c r="A18" s="12"/>
      <c r="C18" s="12"/>
      <c r="D18" s="11" t="s">
        <v>213</v>
      </c>
      <c r="H18" s="2"/>
      <c r="T18" s="158"/>
    </row>
    <row r="19" spans="1:20" x14ac:dyDescent="0.2">
      <c r="A19" s="12">
        <f>+A16+1</f>
        <v>8</v>
      </c>
      <c r="B19" s="23">
        <v>1.1000000000000001</v>
      </c>
      <c r="C19" s="12">
        <v>360</v>
      </c>
      <c r="E19" s="11" t="s">
        <v>167</v>
      </c>
      <c r="H19" s="2">
        <f>'FUN-2 (Test Year)'!I22</f>
        <v>25944.880000000001</v>
      </c>
      <c r="I19" s="2">
        <f t="shared" ref="I19:I27" si="16">INDEX(AlocTable,MATCH($B19,AlocList),3)*$H19</f>
        <v>25944.880000000001</v>
      </c>
      <c r="J19" s="2">
        <f t="shared" ref="J19:J27" si="17">INDEX(AlocTable,MATCH($B19,AlocList),4)*$H19</f>
        <v>0</v>
      </c>
      <c r="K19" s="2">
        <f t="shared" ref="K19:K27" si="18">INDEX(AlocTable,MATCH($B19,AlocList),5)*$H19</f>
        <v>0</v>
      </c>
      <c r="L19" s="2">
        <f t="shared" ref="L19:L27" si="19">INDEX(AlocTable,MATCH($B19,AlocList),6)*$H19</f>
        <v>0</v>
      </c>
      <c r="M19" s="2">
        <f t="shared" ref="M19:M27" si="20">INDEX(AlocTable,MATCH($B19,AlocList),7)*$H19</f>
        <v>0</v>
      </c>
      <c r="N19" s="2">
        <f t="shared" ref="N19:N27" si="21">INDEX(AlocTable,MATCH($B19,AlocList),8)*$H19</f>
        <v>0</v>
      </c>
      <c r="O19" s="2">
        <f t="shared" ref="O19:O27" si="22">INDEX(AlocTable,MATCH($B19,AlocList),9)*$H19</f>
        <v>0</v>
      </c>
      <c r="P19" s="2">
        <f t="shared" ref="P19:P27" si="23">INDEX(AlocTable,MATCH($B19,AlocList),10)*$H19</f>
        <v>0</v>
      </c>
      <c r="Q19" s="2">
        <f t="shared" ref="Q19:Q27" si="24">INDEX(AlocTable,MATCH($B19,AlocList),11)*$H19</f>
        <v>0</v>
      </c>
      <c r="R19" s="2">
        <f t="shared" ref="R19:R27" si="25">INDEX(AlocTable,MATCH($B19,AlocList),12)*$H19</f>
        <v>0</v>
      </c>
      <c r="S19" s="2">
        <f t="shared" ref="S19:S27" si="26">INDEX(AlocTable,MATCH($B19,AlocList),13)*$H19</f>
        <v>0</v>
      </c>
      <c r="T19" s="158">
        <f t="shared" ref="T19:T26" si="27">SUM(I19:S19)-H19</f>
        <v>0</v>
      </c>
    </row>
    <row r="20" spans="1:20" x14ac:dyDescent="0.2">
      <c r="A20" s="12">
        <f>+A19+1</f>
        <v>9</v>
      </c>
      <c r="B20" s="23">
        <v>1.1000000000000001</v>
      </c>
      <c r="C20" s="12">
        <v>361</v>
      </c>
      <c r="E20" s="11" t="s">
        <v>168</v>
      </c>
      <c r="H20" s="2">
        <f>'FUN-2 (Test Year)'!I23</f>
        <v>898267.46</v>
      </c>
      <c r="I20" s="2">
        <f t="shared" si="16"/>
        <v>898267.46</v>
      </c>
      <c r="J20" s="2">
        <f t="shared" si="17"/>
        <v>0</v>
      </c>
      <c r="K20" s="2">
        <f t="shared" si="18"/>
        <v>0</v>
      </c>
      <c r="L20" s="2">
        <f t="shared" si="19"/>
        <v>0</v>
      </c>
      <c r="M20" s="2">
        <f t="shared" si="20"/>
        <v>0</v>
      </c>
      <c r="N20" s="2">
        <f t="shared" si="21"/>
        <v>0</v>
      </c>
      <c r="O20" s="2">
        <f t="shared" si="22"/>
        <v>0</v>
      </c>
      <c r="P20" s="2">
        <f t="shared" si="23"/>
        <v>0</v>
      </c>
      <c r="Q20" s="2">
        <f t="shared" si="24"/>
        <v>0</v>
      </c>
      <c r="R20" s="2">
        <f t="shared" si="25"/>
        <v>0</v>
      </c>
      <c r="S20" s="2">
        <f t="shared" si="26"/>
        <v>0</v>
      </c>
      <c r="T20" s="158">
        <f t="shared" si="27"/>
        <v>0</v>
      </c>
    </row>
    <row r="21" spans="1:20" x14ac:dyDescent="0.2">
      <c r="A21" s="12">
        <f t="shared" ref="A21:A28" si="28">+A20+1</f>
        <v>10</v>
      </c>
      <c r="B21" s="23">
        <v>1.1000000000000001</v>
      </c>
      <c r="C21" s="12">
        <v>362</v>
      </c>
      <c r="E21" s="11" t="s">
        <v>175</v>
      </c>
      <c r="H21" s="2">
        <f>'FUN-2 (Test Year)'!I24</f>
        <v>1289057.1900000002</v>
      </c>
      <c r="I21" s="2">
        <f t="shared" si="16"/>
        <v>1289057.1900000002</v>
      </c>
      <c r="J21" s="2">
        <f t="shared" si="17"/>
        <v>0</v>
      </c>
      <c r="K21" s="2">
        <f t="shared" si="18"/>
        <v>0</v>
      </c>
      <c r="L21" s="2">
        <f t="shared" si="19"/>
        <v>0</v>
      </c>
      <c r="M21" s="2">
        <f t="shared" si="20"/>
        <v>0</v>
      </c>
      <c r="N21" s="2">
        <f t="shared" si="21"/>
        <v>0</v>
      </c>
      <c r="O21" s="2">
        <f t="shared" si="22"/>
        <v>0</v>
      </c>
      <c r="P21" s="2">
        <f t="shared" si="23"/>
        <v>0</v>
      </c>
      <c r="Q21" s="2">
        <f t="shared" si="24"/>
        <v>0</v>
      </c>
      <c r="R21" s="2">
        <f t="shared" si="25"/>
        <v>0</v>
      </c>
      <c r="S21" s="2">
        <f t="shared" si="26"/>
        <v>0</v>
      </c>
      <c r="T21" s="158">
        <f t="shared" si="27"/>
        <v>0</v>
      </c>
    </row>
    <row r="22" spans="1:20" x14ac:dyDescent="0.2">
      <c r="A22" s="12">
        <f t="shared" si="28"/>
        <v>11</v>
      </c>
      <c r="B22" s="23">
        <v>1.1000000000000001</v>
      </c>
      <c r="C22" s="12">
        <v>363</v>
      </c>
      <c r="E22" s="11" t="s">
        <v>176</v>
      </c>
      <c r="H22" s="2">
        <f>'FUN-2 (Test Year)'!I25</f>
        <v>398213.09</v>
      </c>
      <c r="I22" s="2">
        <f t="shared" si="16"/>
        <v>398213.09</v>
      </c>
      <c r="J22" s="2">
        <f t="shared" si="17"/>
        <v>0</v>
      </c>
      <c r="K22" s="2">
        <f t="shared" si="18"/>
        <v>0</v>
      </c>
      <c r="L22" s="2">
        <f t="shared" si="19"/>
        <v>0</v>
      </c>
      <c r="M22" s="2">
        <f t="shared" si="20"/>
        <v>0</v>
      </c>
      <c r="N22" s="2">
        <f t="shared" si="21"/>
        <v>0</v>
      </c>
      <c r="O22" s="2">
        <f t="shared" si="22"/>
        <v>0</v>
      </c>
      <c r="P22" s="2">
        <f t="shared" si="23"/>
        <v>0</v>
      </c>
      <c r="Q22" s="2">
        <f t="shared" si="24"/>
        <v>0</v>
      </c>
      <c r="R22" s="2">
        <f t="shared" si="25"/>
        <v>0</v>
      </c>
      <c r="S22" s="2">
        <f t="shared" si="26"/>
        <v>0</v>
      </c>
      <c r="T22" s="158">
        <f t="shared" si="27"/>
        <v>0</v>
      </c>
    </row>
    <row r="23" spans="1:20" x14ac:dyDescent="0.2">
      <c r="A23" s="12">
        <f t="shared" si="28"/>
        <v>12</v>
      </c>
      <c r="B23" s="23">
        <v>1.1000000000000001</v>
      </c>
      <c r="C23" s="12">
        <v>363.1</v>
      </c>
      <c r="E23" s="11" t="s">
        <v>248</v>
      </c>
      <c r="H23" s="2">
        <f>'FUN-2 (Test Year)'!I26</f>
        <v>776170</v>
      </c>
      <c r="I23" s="2">
        <f t="shared" si="16"/>
        <v>776170</v>
      </c>
      <c r="J23" s="2">
        <f t="shared" si="17"/>
        <v>0</v>
      </c>
      <c r="K23" s="2">
        <f t="shared" si="18"/>
        <v>0</v>
      </c>
      <c r="L23" s="2">
        <f t="shared" si="19"/>
        <v>0</v>
      </c>
      <c r="M23" s="2">
        <f t="shared" si="20"/>
        <v>0</v>
      </c>
      <c r="N23" s="2">
        <f t="shared" si="21"/>
        <v>0</v>
      </c>
      <c r="O23" s="2">
        <f t="shared" si="22"/>
        <v>0</v>
      </c>
      <c r="P23" s="2">
        <f t="shared" si="23"/>
        <v>0</v>
      </c>
      <c r="Q23" s="2">
        <f t="shared" si="24"/>
        <v>0</v>
      </c>
      <c r="R23" s="2">
        <f t="shared" si="25"/>
        <v>0</v>
      </c>
      <c r="S23" s="2">
        <f t="shared" si="26"/>
        <v>0</v>
      </c>
      <c r="T23" s="158">
        <f t="shared" si="27"/>
        <v>0</v>
      </c>
    </row>
    <row r="24" spans="1:20" x14ac:dyDescent="0.2">
      <c r="A24" s="12">
        <f t="shared" si="28"/>
        <v>13</v>
      </c>
      <c r="B24" s="23">
        <v>1.1000000000000001</v>
      </c>
      <c r="C24" s="12">
        <v>363.2</v>
      </c>
      <c r="E24" s="11" t="s">
        <v>178</v>
      </c>
      <c r="H24" s="2">
        <f>'FUN-2 (Test Year)'!I27</f>
        <v>261336.01</v>
      </c>
      <c r="I24" s="2">
        <f t="shared" si="16"/>
        <v>261336.01</v>
      </c>
      <c r="J24" s="2">
        <f t="shared" si="17"/>
        <v>0</v>
      </c>
      <c r="K24" s="2">
        <f t="shared" si="18"/>
        <v>0</v>
      </c>
      <c r="L24" s="2">
        <f t="shared" si="19"/>
        <v>0</v>
      </c>
      <c r="M24" s="2">
        <f t="shared" si="20"/>
        <v>0</v>
      </c>
      <c r="N24" s="2">
        <f t="shared" si="21"/>
        <v>0</v>
      </c>
      <c r="O24" s="2">
        <f t="shared" si="22"/>
        <v>0</v>
      </c>
      <c r="P24" s="2">
        <f t="shared" si="23"/>
        <v>0</v>
      </c>
      <c r="Q24" s="2">
        <f t="shared" si="24"/>
        <v>0</v>
      </c>
      <c r="R24" s="2">
        <f t="shared" si="25"/>
        <v>0</v>
      </c>
      <c r="S24" s="2">
        <f t="shared" si="26"/>
        <v>0</v>
      </c>
      <c r="T24" s="158">
        <f t="shared" si="27"/>
        <v>0</v>
      </c>
    </row>
    <row r="25" spans="1:20" x14ac:dyDescent="0.2">
      <c r="A25" s="12">
        <f t="shared" si="28"/>
        <v>14</v>
      </c>
      <c r="B25" s="23">
        <v>1.1000000000000001</v>
      </c>
      <c r="C25" s="12">
        <v>363.3</v>
      </c>
      <c r="E25" s="11" t="s">
        <v>249</v>
      </c>
      <c r="H25" s="2">
        <f>'FUN-2 (Test Year)'!I28</f>
        <v>322441.24000000005</v>
      </c>
      <c r="I25" s="2">
        <f t="shared" si="16"/>
        <v>322441.24000000005</v>
      </c>
      <c r="J25" s="2">
        <f t="shared" si="17"/>
        <v>0</v>
      </c>
      <c r="K25" s="2">
        <f t="shared" si="18"/>
        <v>0</v>
      </c>
      <c r="L25" s="2">
        <f t="shared" si="19"/>
        <v>0</v>
      </c>
      <c r="M25" s="2">
        <f t="shared" si="20"/>
        <v>0</v>
      </c>
      <c r="N25" s="2">
        <f t="shared" si="21"/>
        <v>0</v>
      </c>
      <c r="O25" s="2">
        <f t="shared" si="22"/>
        <v>0</v>
      </c>
      <c r="P25" s="2">
        <f t="shared" si="23"/>
        <v>0</v>
      </c>
      <c r="Q25" s="2">
        <f t="shared" si="24"/>
        <v>0</v>
      </c>
      <c r="R25" s="2">
        <f t="shared" si="25"/>
        <v>0</v>
      </c>
      <c r="S25" s="2">
        <f t="shared" si="26"/>
        <v>0</v>
      </c>
      <c r="T25" s="158">
        <f t="shared" si="27"/>
        <v>0</v>
      </c>
    </row>
    <row r="26" spans="1:20" x14ac:dyDescent="0.2">
      <c r="A26" s="12">
        <f t="shared" si="28"/>
        <v>15</v>
      </c>
      <c r="B26" s="23">
        <v>1.1000000000000001</v>
      </c>
      <c r="C26" s="12">
        <v>363.4</v>
      </c>
      <c r="E26" s="11" t="s">
        <v>180</v>
      </c>
      <c r="H26" s="2">
        <f>'FUN-2 (Test Year)'!I29</f>
        <v>0</v>
      </c>
      <c r="I26" s="2">
        <f t="shared" si="16"/>
        <v>0</v>
      </c>
      <c r="J26" s="2">
        <f t="shared" si="17"/>
        <v>0</v>
      </c>
      <c r="K26" s="2">
        <f t="shared" si="18"/>
        <v>0</v>
      </c>
      <c r="L26" s="2">
        <f t="shared" si="19"/>
        <v>0</v>
      </c>
      <c r="M26" s="2">
        <f t="shared" si="20"/>
        <v>0</v>
      </c>
      <c r="N26" s="2">
        <f t="shared" si="21"/>
        <v>0</v>
      </c>
      <c r="O26" s="2">
        <f t="shared" si="22"/>
        <v>0</v>
      </c>
      <c r="P26" s="2">
        <f t="shared" si="23"/>
        <v>0</v>
      </c>
      <c r="Q26" s="2">
        <f t="shared" si="24"/>
        <v>0</v>
      </c>
      <c r="R26" s="2">
        <f t="shared" si="25"/>
        <v>0</v>
      </c>
      <c r="S26" s="2">
        <f t="shared" si="26"/>
        <v>0</v>
      </c>
      <c r="T26" s="158">
        <f t="shared" si="27"/>
        <v>0</v>
      </c>
    </row>
    <row r="27" spans="1:20" x14ac:dyDescent="0.2">
      <c r="A27" s="111">
        <f t="shared" si="28"/>
        <v>16</v>
      </c>
      <c r="B27" s="28">
        <v>1.1000000000000001</v>
      </c>
      <c r="C27" s="111">
        <v>363.5</v>
      </c>
      <c r="D27" s="24"/>
      <c r="E27" s="24" t="s">
        <v>181</v>
      </c>
      <c r="F27" s="24"/>
      <c r="G27" s="24"/>
      <c r="H27" s="36">
        <f>'FUN-2 (Test Year)'!I30</f>
        <v>1898693.72</v>
      </c>
      <c r="I27" s="36">
        <f t="shared" si="16"/>
        <v>1898693.72</v>
      </c>
      <c r="J27" s="36">
        <f t="shared" si="17"/>
        <v>0</v>
      </c>
      <c r="K27" s="36">
        <f t="shared" si="18"/>
        <v>0</v>
      </c>
      <c r="L27" s="36">
        <f t="shared" si="19"/>
        <v>0</v>
      </c>
      <c r="M27" s="36">
        <f t="shared" si="20"/>
        <v>0</v>
      </c>
      <c r="N27" s="36">
        <f t="shared" si="21"/>
        <v>0</v>
      </c>
      <c r="O27" s="36">
        <f t="shared" si="22"/>
        <v>0</v>
      </c>
      <c r="P27" s="36">
        <f t="shared" si="23"/>
        <v>0</v>
      </c>
      <c r="Q27" s="36">
        <f t="shared" si="24"/>
        <v>0</v>
      </c>
      <c r="R27" s="36">
        <f t="shared" si="25"/>
        <v>0</v>
      </c>
      <c r="S27" s="36">
        <f t="shared" si="26"/>
        <v>0</v>
      </c>
      <c r="T27" s="161">
        <f t="shared" ref="T27" si="29">SUM(I27:S27)-H27</f>
        <v>0</v>
      </c>
    </row>
    <row r="28" spans="1:20" x14ac:dyDescent="0.2">
      <c r="A28" s="12">
        <f t="shared" si="28"/>
        <v>17</v>
      </c>
      <c r="C28" s="12"/>
      <c r="D28" s="12" t="s">
        <v>353</v>
      </c>
      <c r="H28" s="74">
        <f>SUM(H19:H27)</f>
        <v>5870123.5899999999</v>
      </c>
      <c r="I28" s="2">
        <f t="shared" ref="I28:T28" si="30">SUM(I19:I27)</f>
        <v>5870123.5899999999</v>
      </c>
      <c r="J28" s="2">
        <f t="shared" si="30"/>
        <v>0</v>
      </c>
      <c r="K28" s="2">
        <f t="shared" si="30"/>
        <v>0</v>
      </c>
      <c r="L28" s="2">
        <f t="shared" si="30"/>
        <v>0</v>
      </c>
      <c r="M28" s="2">
        <f t="shared" si="30"/>
        <v>0</v>
      </c>
      <c r="N28" s="2">
        <f t="shared" si="30"/>
        <v>0</v>
      </c>
      <c r="O28" s="2">
        <f t="shared" si="30"/>
        <v>0</v>
      </c>
      <c r="P28" s="2">
        <f t="shared" si="30"/>
        <v>0</v>
      </c>
      <c r="Q28" s="2">
        <f t="shared" ref="Q28:R28" si="31">SUM(Q19:Q27)</f>
        <v>0</v>
      </c>
      <c r="R28" s="2">
        <f t="shared" si="31"/>
        <v>0</v>
      </c>
      <c r="S28" s="2">
        <f t="shared" si="30"/>
        <v>0</v>
      </c>
      <c r="T28" s="2">
        <f t="shared" si="30"/>
        <v>0</v>
      </c>
    </row>
    <row r="29" spans="1:20" x14ac:dyDescent="0.2">
      <c r="A29" s="12"/>
      <c r="C29" s="12"/>
      <c r="H29" s="2"/>
      <c r="T29" s="158"/>
    </row>
    <row r="30" spans="1:20" x14ac:dyDescent="0.2">
      <c r="A30" s="12"/>
      <c r="C30" s="12"/>
      <c r="D30" s="11" t="s">
        <v>183</v>
      </c>
      <c r="H30" s="2"/>
      <c r="T30" s="158"/>
    </row>
    <row r="31" spans="1:20" x14ac:dyDescent="0.2">
      <c r="A31" s="12">
        <f>+A28+1</f>
        <v>18</v>
      </c>
      <c r="B31" s="23">
        <v>1.2</v>
      </c>
      <c r="C31" s="12">
        <v>374</v>
      </c>
      <c r="E31" s="11" t="s">
        <v>167</v>
      </c>
      <c r="H31" s="2">
        <f>'FUN-2 (Test Year)'!I34</f>
        <v>367011.62999999995</v>
      </c>
      <c r="I31" s="2">
        <f>INDEX(AlocTable,MATCH($B31,AlocList),3)*$H31</f>
        <v>0</v>
      </c>
      <c r="J31" s="2">
        <f>INDEX(AlocTable,MATCH($B31,AlocList),4)*$H31</f>
        <v>108260.00492039941</v>
      </c>
      <c r="K31" s="2">
        <f>INDEX(AlocTable,MATCH($B31,AlocList),5)*$H31</f>
        <v>258751.62507960052</v>
      </c>
      <c r="L31" s="2">
        <f>INDEX(AlocTable,MATCH($B31,AlocList),6)*$H31</f>
        <v>0</v>
      </c>
      <c r="M31" s="2">
        <f>INDEX(AlocTable,MATCH($B31,AlocList),7)*$H31</f>
        <v>0</v>
      </c>
      <c r="N31" s="2">
        <f>INDEX(AlocTable,MATCH($B31,AlocList),8)*$H31</f>
        <v>0</v>
      </c>
      <c r="O31" s="2">
        <f>INDEX(AlocTable,MATCH($B31,AlocList),9)*$H31</f>
        <v>0</v>
      </c>
      <c r="P31" s="2">
        <f>INDEX(AlocTable,MATCH($B31,AlocList),10)*$H31</f>
        <v>0</v>
      </c>
      <c r="Q31" s="2">
        <f t="shared" ref="Q31:Q42" si="32">INDEX(AlocTable,MATCH($B31,AlocList),11)*$H31</f>
        <v>0</v>
      </c>
      <c r="R31" s="2">
        <f t="shared" ref="R31:R42" si="33">INDEX(AlocTable,MATCH($B31,AlocList),12)*$H31</f>
        <v>0</v>
      </c>
      <c r="S31" s="2">
        <f t="shared" ref="S31:S42" si="34">INDEX(AlocTable,MATCH($B31,AlocList),13)*$H31</f>
        <v>0</v>
      </c>
      <c r="T31" s="158">
        <f t="shared" ref="T31" si="35">SUM(I31:S31)-H31</f>
        <v>0</v>
      </c>
    </row>
    <row r="32" spans="1:20" x14ac:dyDescent="0.2">
      <c r="A32" s="12">
        <f>+A31+1</f>
        <v>19</v>
      </c>
      <c r="B32" s="23">
        <v>1.2</v>
      </c>
      <c r="C32" s="12">
        <v>375</v>
      </c>
      <c r="E32" s="11" t="s">
        <v>184</v>
      </c>
      <c r="H32" s="2">
        <f>'FUN-2 (Test Year)'!I35</f>
        <v>59953.310000000005</v>
      </c>
      <c r="I32" s="2">
        <f>INDEX(AlocTable,MATCH($B32,AlocList),3)*$H32</f>
        <v>0</v>
      </c>
      <c r="J32" s="2">
        <f>INDEX(AlocTable,MATCH($B32,AlocList),4)*$H32</f>
        <v>17684.850029396162</v>
      </c>
      <c r="K32" s="2">
        <f>INDEX(AlocTable,MATCH($B32,AlocList),5)*$H32</f>
        <v>42268.459970603843</v>
      </c>
      <c r="L32" s="2">
        <f>INDEX(AlocTable,MATCH($B32,AlocList),6)*$H32</f>
        <v>0</v>
      </c>
      <c r="M32" s="2">
        <f>INDEX(AlocTable,MATCH($B32,AlocList),7)*$H32</f>
        <v>0</v>
      </c>
      <c r="N32" s="2">
        <f>INDEX(AlocTable,MATCH($B32,AlocList),8)*$H32</f>
        <v>0</v>
      </c>
      <c r="O32" s="2">
        <f>INDEX(AlocTable,MATCH($B32,AlocList),9)*$H32</f>
        <v>0</v>
      </c>
      <c r="P32" s="2">
        <f>INDEX(AlocTable,MATCH($B32,AlocList),10)*$H32</f>
        <v>0</v>
      </c>
      <c r="Q32" s="2">
        <f t="shared" si="32"/>
        <v>0</v>
      </c>
      <c r="R32" s="2">
        <f t="shared" si="33"/>
        <v>0</v>
      </c>
      <c r="S32" s="2">
        <f t="shared" si="34"/>
        <v>0</v>
      </c>
      <c r="T32" s="158">
        <f t="shared" ref="T32:T34" si="36">SUM(I32:S32)-H32</f>
        <v>0</v>
      </c>
    </row>
    <row r="33" spans="1:20" x14ac:dyDescent="0.2">
      <c r="A33" s="12">
        <f t="shared" ref="A33:A43" si="37">+A32+1</f>
        <v>20</v>
      </c>
      <c r="B33" s="23">
        <v>1.2</v>
      </c>
      <c r="C33" s="12">
        <v>376</v>
      </c>
      <c r="E33" s="11" t="s">
        <v>5</v>
      </c>
      <c r="H33" s="2">
        <f>'FUN-2 (Test Year)'!I36</f>
        <v>114174533.18000001</v>
      </c>
      <c r="I33" s="2">
        <f>INDEX(AlocTable,MATCH($B33,AlocList),3)*$H33</f>
        <v>0</v>
      </c>
      <c r="J33" s="2">
        <f>INDEX(AlocTable,MATCH($B33,AlocList),4)*$H33</f>
        <v>33678866.045337878</v>
      </c>
      <c r="K33" s="2">
        <f>INDEX(AlocTable,MATCH($B33,AlocList),5)*$H33</f>
        <v>80495667.134662122</v>
      </c>
      <c r="L33" s="2">
        <f>INDEX(AlocTable,MATCH($B33,AlocList),6)*$H33</f>
        <v>0</v>
      </c>
      <c r="M33" s="2">
        <f>INDEX(AlocTable,MATCH($B33,AlocList),7)*$H33</f>
        <v>0</v>
      </c>
      <c r="N33" s="2">
        <f>INDEX(AlocTable,MATCH($B33,AlocList),8)*$H33</f>
        <v>0</v>
      </c>
      <c r="O33" s="2">
        <f>INDEX(AlocTable,MATCH($B33,AlocList),9)*$H33</f>
        <v>0</v>
      </c>
      <c r="P33" s="2">
        <f>INDEX(AlocTable,MATCH($B33,AlocList),10)*$H33</f>
        <v>0</v>
      </c>
      <c r="Q33" s="2">
        <f t="shared" si="32"/>
        <v>0</v>
      </c>
      <c r="R33" s="2">
        <f t="shared" si="33"/>
        <v>0</v>
      </c>
      <c r="S33" s="2">
        <f t="shared" si="34"/>
        <v>0</v>
      </c>
      <c r="T33" s="158">
        <f t="shared" si="36"/>
        <v>0</v>
      </c>
    </row>
    <row r="34" spans="1:20" x14ac:dyDescent="0.2">
      <c r="A34" s="12">
        <f t="shared" si="37"/>
        <v>21</v>
      </c>
      <c r="B34" s="23">
        <v>1.2</v>
      </c>
      <c r="C34" s="12">
        <v>377</v>
      </c>
      <c r="E34" s="11" t="s">
        <v>185</v>
      </c>
      <c r="H34" s="2">
        <f>'FUN-2 (Test Year)'!I37</f>
        <v>0</v>
      </c>
      <c r="I34" s="2">
        <f>INDEX(AlocTable,MATCH($B34,AlocList),3)*$H34</f>
        <v>0</v>
      </c>
      <c r="J34" s="2">
        <f>INDEX(AlocTable,MATCH($B34,AlocList),4)*$H34</f>
        <v>0</v>
      </c>
      <c r="K34" s="2">
        <f>INDEX(AlocTable,MATCH($B34,AlocList),5)*$H34</f>
        <v>0</v>
      </c>
      <c r="L34" s="2">
        <f>INDEX(AlocTable,MATCH($B34,AlocList),6)*$H34</f>
        <v>0</v>
      </c>
      <c r="M34" s="2">
        <f>INDEX(AlocTable,MATCH($B34,AlocList),7)*$H34</f>
        <v>0</v>
      </c>
      <c r="N34" s="2">
        <f>INDEX(AlocTable,MATCH($B34,AlocList),8)*$H34</f>
        <v>0</v>
      </c>
      <c r="O34" s="2">
        <f>INDEX(AlocTable,MATCH($B34,AlocList),9)*$H34</f>
        <v>0</v>
      </c>
      <c r="P34" s="2">
        <f>INDEX(AlocTable,MATCH($B34,AlocList),10)*$H34</f>
        <v>0</v>
      </c>
      <c r="Q34" s="2">
        <f t="shared" si="32"/>
        <v>0</v>
      </c>
      <c r="R34" s="2">
        <f t="shared" si="33"/>
        <v>0</v>
      </c>
      <c r="S34" s="2">
        <f t="shared" si="34"/>
        <v>0</v>
      </c>
      <c r="T34" s="158">
        <f t="shared" si="36"/>
        <v>0</v>
      </c>
    </row>
    <row r="35" spans="1:20" x14ac:dyDescent="0.2">
      <c r="A35" s="12">
        <f t="shared" si="37"/>
        <v>22</v>
      </c>
      <c r="B35" s="23">
        <v>1.2</v>
      </c>
      <c r="C35" s="12">
        <v>378</v>
      </c>
      <c r="E35" s="11" t="s">
        <v>354</v>
      </c>
      <c r="H35" s="2">
        <f>'FUN-2 (Test Year)'!I38</f>
        <v>4377217.84</v>
      </c>
      <c r="I35" s="2">
        <f t="shared" ref="I35:I42" si="38">INDEX(AlocTable,MATCH($B35,AlocList),3)*$H35</f>
        <v>0</v>
      </c>
      <c r="J35" s="2">
        <f t="shared" ref="J35:J42" si="39">INDEX(AlocTable,MATCH($B35,AlocList),4)*$H35</f>
        <v>1291178.7697192598</v>
      </c>
      <c r="K35" s="2">
        <f t="shared" ref="K35:K42" si="40">INDEX(AlocTable,MATCH($B35,AlocList),5)*$H35</f>
        <v>3086039.07028074</v>
      </c>
      <c r="L35" s="2">
        <f t="shared" ref="L35:L42" si="41">INDEX(AlocTable,MATCH($B35,AlocList),6)*$H35</f>
        <v>0</v>
      </c>
      <c r="M35" s="2">
        <f t="shared" ref="M35:M42" si="42">INDEX(AlocTable,MATCH($B35,AlocList),7)*$H35</f>
        <v>0</v>
      </c>
      <c r="N35" s="2">
        <f t="shared" ref="N35:N42" si="43">INDEX(AlocTable,MATCH($B35,AlocList),8)*$H35</f>
        <v>0</v>
      </c>
      <c r="O35" s="2">
        <f t="shared" ref="O35:O42" si="44">INDEX(AlocTable,MATCH($B35,AlocList),9)*$H35</f>
        <v>0</v>
      </c>
      <c r="P35" s="2">
        <f t="shared" ref="P35:P42" si="45">INDEX(AlocTable,MATCH($B35,AlocList),10)*$H35</f>
        <v>0</v>
      </c>
      <c r="Q35" s="2">
        <f t="shared" si="32"/>
        <v>0</v>
      </c>
      <c r="R35" s="2">
        <f t="shared" si="33"/>
        <v>0</v>
      </c>
      <c r="S35" s="2">
        <f t="shared" si="34"/>
        <v>0</v>
      </c>
      <c r="T35" s="158">
        <f t="shared" ref="T35:T43" si="46">SUM(I35:S35)-H35</f>
        <v>0</v>
      </c>
    </row>
    <row r="36" spans="1:20" x14ac:dyDescent="0.2">
      <c r="A36" s="12">
        <f t="shared" si="37"/>
        <v>23</v>
      </c>
      <c r="B36" s="23">
        <v>1.2</v>
      </c>
      <c r="C36" s="12">
        <v>379</v>
      </c>
      <c r="E36" s="11" t="s">
        <v>355</v>
      </c>
      <c r="H36" s="2">
        <f>'FUN-2 (Test Year)'!I39</f>
        <v>2971367.86</v>
      </c>
      <c r="I36" s="2">
        <f t="shared" si="38"/>
        <v>0</v>
      </c>
      <c r="J36" s="2">
        <f t="shared" si="39"/>
        <v>876485.30141651561</v>
      </c>
      <c r="K36" s="2">
        <f t="shared" si="40"/>
        <v>2094882.5585834843</v>
      </c>
      <c r="L36" s="2">
        <f t="shared" si="41"/>
        <v>0</v>
      </c>
      <c r="M36" s="2">
        <f t="shared" si="42"/>
        <v>0</v>
      </c>
      <c r="N36" s="2">
        <f t="shared" si="43"/>
        <v>0</v>
      </c>
      <c r="O36" s="2">
        <f t="shared" si="44"/>
        <v>0</v>
      </c>
      <c r="P36" s="2">
        <f t="shared" si="45"/>
        <v>0</v>
      </c>
      <c r="Q36" s="2">
        <f t="shared" si="32"/>
        <v>0</v>
      </c>
      <c r="R36" s="2">
        <f t="shared" si="33"/>
        <v>0</v>
      </c>
      <c r="S36" s="2">
        <f t="shared" si="34"/>
        <v>0</v>
      </c>
      <c r="T36" s="158">
        <f t="shared" si="46"/>
        <v>0</v>
      </c>
    </row>
    <row r="37" spans="1:20" x14ac:dyDescent="0.2">
      <c r="A37" s="12">
        <f t="shared" si="37"/>
        <v>24</v>
      </c>
      <c r="B37" s="23">
        <v>1.3</v>
      </c>
      <c r="C37" s="12">
        <v>380</v>
      </c>
      <c r="E37" s="11" t="s">
        <v>16</v>
      </c>
      <c r="H37" s="2">
        <f>'FUN-2 (Test Year)'!I40</f>
        <v>78978153.039999992</v>
      </c>
      <c r="I37" s="2">
        <f t="shared" si="38"/>
        <v>0</v>
      </c>
      <c r="J37" s="2">
        <f t="shared" si="39"/>
        <v>0</v>
      </c>
      <c r="K37" s="2">
        <f t="shared" si="40"/>
        <v>0</v>
      </c>
      <c r="L37" s="2">
        <f t="shared" si="41"/>
        <v>78978153.039999992</v>
      </c>
      <c r="M37" s="2">
        <f t="shared" si="42"/>
        <v>0</v>
      </c>
      <c r="N37" s="2">
        <f t="shared" si="43"/>
        <v>0</v>
      </c>
      <c r="O37" s="2">
        <f t="shared" si="44"/>
        <v>0</v>
      </c>
      <c r="P37" s="2">
        <f t="shared" si="45"/>
        <v>0</v>
      </c>
      <c r="Q37" s="2">
        <f t="shared" si="32"/>
        <v>0</v>
      </c>
      <c r="R37" s="2">
        <f t="shared" si="33"/>
        <v>0</v>
      </c>
      <c r="S37" s="2">
        <f t="shared" si="34"/>
        <v>0</v>
      </c>
      <c r="T37" s="158">
        <f t="shared" si="46"/>
        <v>0</v>
      </c>
    </row>
    <row r="38" spans="1:20" x14ac:dyDescent="0.2">
      <c r="A38" s="12">
        <f t="shared" si="37"/>
        <v>25</v>
      </c>
      <c r="B38" s="23">
        <v>1.4</v>
      </c>
      <c r="C38" s="12">
        <v>381</v>
      </c>
      <c r="E38" s="11" t="s">
        <v>17</v>
      </c>
      <c r="H38" s="2">
        <f>'FUN-2 (Test Year)'!I41</f>
        <v>31043013.57</v>
      </c>
      <c r="I38" s="2">
        <f t="shared" si="38"/>
        <v>0</v>
      </c>
      <c r="J38" s="2">
        <f t="shared" si="39"/>
        <v>0</v>
      </c>
      <c r="K38" s="2">
        <f t="shared" si="40"/>
        <v>0</v>
      </c>
      <c r="L38" s="2">
        <f t="shared" si="41"/>
        <v>0</v>
      </c>
      <c r="M38" s="2">
        <f t="shared" si="42"/>
        <v>31043013.57</v>
      </c>
      <c r="N38" s="2">
        <f t="shared" si="43"/>
        <v>0</v>
      </c>
      <c r="O38" s="2">
        <f t="shared" si="44"/>
        <v>0</v>
      </c>
      <c r="P38" s="2">
        <f t="shared" si="45"/>
        <v>0</v>
      </c>
      <c r="Q38" s="2">
        <f t="shared" si="32"/>
        <v>0</v>
      </c>
      <c r="R38" s="2">
        <f t="shared" si="33"/>
        <v>0</v>
      </c>
      <c r="S38" s="2">
        <f t="shared" si="34"/>
        <v>0</v>
      </c>
      <c r="T38" s="158">
        <f t="shared" si="46"/>
        <v>0</v>
      </c>
    </row>
    <row r="39" spans="1:20" x14ac:dyDescent="0.2">
      <c r="A39" s="12">
        <f t="shared" si="37"/>
        <v>26</v>
      </c>
      <c r="B39" s="23">
        <v>1.4</v>
      </c>
      <c r="C39" s="12">
        <v>382</v>
      </c>
      <c r="E39" s="11" t="s">
        <v>188</v>
      </c>
      <c r="H39" s="2">
        <f>'FUN-2 (Test Year)'!I42</f>
        <v>0</v>
      </c>
      <c r="I39" s="2">
        <f t="shared" si="38"/>
        <v>0</v>
      </c>
      <c r="J39" s="2">
        <f t="shared" si="39"/>
        <v>0</v>
      </c>
      <c r="K39" s="2">
        <f t="shared" si="40"/>
        <v>0</v>
      </c>
      <c r="L39" s="2">
        <f t="shared" si="41"/>
        <v>0</v>
      </c>
      <c r="M39" s="2">
        <f t="shared" si="42"/>
        <v>0</v>
      </c>
      <c r="N39" s="2">
        <f t="shared" si="43"/>
        <v>0</v>
      </c>
      <c r="O39" s="2">
        <f t="shared" si="44"/>
        <v>0</v>
      </c>
      <c r="P39" s="2">
        <f t="shared" si="45"/>
        <v>0</v>
      </c>
      <c r="Q39" s="2">
        <f t="shared" si="32"/>
        <v>0</v>
      </c>
      <c r="R39" s="2">
        <f t="shared" si="33"/>
        <v>0</v>
      </c>
      <c r="S39" s="2">
        <f t="shared" si="34"/>
        <v>0</v>
      </c>
      <c r="T39" s="158">
        <f t="shared" ref="T39" si="47">SUM(I39:S39)-H39</f>
        <v>0</v>
      </c>
    </row>
    <row r="40" spans="1:20" x14ac:dyDescent="0.2">
      <c r="A40" s="12">
        <f t="shared" si="37"/>
        <v>27</v>
      </c>
      <c r="B40" s="23">
        <v>1.5</v>
      </c>
      <c r="C40" s="12">
        <v>383</v>
      </c>
      <c r="E40" s="11" t="s">
        <v>189</v>
      </c>
      <c r="H40" s="2">
        <f>'FUN-2 (Test Year)'!I43</f>
        <v>5006347.9400000004</v>
      </c>
      <c r="I40" s="2">
        <f t="shared" si="38"/>
        <v>0</v>
      </c>
      <c r="J40" s="2">
        <f t="shared" si="39"/>
        <v>0</v>
      </c>
      <c r="K40" s="2">
        <f t="shared" si="40"/>
        <v>0</v>
      </c>
      <c r="L40" s="2">
        <f t="shared" si="41"/>
        <v>0</v>
      </c>
      <c r="M40" s="2">
        <f t="shared" si="42"/>
        <v>0</v>
      </c>
      <c r="N40" s="2">
        <f t="shared" si="43"/>
        <v>5006347.9400000004</v>
      </c>
      <c r="O40" s="2">
        <f t="shared" si="44"/>
        <v>0</v>
      </c>
      <c r="P40" s="2">
        <f t="shared" si="45"/>
        <v>0</v>
      </c>
      <c r="Q40" s="2">
        <f t="shared" si="32"/>
        <v>0</v>
      </c>
      <c r="R40" s="2">
        <f t="shared" si="33"/>
        <v>0</v>
      </c>
      <c r="S40" s="2">
        <f t="shared" si="34"/>
        <v>0</v>
      </c>
      <c r="T40" s="158">
        <f t="shared" si="46"/>
        <v>0</v>
      </c>
    </row>
    <row r="41" spans="1:20" x14ac:dyDescent="0.2">
      <c r="A41" s="12">
        <f t="shared" si="37"/>
        <v>28</v>
      </c>
      <c r="B41" s="23">
        <v>1.5</v>
      </c>
      <c r="C41" s="12">
        <v>384</v>
      </c>
      <c r="E41" s="11" t="s">
        <v>190</v>
      </c>
      <c r="H41" s="2">
        <f>'FUN-2 (Test Year)'!I44</f>
        <v>0</v>
      </c>
      <c r="I41" s="2">
        <f t="shared" si="38"/>
        <v>0</v>
      </c>
      <c r="J41" s="2">
        <f t="shared" si="39"/>
        <v>0</v>
      </c>
      <c r="K41" s="2">
        <f t="shared" si="40"/>
        <v>0</v>
      </c>
      <c r="L41" s="2">
        <f t="shared" si="41"/>
        <v>0</v>
      </c>
      <c r="M41" s="2">
        <f t="shared" si="42"/>
        <v>0</v>
      </c>
      <c r="N41" s="2">
        <f t="shared" si="43"/>
        <v>0</v>
      </c>
      <c r="O41" s="2">
        <f t="shared" si="44"/>
        <v>0</v>
      </c>
      <c r="P41" s="2">
        <f t="shared" si="45"/>
        <v>0</v>
      </c>
      <c r="Q41" s="2">
        <f t="shared" si="32"/>
        <v>0</v>
      </c>
      <c r="R41" s="2">
        <f t="shared" si="33"/>
        <v>0</v>
      </c>
      <c r="S41" s="2">
        <f t="shared" si="34"/>
        <v>0</v>
      </c>
      <c r="T41" s="158">
        <f t="shared" si="46"/>
        <v>0</v>
      </c>
    </row>
    <row r="42" spans="1:20" x14ac:dyDescent="0.2">
      <c r="A42" s="111">
        <f t="shared" si="37"/>
        <v>29</v>
      </c>
      <c r="B42" s="28">
        <v>1.6</v>
      </c>
      <c r="C42" s="111">
        <v>385</v>
      </c>
      <c r="D42" s="24"/>
      <c r="E42" s="24" t="s">
        <v>191</v>
      </c>
      <c r="F42" s="24"/>
      <c r="G42" s="24"/>
      <c r="H42" s="36">
        <f>'FUN-2 (Test Year)'!I45</f>
        <v>308949.76000000001</v>
      </c>
      <c r="I42" s="36">
        <f t="shared" si="38"/>
        <v>0</v>
      </c>
      <c r="J42" s="36">
        <f t="shared" si="39"/>
        <v>0</v>
      </c>
      <c r="K42" s="36">
        <f t="shared" si="40"/>
        <v>0</v>
      </c>
      <c r="L42" s="36">
        <f t="shared" si="41"/>
        <v>0</v>
      </c>
      <c r="M42" s="36">
        <f t="shared" si="42"/>
        <v>0</v>
      </c>
      <c r="N42" s="36">
        <f t="shared" si="43"/>
        <v>0</v>
      </c>
      <c r="O42" s="36">
        <f t="shared" si="44"/>
        <v>308949.76000000001</v>
      </c>
      <c r="P42" s="36">
        <f t="shared" si="45"/>
        <v>0</v>
      </c>
      <c r="Q42" s="36">
        <f t="shared" si="32"/>
        <v>0</v>
      </c>
      <c r="R42" s="36">
        <f t="shared" si="33"/>
        <v>0</v>
      </c>
      <c r="S42" s="36">
        <f t="shared" si="34"/>
        <v>0</v>
      </c>
      <c r="T42" s="161">
        <f t="shared" si="46"/>
        <v>0</v>
      </c>
    </row>
    <row r="43" spans="1:20" x14ac:dyDescent="0.2">
      <c r="A43" s="12">
        <f t="shared" si="37"/>
        <v>30</v>
      </c>
      <c r="C43" s="12"/>
      <c r="D43" s="12" t="s">
        <v>356</v>
      </c>
      <c r="H43" s="74">
        <f t="shared" ref="H43:S43" si="48">SUM(H31:H42)</f>
        <v>237286548.13</v>
      </c>
      <c r="I43" s="2">
        <f t="shared" si="48"/>
        <v>0</v>
      </c>
      <c r="J43" s="2">
        <f t="shared" si="48"/>
        <v>35972474.971423447</v>
      </c>
      <c r="K43" s="2">
        <f t="shared" si="48"/>
        <v>85977608.848576561</v>
      </c>
      <c r="L43" s="2">
        <f t="shared" si="48"/>
        <v>78978153.039999992</v>
      </c>
      <c r="M43" s="2">
        <f t="shared" si="48"/>
        <v>31043013.57</v>
      </c>
      <c r="N43" s="2">
        <f t="shared" si="48"/>
        <v>5006347.9400000004</v>
      </c>
      <c r="O43" s="2">
        <f t="shared" si="48"/>
        <v>308949.76000000001</v>
      </c>
      <c r="P43" s="2">
        <f t="shared" si="48"/>
        <v>0</v>
      </c>
      <c r="Q43" s="2">
        <f t="shared" ref="Q43:R43" si="49">SUM(Q31:Q42)</f>
        <v>0</v>
      </c>
      <c r="R43" s="2">
        <f t="shared" si="49"/>
        <v>0</v>
      </c>
      <c r="S43" s="2">
        <f t="shared" si="48"/>
        <v>0</v>
      </c>
      <c r="T43" s="158">
        <f t="shared" si="46"/>
        <v>0</v>
      </c>
    </row>
    <row r="44" spans="1:20" x14ac:dyDescent="0.2">
      <c r="A44" s="12"/>
      <c r="C44" s="12"/>
      <c r="H44" s="15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58"/>
    </row>
    <row r="45" spans="1:20" x14ac:dyDescent="0.2">
      <c r="A45" s="12"/>
      <c r="C45" s="12"/>
      <c r="D45" s="11" t="s">
        <v>193</v>
      </c>
      <c r="H45" s="2"/>
      <c r="T45" s="158"/>
    </row>
    <row r="46" spans="1:20" x14ac:dyDescent="0.2">
      <c r="A46" s="111">
        <f>+A43+1</f>
        <v>31</v>
      </c>
      <c r="B46" s="28">
        <v>40</v>
      </c>
      <c r="C46" s="111" t="s">
        <v>194</v>
      </c>
      <c r="D46" s="24"/>
      <c r="E46" s="24" t="s">
        <v>193</v>
      </c>
      <c r="F46" s="24"/>
      <c r="G46" s="24"/>
      <c r="H46" s="36">
        <f>'FUN-2 (Test Year)'!I49</f>
        <v>22148260.320000004</v>
      </c>
      <c r="I46" s="36">
        <f>INDEX(AlocTable,MATCH($B46,AlocList),3)*$H46</f>
        <v>756294.01343395829</v>
      </c>
      <c r="J46" s="36">
        <f>INDEX(AlocTable,MATCH($B46,AlocList),4)*$H46</f>
        <v>1844339.8335986552</v>
      </c>
      <c r="K46" s="36">
        <f>INDEX(AlocTable,MATCH($B46,AlocList),5)*$H46</f>
        <v>4408146.1985299466</v>
      </c>
      <c r="L46" s="36">
        <f>INDEX(AlocTable,MATCH($B46,AlocList),6)*$H46</f>
        <v>5605553.5815233784</v>
      </c>
      <c r="M46" s="36">
        <f>INDEX(AlocTable,MATCH($B46,AlocList),7)*$H46</f>
        <v>2082997.8263969994</v>
      </c>
      <c r="N46" s="36">
        <f>INDEX(AlocTable,MATCH($B46,AlocList),8)*$H46</f>
        <v>160161.45536046833</v>
      </c>
      <c r="O46" s="36">
        <f>INDEX(AlocTable,MATCH($B46,AlocList),9)*$H46</f>
        <v>5317.5078413823439</v>
      </c>
      <c r="P46" s="36">
        <f>INDEX(AlocTable,MATCH($B46,AlocList),10)*$H46</f>
        <v>6616734.5473139146</v>
      </c>
      <c r="Q46" s="36">
        <f>INDEX(AlocTable,MATCH($B46,AlocList),11)*$H46</f>
        <v>167890.33304157993</v>
      </c>
      <c r="R46" s="36">
        <f>INDEX(AlocTable,MATCH($B46,AlocList),12)*$H46</f>
        <v>171363.43227489907</v>
      </c>
      <c r="S46" s="36">
        <f>INDEX(AlocTable,MATCH($B46,AlocList),13)*$H46</f>
        <v>329461.59068482753</v>
      </c>
      <c r="T46" s="161">
        <f t="shared" ref="T46:T47" si="50">SUM(I46:S46)-H46</f>
        <v>0</v>
      </c>
    </row>
    <row r="47" spans="1:20" x14ac:dyDescent="0.2">
      <c r="A47" s="12">
        <f>+A46+1</f>
        <v>32</v>
      </c>
      <c r="C47" s="12"/>
      <c r="D47" s="12" t="s">
        <v>357</v>
      </c>
      <c r="H47" s="74">
        <f t="shared" ref="H47:S47" si="51">SUM(H46:H46)</f>
        <v>22148260.320000004</v>
      </c>
      <c r="I47" s="2">
        <f t="shared" si="51"/>
        <v>756294.01343395829</v>
      </c>
      <c r="J47" s="2">
        <f t="shared" si="51"/>
        <v>1844339.8335986552</v>
      </c>
      <c r="K47" s="2">
        <f t="shared" si="51"/>
        <v>4408146.1985299466</v>
      </c>
      <c r="L47" s="2">
        <f t="shared" si="51"/>
        <v>5605553.5815233784</v>
      </c>
      <c r="M47" s="2">
        <f t="shared" si="51"/>
        <v>2082997.8263969994</v>
      </c>
      <c r="N47" s="2">
        <f t="shared" si="51"/>
        <v>160161.45536046833</v>
      </c>
      <c r="O47" s="2">
        <f t="shared" si="51"/>
        <v>5317.5078413823439</v>
      </c>
      <c r="P47" s="2">
        <f t="shared" si="51"/>
        <v>6616734.5473139146</v>
      </c>
      <c r="Q47" s="2">
        <f t="shared" ref="Q47:R47" si="52">SUM(Q46:Q46)</f>
        <v>167890.33304157993</v>
      </c>
      <c r="R47" s="2">
        <f t="shared" si="52"/>
        <v>171363.43227489907</v>
      </c>
      <c r="S47" s="2">
        <f t="shared" si="51"/>
        <v>329461.59068482753</v>
      </c>
      <c r="T47" s="158">
        <f t="shared" si="50"/>
        <v>0</v>
      </c>
    </row>
    <row r="48" spans="1:20" x14ac:dyDescent="0.2">
      <c r="A48" s="12"/>
      <c r="C48" s="12"/>
      <c r="H48" s="21"/>
      <c r="T48" s="158"/>
    </row>
    <row r="49" spans="1:20" x14ac:dyDescent="0.2">
      <c r="A49" s="12"/>
      <c r="C49" s="12"/>
      <c r="D49" s="11" t="s">
        <v>196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58"/>
    </row>
    <row r="50" spans="1:20" x14ac:dyDescent="0.2">
      <c r="A50" s="111">
        <f>+A47+1</f>
        <v>33</v>
      </c>
      <c r="B50" s="28">
        <v>40</v>
      </c>
      <c r="C50" s="111" t="s">
        <v>197</v>
      </c>
      <c r="D50" s="24"/>
      <c r="E50" s="24" t="s">
        <v>196</v>
      </c>
      <c r="F50" s="24"/>
      <c r="G50" s="24"/>
      <c r="H50" s="36">
        <f>'FUN-2 (Test Year)'!$I$53</f>
        <v>7169273.2300000004</v>
      </c>
      <c r="I50" s="36">
        <f>INDEX(AlocTable,MATCH($B50,AlocList),3)*$H50</f>
        <v>244808.32111338203</v>
      </c>
      <c r="J50" s="36">
        <f>INDEX(AlocTable,MATCH($B50,AlocList),4)*$H50</f>
        <v>597002.92506050388</v>
      </c>
      <c r="K50" s="36">
        <f>INDEX(AlocTable,MATCH($B50,AlocList),5)*$H50</f>
        <v>1426893.312541985</v>
      </c>
      <c r="L50" s="36">
        <f>INDEX(AlocTable,MATCH($B50,AlocList),6)*$H50</f>
        <v>1814487.6685893212</v>
      </c>
      <c r="M50" s="36">
        <f>INDEX(AlocTable,MATCH($B50,AlocList),7)*$H50</f>
        <v>674255.23897473281</v>
      </c>
      <c r="N50" s="36">
        <f>INDEX(AlocTable,MATCH($B50,AlocList),8)*$H50</f>
        <v>51843.405206718526</v>
      </c>
      <c r="O50" s="36">
        <f>INDEX(AlocTable,MATCH($B50,AlocList),9)*$H50</f>
        <v>1721.248805402226</v>
      </c>
      <c r="P50" s="36">
        <f>INDEX(AlocTable,MATCH($B50,AlocList),10)*$H50</f>
        <v>2141801.5308966627</v>
      </c>
      <c r="Q50" s="36">
        <f>INDEX(AlocTable,MATCH($B50,AlocList),11)*$H50</f>
        <v>54345.201512909771</v>
      </c>
      <c r="R50" s="36">
        <f>INDEX(AlocTable,MATCH($B50,AlocList),12)*$H50</f>
        <v>55469.425131325697</v>
      </c>
      <c r="S50" s="36">
        <f>INDEX(AlocTable,MATCH($B50,AlocList),13)*$H50</f>
        <v>106644.95216705812</v>
      </c>
      <c r="T50" s="161">
        <f t="shared" ref="T50:T51" si="53">SUM(I50:S50)-H50</f>
        <v>0</v>
      </c>
    </row>
    <row r="51" spans="1:20" x14ac:dyDescent="0.2">
      <c r="A51" s="12">
        <f>+A50+1</f>
        <v>34</v>
      </c>
      <c r="C51" s="12"/>
      <c r="D51" s="12" t="s">
        <v>358</v>
      </c>
      <c r="H51" s="74">
        <f t="shared" ref="H51:S51" si="54">SUM(H50:H50)</f>
        <v>7169273.2300000004</v>
      </c>
      <c r="I51" s="2">
        <f t="shared" si="54"/>
        <v>244808.32111338203</v>
      </c>
      <c r="J51" s="2">
        <f t="shared" si="54"/>
        <v>597002.92506050388</v>
      </c>
      <c r="K51" s="2">
        <f t="shared" si="54"/>
        <v>1426893.312541985</v>
      </c>
      <c r="L51" s="2">
        <f t="shared" si="54"/>
        <v>1814487.6685893212</v>
      </c>
      <c r="M51" s="2">
        <f t="shared" si="54"/>
        <v>674255.23897473281</v>
      </c>
      <c r="N51" s="2">
        <f t="shared" si="54"/>
        <v>51843.405206718526</v>
      </c>
      <c r="O51" s="2">
        <f t="shared" si="54"/>
        <v>1721.248805402226</v>
      </c>
      <c r="P51" s="2">
        <f t="shared" si="54"/>
        <v>2141801.5308966627</v>
      </c>
      <c r="Q51" s="2">
        <f t="shared" ref="Q51:R51" si="55">SUM(Q50:Q50)</f>
        <v>54345.201512909771</v>
      </c>
      <c r="R51" s="2">
        <f t="shared" si="55"/>
        <v>55469.425131325697</v>
      </c>
      <c r="S51" s="2">
        <f t="shared" si="54"/>
        <v>106644.95216705812</v>
      </c>
      <c r="T51" s="158">
        <f t="shared" si="53"/>
        <v>0</v>
      </c>
    </row>
    <row r="52" spans="1:20" x14ac:dyDescent="0.2">
      <c r="A52" s="12"/>
      <c r="C52" s="1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58"/>
    </row>
    <row r="53" spans="1:20" x14ac:dyDescent="0.2">
      <c r="A53" s="12">
        <f>+A51+1</f>
        <v>35</v>
      </c>
      <c r="B53" s="17"/>
      <c r="C53" s="8"/>
      <c r="D53" s="16" t="s">
        <v>359</v>
      </c>
      <c r="E53" s="16"/>
      <c r="F53" s="16"/>
      <c r="G53" s="16"/>
      <c r="H53" s="15">
        <f t="shared" ref="H53:S53" si="56">H16+H28+H43+H47+H51</f>
        <v>272474205.26999998</v>
      </c>
      <c r="I53" s="3">
        <f t="shared" si="56"/>
        <v>6871225.9245473407</v>
      </c>
      <c r="J53" s="3">
        <f t="shared" si="56"/>
        <v>38413817.730082609</v>
      </c>
      <c r="K53" s="3">
        <f t="shared" si="56"/>
        <v>91812648.359648496</v>
      </c>
      <c r="L53" s="3">
        <f t="shared" si="56"/>
        <v>86398194.290112689</v>
      </c>
      <c r="M53" s="3">
        <f t="shared" si="56"/>
        <v>33800266.63537173</v>
      </c>
      <c r="N53" s="3">
        <f t="shared" si="56"/>
        <v>5218352.8005671874</v>
      </c>
      <c r="O53" s="3">
        <f t="shared" si="56"/>
        <v>315988.51664678461</v>
      </c>
      <c r="P53" s="3">
        <f t="shared" si="56"/>
        <v>8758536.0782105774</v>
      </c>
      <c r="Q53" s="3">
        <f t="shared" ref="Q53:R53" si="57">Q16+Q28+Q43+Q47+Q51</f>
        <v>222235.53455448971</v>
      </c>
      <c r="R53" s="3">
        <f t="shared" si="57"/>
        <v>226832.85740622476</v>
      </c>
      <c r="S53" s="3">
        <f t="shared" si="56"/>
        <v>436106.54285188566</v>
      </c>
      <c r="T53" s="18">
        <f>SUM(I53:S53)-H53</f>
        <v>0</v>
      </c>
    </row>
    <row r="54" spans="1:20" x14ac:dyDescent="0.2">
      <c r="A54" s="12"/>
      <c r="H54" s="158"/>
      <c r="T54" s="158"/>
    </row>
    <row r="55" spans="1:20" x14ac:dyDescent="0.2">
      <c r="A55" s="12"/>
      <c r="C55" s="12"/>
      <c r="D55" s="11" t="s">
        <v>200</v>
      </c>
      <c r="T55" s="158"/>
    </row>
    <row r="56" spans="1:20" x14ac:dyDescent="0.2">
      <c r="A56" s="12"/>
      <c r="C56" s="12"/>
      <c r="T56" s="158"/>
    </row>
    <row r="57" spans="1:20" x14ac:dyDescent="0.2">
      <c r="A57" s="12">
        <f>+A53+1</f>
        <v>36</v>
      </c>
      <c r="B57" s="23">
        <v>1.1000000000000001</v>
      </c>
      <c r="F57" s="11" t="s">
        <v>202</v>
      </c>
      <c r="H57" s="2">
        <f>'FUN-2 (Test Year)'!I61</f>
        <v>1170567.6000000001</v>
      </c>
      <c r="I57" s="2">
        <f>INDEX(AlocTable,MATCH($B57,AlocList),3)*$H57</f>
        <v>1170567.6000000001</v>
      </c>
      <c r="J57" s="2">
        <f>INDEX(AlocTable,MATCH($B57,AlocList),4)*$H57</f>
        <v>0</v>
      </c>
      <c r="K57" s="2">
        <f>INDEX(AlocTable,MATCH($B57,AlocList),5)*$H57</f>
        <v>0</v>
      </c>
      <c r="L57" s="2">
        <f>INDEX(AlocTable,MATCH($B57,AlocList),6)*$H57</f>
        <v>0</v>
      </c>
      <c r="M57" s="2">
        <f>INDEX(AlocTable,MATCH($B57,AlocList),7)*$H57</f>
        <v>0</v>
      </c>
      <c r="N57" s="2">
        <f>INDEX(AlocTable,MATCH($B57,AlocList),8)*$H57</f>
        <v>0</v>
      </c>
      <c r="O57" s="2">
        <f>INDEX(AlocTable,MATCH($B57,AlocList),9)*$H57</f>
        <v>0</v>
      </c>
      <c r="P57" s="2">
        <f>INDEX(AlocTable,MATCH($B57,AlocList),10)*$H57</f>
        <v>0</v>
      </c>
      <c r="Q57" s="2">
        <f>INDEX(AlocTable,MATCH($B57,AlocList),11)*$H57</f>
        <v>0</v>
      </c>
      <c r="R57" s="2">
        <f>INDEX(AlocTable,MATCH($B57,AlocList),12)*$H57</f>
        <v>0</v>
      </c>
      <c r="S57" s="2">
        <f>INDEX(AlocTable,MATCH($B57,AlocList),13)*$H57</f>
        <v>0</v>
      </c>
      <c r="T57" s="158">
        <f t="shared" ref="T57:T62" si="58">SUM(I57:S57)-H57</f>
        <v>0</v>
      </c>
    </row>
    <row r="58" spans="1:20" x14ac:dyDescent="0.2">
      <c r="A58" s="12">
        <f>+A57+1</f>
        <v>37</v>
      </c>
      <c r="B58" s="23">
        <v>46</v>
      </c>
      <c r="C58" s="12"/>
      <c r="F58" s="11" t="s">
        <v>203</v>
      </c>
      <c r="H58" s="2">
        <f>'FUN-2 (Test Year)'!I62</f>
        <v>2579592.48</v>
      </c>
      <c r="I58" s="2">
        <f>INDEX(AlocTable,MATCH($B58,AlocList),3)*$H58</f>
        <v>64429.473239422034</v>
      </c>
      <c r="J58" s="2">
        <f>INDEX(AlocTable,MATCH($B58,AlocList),4)*$H58</f>
        <v>367697.54085792793</v>
      </c>
      <c r="K58" s="2">
        <f>INDEX(AlocTable,MATCH($B58,AlocList),5)*$H58</f>
        <v>878831.8114775368</v>
      </c>
      <c r="L58" s="2">
        <f>INDEX(AlocTable,MATCH($B58,AlocList),6)*$H58</f>
        <v>822417.78113085043</v>
      </c>
      <c r="M58" s="2">
        <f>INDEX(AlocTable,MATCH($B58,AlocList),7)*$H58</f>
        <v>322088.28246606613</v>
      </c>
      <c r="N58" s="2">
        <f>INDEX(AlocTable,MATCH($B58,AlocList),8)*$H58</f>
        <v>50234.606200656039</v>
      </c>
      <c r="O58" s="2">
        <f>INDEX(AlocTable,MATCH($B58,AlocList),9)*$H58</f>
        <v>3055.6592921218266</v>
      </c>
      <c r="P58" s="2">
        <f>INDEX(AlocTable,MATCH($B58,AlocList),10)*$H58</f>
        <v>64335.323693996637</v>
      </c>
      <c r="Q58" s="2">
        <f>INDEX(AlocTable,MATCH($B58,AlocList),11)*$H58</f>
        <v>1632.4183544143775</v>
      </c>
      <c r="R58" s="2">
        <f>INDEX(AlocTable,MATCH($B58,AlocList),12)*$H58</f>
        <v>1666.1877253630228</v>
      </c>
      <c r="S58" s="2">
        <f>INDEX(AlocTable,MATCH($B58,AlocList),13)*$H58</f>
        <v>3203.3955616448297</v>
      </c>
      <c r="T58" s="158">
        <f t="shared" si="58"/>
        <v>0</v>
      </c>
    </row>
    <row r="59" spans="1:20" x14ac:dyDescent="0.2">
      <c r="A59" s="12">
        <f t="shared" ref="A59:A62" si="59">+A58+1</f>
        <v>38</v>
      </c>
      <c r="B59" s="23">
        <v>39</v>
      </c>
      <c r="C59" s="163"/>
      <c r="F59" s="11" t="s">
        <v>204</v>
      </c>
      <c r="H59" s="2">
        <f>'FUN-2 (Test Year)'!I63</f>
        <v>61540.5</v>
      </c>
      <c r="I59" s="2">
        <f>INDEX(AlocTable,MATCH($B59,AlocList),3)*$H59</f>
        <v>1551.9218730836806</v>
      </c>
      <c r="J59" s="2">
        <f>INDEX(AlocTable,MATCH($B59,AlocList),4)*$H59</f>
        <v>8676.07099789725</v>
      </c>
      <c r="K59" s="2">
        <f>INDEX(AlocTable,MATCH($B59,AlocList),5)*$H59</f>
        <v>20736.628191200922</v>
      </c>
      <c r="L59" s="2">
        <f>INDEX(AlocTable,MATCH($B59,AlocList),6)*$H59</f>
        <v>19513.730007734026</v>
      </c>
      <c r="M59" s="2">
        <f>INDEX(AlocTable,MATCH($B59,AlocList),7)*$H59</f>
        <v>7634.0632200868222</v>
      </c>
      <c r="N59" s="2">
        <f>INDEX(AlocTable,MATCH($B59,AlocList),8)*$H59</f>
        <v>1178.6071279851285</v>
      </c>
      <c r="O59" s="2">
        <f>INDEX(AlocTable,MATCH($B59,AlocList),9)*$H59</f>
        <v>71.368558684048423</v>
      </c>
      <c r="P59" s="2">
        <f>INDEX(AlocTable,MATCH($B59,AlocList),10)*$H59</f>
        <v>1978.1861148544604</v>
      </c>
      <c r="Q59" s="2">
        <f>INDEX(AlocTable,MATCH($B59,AlocList),11)*$H59</f>
        <v>50.193690447498611</v>
      </c>
      <c r="R59" s="2">
        <f>INDEX(AlocTable,MATCH($B59,AlocList),12)*$H59</f>
        <v>51.232032945559475</v>
      </c>
      <c r="S59" s="2">
        <f>INDEX(AlocTable,MATCH($B59,AlocList),13)*$H59</f>
        <v>98.498185080609602</v>
      </c>
      <c r="T59" s="158">
        <f t="shared" si="58"/>
        <v>0</v>
      </c>
    </row>
    <row r="60" spans="1:20" x14ac:dyDescent="0.2">
      <c r="A60" s="12">
        <f t="shared" si="59"/>
        <v>39</v>
      </c>
      <c r="B60" s="23">
        <v>42</v>
      </c>
      <c r="F60" s="11" t="s">
        <v>205</v>
      </c>
      <c r="H60" s="2">
        <f>'FUN-2 (Test Year)'!I64</f>
        <v>-1947186.99</v>
      </c>
      <c r="I60" s="2">
        <f>INDEX(AlocTable,MATCH($B60,AlocList),3)*$H60</f>
        <v>-34990.604431640502</v>
      </c>
      <c r="J60" s="2">
        <f>INDEX(AlocTable,MATCH($B60,AlocList),4)*$H60</f>
        <v>-111660.99020722439</v>
      </c>
      <c r="K60" s="2">
        <f>INDEX(AlocTable,MATCH($B60,AlocList),5)*$H60</f>
        <v>-266880.30076629407</v>
      </c>
      <c r="L60" s="2">
        <f>INDEX(AlocTable,MATCH($B60,AlocList),6)*$H60</f>
        <v>-292004.24318175815</v>
      </c>
      <c r="M60" s="2">
        <f>INDEX(AlocTable,MATCH($B60,AlocList),7)*$H60</f>
        <v>-114450.72581969517</v>
      </c>
      <c r="N60" s="2">
        <f>INDEX(AlocTable,MATCH($B60,AlocList),8)*$H60</f>
        <v>-12961.531335825604</v>
      </c>
      <c r="O60" s="2">
        <f>INDEX(AlocTable,MATCH($B60,AlocList),9)*$H60</f>
        <v>-637.79367426704891</v>
      </c>
      <c r="P60" s="2">
        <f>INDEX(AlocTable,MATCH($B60,AlocList),10)*$H60</f>
        <v>-216608.61959545314</v>
      </c>
      <c r="Q60" s="2">
        <f>INDEX(AlocTable,MATCH($B60,AlocList),11)*$H60</f>
        <v>-4726.6275073803872</v>
      </c>
      <c r="R60" s="2">
        <f>INDEX(AlocTable,MATCH($B60,AlocList),12)*$H60</f>
        <v>-4824.4058968484833</v>
      </c>
      <c r="S60" s="2">
        <f>INDEX(AlocTable,MATCH($B60,AlocList),13)*$H60</f>
        <v>-887441.14758361329</v>
      </c>
      <c r="T60" s="158">
        <f t="shared" si="58"/>
        <v>0</v>
      </c>
    </row>
    <row r="61" spans="1:20" x14ac:dyDescent="0.2">
      <c r="A61" s="111">
        <f t="shared" si="59"/>
        <v>40</v>
      </c>
      <c r="B61" s="28">
        <v>41</v>
      </c>
      <c r="C61" s="111"/>
      <c r="D61" s="24"/>
      <c r="E61" s="24"/>
      <c r="F61" s="24" t="s">
        <v>360</v>
      </c>
      <c r="G61" s="24"/>
      <c r="H61" s="36">
        <f>'FUN-2 (Test Year)'!I65</f>
        <v>-206566.06</v>
      </c>
      <c r="I61" s="36">
        <f>INDEX(AlocTable,MATCH($B61,AlocList),3)*$H61</f>
        <v>-6836.2723111663518</v>
      </c>
      <c r="J61" s="36">
        <f>INDEX(AlocTable,MATCH($B61,AlocList),4)*$H61</f>
        <v>-18443.688594288291</v>
      </c>
      <c r="K61" s="36">
        <f>INDEX(AlocTable,MATCH($B61,AlocList),5)*$H61</f>
        <v>-44082.155730023776</v>
      </c>
      <c r="L61" s="36">
        <f>INDEX(AlocTable,MATCH($B61,AlocList),6)*$H61</f>
        <v>-53615.856823783426</v>
      </c>
      <c r="M61" s="36">
        <f>INDEX(AlocTable,MATCH($B61,AlocList),7)*$H61</f>
        <v>-20554.887681394845</v>
      </c>
      <c r="N61" s="36">
        <f>INDEX(AlocTable,MATCH($B61,AlocList),8)*$H61</f>
        <v>-1802.1171484315103</v>
      </c>
      <c r="O61" s="36">
        <f>INDEX(AlocTable,MATCH($B61,AlocList),9)*$H61</f>
        <v>-69.012315168050591</v>
      </c>
      <c r="P61" s="36">
        <f>INDEX(AlocTable,MATCH($B61,AlocList),10)*$H61</f>
        <v>-55385.122244763268</v>
      </c>
      <c r="Q61" s="36">
        <f>INDEX(AlocTable,MATCH($B61,AlocList),11)*$H61</f>
        <v>-1366.4521674311375</v>
      </c>
      <c r="R61" s="36">
        <f>INDEX(AlocTable,MATCH($B61,AlocList),12)*$H61</f>
        <v>-1394.7195720463692</v>
      </c>
      <c r="S61" s="36">
        <f>INDEX(AlocTable,MATCH($B61,AlocList),13)*$H61</f>
        <v>-3015.7754115030039</v>
      </c>
      <c r="T61" s="161">
        <f t="shared" si="58"/>
        <v>0</v>
      </c>
    </row>
    <row r="62" spans="1:20" x14ac:dyDescent="0.2">
      <c r="A62" s="12">
        <f t="shared" si="59"/>
        <v>41</v>
      </c>
      <c r="C62" s="12"/>
      <c r="H62" s="2">
        <f t="shared" ref="H62:S62" si="60">SUM(H57:H61)</f>
        <v>1657947.53</v>
      </c>
      <c r="I62" s="2">
        <f t="shared" si="60"/>
        <v>1194722.1183696988</v>
      </c>
      <c r="J62" s="2">
        <f t="shared" si="60"/>
        <v>246268.93305431251</v>
      </c>
      <c r="K62" s="2">
        <f t="shared" si="60"/>
        <v>588605.98317241995</v>
      </c>
      <c r="L62" s="2">
        <f t="shared" si="60"/>
        <v>496311.41113304294</v>
      </c>
      <c r="M62" s="2">
        <f t="shared" si="60"/>
        <v>194716.73218506292</v>
      </c>
      <c r="N62" s="2">
        <f t="shared" si="60"/>
        <v>36649.564844384055</v>
      </c>
      <c r="O62" s="2">
        <f t="shared" si="60"/>
        <v>2420.2218613707755</v>
      </c>
      <c r="P62" s="2">
        <f t="shared" si="60"/>
        <v>-205680.2320313653</v>
      </c>
      <c r="Q62" s="2">
        <f t="shared" ref="Q62:R62" si="61">SUM(Q57:Q61)</f>
        <v>-4410.4676299496487</v>
      </c>
      <c r="R62" s="2">
        <f t="shared" si="61"/>
        <v>-4501.7057105862696</v>
      </c>
      <c r="S62" s="2">
        <f t="shared" si="60"/>
        <v>-887155.02924839093</v>
      </c>
      <c r="T62" s="158">
        <f t="shared" si="58"/>
        <v>0</v>
      </c>
    </row>
    <row r="63" spans="1:20" x14ac:dyDescent="0.2">
      <c r="A63" s="12"/>
      <c r="C63" s="1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58"/>
    </row>
    <row r="64" spans="1:20" x14ac:dyDescent="0.2">
      <c r="A64" s="12">
        <f>+A62+1</f>
        <v>42</v>
      </c>
      <c r="C64" s="12"/>
      <c r="D64" s="16" t="s">
        <v>208</v>
      </c>
      <c r="E64" s="16"/>
      <c r="F64" s="16"/>
      <c r="G64" s="16"/>
      <c r="H64" s="15">
        <f t="shared" ref="H64:S64" si="62">SUM(H57:H61)</f>
        <v>1657947.53</v>
      </c>
      <c r="I64" s="3">
        <f t="shared" si="62"/>
        <v>1194722.1183696988</v>
      </c>
      <c r="J64" s="3">
        <f t="shared" si="62"/>
        <v>246268.93305431251</v>
      </c>
      <c r="K64" s="3">
        <f t="shared" si="62"/>
        <v>588605.98317241995</v>
      </c>
      <c r="L64" s="3">
        <f t="shared" si="62"/>
        <v>496311.41113304294</v>
      </c>
      <c r="M64" s="3">
        <f t="shared" si="62"/>
        <v>194716.73218506292</v>
      </c>
      <c r="N64" s="3">
        <f t="shared" si="62"/>
        <v>36649.564844384055</v>
      </c>
      <c r="O64" s="3">
        <f t="shared" si="62"/>
        <v>2420.2218613707755</v>
      </c>
      <c r="P64" s="3">
        <f t="shared" si="62"/>
        <v>-205680.2320313653</v>
      </c>
      <c r="Q64" s="3">
        <f t="shared" ref="Q64:R64" si="63">SUM(Q57:Q61)</f>
        <v>-4410.4676299496487</v>
      </c>
      <c r="R64" s="3">
        <f t="shared" si="63"/>
        <v>-4501.7057105862696</v>
      </c>
      <c r="S64" s="3">
        <f t="shared" si="62"/>
        <v>-887155.02924839093</v>
      </c>
      <c r="T64" s="158">
        <f>SUM(I64:S64)-H64</f>
        <v>0</v>
      </c>
    </row>
    <row r="65" spans="1:20" x14ac:dyDescent="0.2">
      <c r="A65" s="12"/>
      <c r="C65" s="12"/>
      <c r="H65" s="158"/>
      <c r="T65" s="158"/>
    </row>
    <row r="66" spans="1:20" x14ac:dyDescent="0.2">
      <c r="A66" s="12"/>
      <c r="C66" s="12"/>
      <c r="D66" s="11" t="s">
        <v>209</v>
      </c>
      <c r="H66" s="2"/>
      <c r="T66" s="158"/>
    </row>
    <row r="67" spans="1:20" x14ac:dyDescent="0.2">
      <c r="A67" s="12"/>
      <c r="C67" s="12"/>
      <c r="H67" s="2"/>
      <c r="T67" s="158"/>
    </row>
    <row r="68" spans="1:20" x14ac:dyDescent="0.2">
      <c r="A68" s="12"/>
      <c r="C68" s="12"/>
      <c r="E68" s="11" t="s">
        <v>210</v>
      </c>
      <c r="H68" s="2"/>
      <c r="T68" s="158"/>
    </row>
    <row r="69" spans="1:20" x14ac:dyDescent="0.2">
      <c r="A69" s="12">
        <f>+A64+1</f>
        <v>43</v>
      </c>
      <c r="B69" s="23">
        <v>1.1000000000000001</v>
      </c>
      <c r="C69" s="11" t="s">
        <v>211</v>
      </c>
      <c r="F69" s="11" t="s">
        <v>212</v>
      </c>
      <c r="H69" s="2">
        <f>'FUN-2 (Test Year)'!I73</f>
        <v>0</v>
      </c>
      <c r="I69" s="2">
        <f t="shared" ref="I69:I73" si="64">INDEX(AlocTable,MATCH($B69,AlocList),3)*$H69</f>
        <v>0</v>
      </c>
      <c r="J69" s="2">
        <f t="shared" ref="J69:J73" si="65">INDEX(AlocTable,MATCH($B69,AlocList),4)*$H69</f>
        <v>0</v>
      </c>
      <c r="K69" s="2">
        <f t="shared" ref="K69:K73" si="66">INDEX(AlocTable,MATCH($B69,AlocList),5)*$H69</f>
        <v>0</v>
      </c>
      <c r="L69" s="2">
        <f t="shared" ref="L69:L73" si="67">INDEX(AlocTable,MATCH($B69,AlocList),6)*$H69</f>
        <v>0</v>
      </c>
      <c r="M69" s="2">
        <f t="shared" ref="M69:M73" si="68">INDEX(AlocTable,MATCH($B69,AlocList),7)*$H69</f>
        <v>0</v>
      </c>
      <c r="N69" s="2">
        <f t="shared" ref="N69:N73" si="69">INDEX(AlocTable,MATCH($B69,AlocList),8)*$H69</f>
        <v>0</v>
      </c>
      <c r="O69" s="2">
        <f t="shared" ref="O69:O73" si="70">INDEX(AlocTable,MATCH($B69,AlocList),9)*$H69</f>
        <v>0</v>
      </c>
      <c r="P69" s="2">
        <f t="shared" ref="P69:P73" si="71">INDEX(AlocTable,MATCH($B69,AlocList),10)*$H69</f>
        <v>0</v>
      </c>
      <c r="Q69" s="2">
        <f>INDEX(AlocTable,MATCH($B69,AlocList),11)*$H69</f>
        <v>0</v>
      </c>
      <c r="R69" s="2">
        <f>INDEX(AlocTable,MATCH($B69,AlocList),12)*$H69</f>
        <v>0</v>
      </c>
      <c r="S69" s="2">
        <f>INDEX(AlocTable,MATCH($B69,AlocList),13)*$H69</f>
        <v>0</v>
      </c>
      <c r="T69" s="158">
        <f t="shared" ref="T69:T74" si="72">SUM(I69:S69)-H69</f>
        <v>0</v>
      </c>
    </row>
    <row r="70" spans="1:20" x14ac:dyDescent="0.2">
      <c r="A70" s="12">
        <f>+A69+1</f>
        <v>44</v>
      </c>
      <c r="B70" s="23">
        <v>1.1000000000000001</v>
      </c>
      <c r="C70" s="11" t="s">
        <v>211</v>
      </c>
      <c r="F70" s="11" t="s">
        <v>213</v>
      </c>
      <c r="H70" s="2">
        <f>'FUN-2 (Test Year)'!I74</f>
        <v>-3028358.43</v>
      </c>
      <c r="I70" s="2">
        <f t="shared" si="64"/>
        <v>-3028358.43</v>
      </c>
      <c r="J70" s="2">
        <f t="shared" si="65"/>
        <v>0</v>
      </c>
      <c r="K70" s="2">
        <f t="shared" si="66"/>
        <v>0</v>
      </c>
      <c r="L70" s="2">
        <f t="shared" si="67"/>
        <v>0</v>
      </c>
      <c r="M70" s="2">
        <f t="shared" si="68"/>
        <v>0</v>
      </c>
      <c r="N70" s="2">
        <f t="shared" si="69"/>
        <v>0</v>
      </c>
      <c r="O70" s="2">
        <f t="shared" si="70"/>
        <v>0</v>
      </c>
      <c r="P70" s="2">
        <f t="shared" si="71"/>
        <v>0</v>
      </c>
      <c r="Q70" s="2">
        <f>INDEX(AlocTable,MATCH($B70,AlocList),11)*$H70</f>
        <v>0</v>
      </c>
      <c r="R70" s="2">
        <f>INDEX(AlocTable,MATCH($B70,AlocList),12)*$H70</f>
        <v>0</v>
      </c>
      <c r="S70" s="2">
        <f>INDEX(AlocTable,MATCH($B70,AlocList),13)*$H70</f>
        <v>0</v>
      </c>
      <c r="T70" s="158">
        <f t="shared" si="72"/>
        <v>0</v>
      </c>
    </row>
    <row r="71" spans="1:20" x14ac:dyDescent="0.2">
      <c r="A71" s="12">
        <f t="shared" ref="A71:A74" si="73">+A70+1</f>
        <v>45</v>
      </c>
      <c r="B71" s="23">
        <v>44</v>
      </c>
      <c r="C71" s="11" t="s">
        <v>211</v>
      </c>
      <c r="F71" s="11" t="s">
        <v>214</v>
      </c>
      <c r="H71" s="2">
        <f>'FUN-2 (Test Year)'!I75</f>
        <v>-76671308.090000004</v>
      </c>
      <c r="I71" s="2">
        <f t="shared" si="64"/>
        <v>0</v>
      </c>
      <c r="J71" s="2">
        <f t="shared" si="65"/>
        <v>-11623316.757858478</v>
      </c>
      <c r="K71" s="2">
        <f t="shared" si="66"/>
        <v>-27780823.602605645</v>
      </c>
      <c r="L71" s="2">
        <f t="shared" si="67"/>
        <v>-25519180.719808508</v>
      </c>
      <c r="M71" s="2">
        <f t="shared" si="68"/>
        <v>-10030524.175199145</v>
      </c>
      <c r="N71" s="2">
        <f t="shared" si="69"/>
        <v>-1617635.9272721361</v>
      </c>
      <c r="O71" s="2">
        <f t="shared" si="70"/>
        <v>-99826.907256091334</v>
      </c>
      <c r="P71" s="2">
        <f t="shared" si="71"/>
        <v>0</v>
      </c>
      <c r="Q71" s="2">
        <f>INDEX(AlocTable,MATCH($B71,AlocList),11)*$H71</f>
        <v>0</v>
      </c>
      <c r="R71" s="2">
        <f>INDEX(AlocTable,MATCH($B71,AlocList),12)*$H71</f>
        <v>0</v>
      </c>
      <c r="S71" s="2">
        <f>INDEX(AlocTable,MATCH($B71,AlocList),13)*$H71</f>
        <v>0</v>
      </c>
      <c r="T71" s="158">
        <f t="shared" si="72"/>
        <v>0</v>
      </c>
    </row>
    <row r="72" spans="1:20" x14ac:dyDescent="0.2">
      <c r="A72" s="12">
        <f t="shared" si="73"/>
        <v>46</v>
      </c>
      <c r="B72" s="23">
        <v>40</v>
      </c>
      <c r="C72" s="11" t="s">
        <v>211</v>
      </c>
      <c r="F72" s="11" t="s">
        <v>215</v>
      </c>
      <c r="H72" s="2">
        <f>'FUN-2 (Test Year)'!I76</f>
        <v>-3380119.25</v>
      </c>
      <c r="I72" s="2">
        <f t="shared" si="64"/>
        <v>-115420.53039531372</v>
      </c>
      <c r="J72" s="2">
        <f t="shared" si="65"/>
        <v>-281470.80109308602</v>
      </c>
      <c r="K72" s="2">
        <f t="shared" si="66"/>
        <v>-672741.76875239972</v>
      </c>
      <c r="L72" s="2">
        <f t="shared" si="67"/>
        <v>-855482.06920360099</v>
      </c>
      <c r="M72" s="2">
        <f t="shared" si="68"/>
        <v>-317893.18659735954</v>
      </c>
      <c r="N72" s="2">
        <f t="shared" si="69"/>
        <v>-24442.769343968706</v>
      </c>
      <c r="O72" s="2">
        <f t="shared" si="70"/>
        <v>-811.52245625594151</v>
      </c>
      <c r="P72" s="2">
        <f t="shared" si="71"/>
        <v>-1009801.7402892705</v>
      </c>
      <c r="Q72" s="2">
        <f>INDEX(AlocTable,MATCH($B72,AlocList),11)*$H72</f>
        <v>-25622.298925677216</v>
      </c>
      <c r="R72" s="2">
        <f>INDEX(AlocTable,MATCH($B72,AlocList),12)*$H72</f>
        <v>-26152.340084941603</v>
      </c>
      <c r="S72" s="2">
        <f>INDEX(AlocTable,MATCH($B72,AlocList),13)*$H72</f>
        <v>-50280.22285812677</v>
      </c>
      <c r="T72" s="158">
        <f t="shared" si="72"/>
        <v>0</v>
      </c>
    </row>
    <row r="73" spans="1:20" x14ac:dyDescent="0.2">
      <c r="A73" s="111">
        <f t="shared" si="73"/>
        <v>47</v>
      </c>
      <c r="B73" s="28">
        <v>40</v>
      </c>
      <c r="C73" s="24" t="s">
        <v>211</v>
      </c>
      <c r="D73" s="24"/>
      <c r="E73" s="24"/>
      <c r="F73" s="24" t="s">
        <v>216</v>
      </c>
      <c r="G73" s="24"/>
      <c r="H73" s="36">
        <f>'FUN-2 (Test Year)'!I77</f>
        <v>-7046326.04</v>
      </c>
      <c r="I73" s="36">
        <f t="shared" si="64"/>
        <v>-240610.05802535237</v>
      </c>
      <c r="J73" s="36">
        <f t="shared" si="65"/>
        <v>-586764.81169765606</v>
      </c>
      <c r="K73" s="36">
        <f t="shared" si="66"/>
        <v>-1402423.2557344516</v>
      </c>
      <c r="L73" s="36">
        <f t="shared" si="67"/>
        <v>-1783370.6846237499</v>
      </c>
      <c r="M73" s="36">
        <f t="shared" si="68"/>
        <v>-662692.31142053753</v>
      </c>
      <c r="N73" s="36">
        <f t="shared" si="69"/>
        <v>-50954.333081035657</v>
      </c>
      <c r="O73" s="36">
        <f t="shared" si="70"/>
        <v>-1691.7307919124455</v>
      </c>
      <c r="P73" s="36">
        <f t="shared" si="71"/>
        <v>-2105071.3810873991</v>
      </c>
      <c r="Q73" s="36">
        <f>INDEX(AlocTable,MATCH($B73,AlocList),11)*$H73</f>
        <v>-53413.225620564539</v>
      </c>
      <c r="R73" s="36">
        <f>INDEX(AlocTable,MATCH($B73,AlocList),12)*$H73</f>
        <v>-54518.169720627404</v>
      </c>
      <c r="S73" s="36">
        <f>INDEX(AlocTable,MATCH($B73,AlocList),13)*$H73</f>
        <v>-104816.07819671507</v>
      </c>
      <c r="T73" s="161">
        <f t="shared" si="72"/>
        <v>0</v>
      </c>
    </row>
    <row r="74" spans="1:20" x14ac:dyDescent="0.2">
      <c r="A74" s="12">
        <f t="shared" si="73"/>
        <v>48</v>
      </c>
      <c r="E74" s="11" t="s">
        <v>361</v>
      </c>
      <c r="H74" s="74">
        <f t="shared" ref="H74:S74" si="74">SUM(H69:H73)</f>
        <v>-90126111.810000017</v>
      </c>
      <c r="I74" s="2">
        <f t="shared" si="74"/>
        <v>-3384389.018420666</v>
      </c>
      <c r="J74" s="2">
        <f t="shared" si="74"/>
        <v>-12491552.37064922</v>
      </c>
      <c r="K74" s="2">
        <f t="shared" si="74"/>
        <v>-29855988.627092496</v>
      </c>
      <c r="L74" s="2">
        <f t="shared" si="74"/>
        <v>-28158033.47363586</v>
      </c>
      <c r="M74" s="2">
        <f t="shared" si="74"/>
        <v>-11011109.673217043</v>
      </c>
      <c r="N74" s="2">
        <f t="shared" si="74"/>
        <v>-1693033.0296971404</v>
      </c>
      <c r="O74" s="2">
        <f t="shared" si="74"/>
        <v>-102330.16050425972</v>
      </c>
      <c r="P74" s="2">
        <f t="shared" si="74"/>
        <v>-3114873.1213766695</v>
      </c>
      <c r="Q74" s="2">
        <f t="shared" si="74"/>
        <v>-79035.524546241752</v>
      </c>
      <c r="R74" s="2">
        <f t="shared" si="74"/>
        <v>-80670.509805569003</v>
      </c>
      <c r="S74" s="2">
        <f t="shared" si="74"/>
        <v>-155096.30105484184</v>
      </c>
      <c r="T74" s="158">
        <f t="shared" si="72"/>
        <v>0</v>
      </c>
    </row>
    <row r="75" spans="1:20" x14ac:dyDescent="0.2">
      <c r="A75" s="12"/>
      <c r="H75" s="21"/>
      <c r="T75" s="158"/>
    </row>
    <row r="76" spans="1:20" x14ac:dyDescent="0.2">
      <c r="A76" s="12">
        <f>+A74+1</f>
        <v>49</v>
      </c>
      <c r="B76" s="23">
        <v>44.1</v>
      </c>
      <c r="C76" s="12">
        <v>252</v>
      </c>
      <c r="E76" s="11" t="s">
        <v>218</v>
      </c>
      <c r="H76" s="2">
        <f>'FUN-2 (Test Year)'!I80</f>
        <v>-2002458.53</v>
      </c>
      <c r="I76" s="2">
        <f t="shared" ref="I76:I81" si="75">INDEX(AlocTable,MATCH($B76,AlocList),3)*$H76</f>
        <v>0</v>
      </c>
      <c r="J76" s="2">
        <f t="shared" ref="J76:J81" si="76">INDEX(AlocTable,MATCH($B76,AlocList),4)*$H76</f>
        <v>-349156.5864965489</v>
      </c>
      <c r="K76" s="2">
        <f t="shared" ref="K76:K81" si="77">INDEX(AlocTable,MATCH($B76,AlocList),5)*$H76</f>
        <v>-834517.18138804985</v>
      </c>
      <c r="L76" s="2">
        <f t="shared" ref="L76:L81" si="78">INDEX(AlocTable,MATCH($B76,AlocList),6)*$H76</f>
        <v>-818784.76211540122</v>
      </c>
      <c r="M76" s="2">
        <f t="shared" ref="M76:M81" si="79">INDEX(AlocTable,MATCH($B76,AlocList),7)*$H76</f>
        <v>0</v>
      </c>
      <c r="N76" s="2">
        <f t="shared" ref="N76:N81" si="80">INDEX(AlocTable,MATCH($B76,AlocList),8)*$H76</f>
        <v>0</v>
      </c>
      <c r="O76" s="2">
        <f t="shared" ref="O76:O81" si="81">INDEX(AlocTable,MATCH($B76,AlocList),9)*$H76</f>
        <v>0</v>
      </c>
      <c r="P76" s="2">
        <f t="shared" ref="P76:P81" si="82">INDEX(AlocTable,MATCH($B76,AlocList),10)*$H76</f>
        <v>0</v>
      </c>
      <c r="Q76" s="2">
        <f t="shared" ref="Q76:Q81" si="83">INDEX(AlocTable,MATCH($B76,AlocList),11)*$H76</f>
        <v>0</v>
      </c>
      <c r="R76" s="2">
        <f t="shared" ref="R76:R81" si="84">INDEX(AlocTable,MATCH($B76,AlocList),12)*$H76</f>
        <v>0</v>
      </c>
      <c r="S76" s="2">
        <f t="shared" ref="S76:S81" si="85">INDEX(AlocTable,MATCH($B76,AlocList),13)*$H76</f>
        <v>0</v>
      </c>
      <c r="T76" s="158">
        <f t="shared" ref="T76:T82" si="86">SUM(I76:S76)-H76</f>
        <v>0</v>
      </c>
    </row>
    <row r="77" spans="1:20" x14ac:dyDescent="0.2">
      <c r="A77" s="12">
        <f>+A76+1</f>
        <v>50</v>
      </c>
      <c r="B77" s="23">
        <v>47</v>
      </c>
      <c r="C77" s="12">
        <v>282</v>
      </c>
      <c r="E77" s="11" t="s">
        <v>219</v>
      </c>
      <c r="H77" s="2">
        <f>'FUN-2 (Test Year)'!I81</f>
        <v>-28951145.5</v>
      </c>
      <c r="I77" s="2">
        <f t="shared" si="75"/>
        <v>-553600.09906649904</v>
      </c>
      <c r="J77" s="2">
        <f t="shared" si="76"/>
        <v>-4115640.9253886254</v>
      </c>
      <c r="K77" s="2">
        <f t="shared" si="77"/>
        <v>-9836770.0839421768</v>
      </c>
      <c r="L77" s="2">
        <f t="shared" si="78"/>
        <v>-9246706.8766534049</v>
      </c>
      <c r="M77" s="2">
        <f t="shared" si="79"/>
        <v>-3618201.7947909418</v>
      </c>
      <c r="N77" s="2">
        <f t="shared" si="80"/>
        <v>-559709.96835716185</v>
      </c>
      <c r="O77" s="2">
        <f t="shared" si="81"/>
        <v>-33922.231039558123</v>
      </c>
      <c r="P77" s="2">
        <f t="shared" si="82"/>
        <v>-896036.28047857911</v>
      </c>
      <c r="Q77" s="2">
        <f t="shared" si="83"/>
        <v>-22735.66038824349</v>
      </c>
      <c r="R77" s="2">
        <f t="shared" si="84"/>
        <v>-23205.986482860597</v>
      </c>
      <c r="S77" s="2">
        <f t="shared" si="85"/>
        <v>-44615.593411954273</v>
      </c>
      <c r="T77" s="158">
        <f t="shared" si="86"/>
        <v>0</v>
      </c>
    </row>
    <row r="78" spans="1:20" x14ac:dyDescent="0.2">
      <c r="A78" s="12">
        <f t="shared" ref="A78:A82" si="87">+A77+1</f>
        <v>51</v>
      </c>
      <c r="B78" s="23">
        <v>1.7</v>
      </c>
      <c r="C78" s="12">
        <v>255</v>
      </c>
      <c r="E78" s="11" t="s">
        <v>220</v>
      </c>
      <c r="H78" s="2">
        <f>'FUN-2 (Test Year)'!I82</f>
        <v>-134276.90370721201</v>
      </c>
      <c r="I78" s="2">
        <f t="shared" si="75"/>
        <v>0</v>
      </c>
      <c r="J78" s="2">
        <f t="shared" si="76"/>
        <v>0</v>
      </c>
      <c r="K78" s="2">
        <f t="shared" si="77"/>
        <v>0</v>
      </c>
      <c r="L78" s="2">
        <f t="shared" si="78"/>
        <v>0</v>
      </c>
      <c r="M78" s="2">
        <f t="shared" si="79"/>
        <v>0</v>
      </c>
      <c r="N78" s="2">
        <f t="shared" si="80"/>
        <v>0</v>
      </c>
      <c r="O78" s="2">
        <f t="shared" si="81"/>
        <v>0</v>
      </c>
      <c r="P78" s="2">
        <f t="shared" si="82"/>
        <v>-134276.90370721201</v>
      </c>
      <c r="Q78" s="2">
        <f t="shared" si="83"/>
        <v>0</v>
      </c>
      <c r="R78" s="2">
        <f t="shared" si="84"/>
        <v>0</v>
      </c>
      <c r="S78" s="2">
        <f t="shared" si="85"/>
        <v>0</v>
      </c>
      <c r="T78" s="158">
        <f t="shared" si="86"/>
        <v>0</v>
      </c>
    </row>
    <row r="79" spans="1:20" x14ac:dyDescent="0.2">
      <c r="A79" s="12">
        <f t="shared" si="87"/>
        <v>52</v>
      </c>
      <c r="B79" s="23">
        <v>1.7</v>
      </c>
      <c r="C79" s="12">
        <v>228</v>
      </c>
      <c r="E79" s="11" t="s">
        <v>362</v>
      </c>
      <c r="H79" s="2">
        <f>'FUN-2 (Test Year)'!I83</f>
        <v>-261517.76497836699</v>
      </c>
      <c r="I79" s="2">
        <f t="shared" si="75"/>
        <v>0</v>
      </c>
      <c r="J79" s="2">
        <f t="shared" si="76"/>
        <v>0</v>
      </c>
      <c r="K79" s="2">
        <f t="shared" si="77"/>
        <v>0</v>
      </c>
      <c r="L79" s="2">
        <f t="shared" si="78"/>
        <v>0</v>
      </c>
      <c r="M79" s="2">
        <f t="shared" si="79"/>
        <v>0</v>
      </c>
      <c r="N79" s="2">
        <f t="shared" si="80"/>
        <v>0</v>
      </c>
      <c r="O79" s="2">
        <f t="shared" si="81"/>
        <v>0</v>
      </c>
      <c r="P79" s="2">
        <f t="shared" si="82"/>
        <v>-261517.76497836699</v>
      </c>
      <c r="Q79" s="2">
        <f t="shared" si="83"/>
        <v>0</v>
      </c>
      <c r="R79" s="2">
        <f t="shared" si="84"/>
        <v>0</v>
      </c>
      <c r="S79" s="2">
        <f t="shared" si="85"/>
        <v>0</v>
      </c>
      <c r="T79" s="158">
        <f t="shared" si="86"/>
        <v>0</v>
      </c>
    </row>
    <row r="80" spans="1:20" x14ac:dyDescent="0.2">
      <c r="A80" s="12">
        <f t="shared" si="87"/>
        <v>53</v>
      </c>
      <c r="B80" s="23">
        <v>47</v>
      </c>
      <c r="C80" s="12">
        <v>255101</v>
      </c>
      <c r="E80" s="11" t="s">
        <v>222</v>
      </c>
      <c r="H80" s="2">
        <f>'FUN-2 (Test Year)'!I84</f>
        <v>-58.62</v>
      </c>
      <c r="I80" s="2">
        <f t="shared" si="75"/>
        <v>-1.1209241377781811</v>
      </c>
      <c r="J80" s="2">
        <f t="shared" si="76"/>
        <v>-8.3333100255491175</v>
      </c>
      <c r="K80" s="2">
        <f t="shared" si="77"/>
        <v>-19.917397130994015</v>
      </c>
      <c r="L80" s="2">
        <f t="shared" si="78"/>
        <v>-18.722642843593963</v>
      </c>
      <c r="M80" s="2">
        <f t="shared" si="79"/>
        <v>-7.3261000747153506</v>
      </c>
      <c r="N80" s="2">
        <f t="shared" si="80"/>
        <v>-1.1332953421513781</v>
      </c>
      <c r="O80" s="2">
        <f t="shared" si="81"/>
        <v>-6.86854060243971E-2</v>
      </c>
      <c r="P80" s="2">
        <f t="shared" si="82"/>
        <v>-1.8142856130391907</v>
      </c>
      <c r="Q80" s="2">
        <f t="shared" si="83"/>
        <v>-4.6034945731554332E-2</v>
      </c>
      <c r="R80" s="2">
        <f t="shared" si="84"/>
        <v>-4.6987257468803376E-2</v>
      </c>
      <c r="S80" s="2">
        <f t="shared" si="85"/>
        <v>-9.0337222954054081E-2</v>
      </c>
      <c r="T80" s="158">
        <f t="shared" si="86"/>
        <v>0</v>
      </c>
    </row>
    <row r="81" spans="1:20" x14ac:dyDescent="0.2">
      <c r="A81" s="111">
        <f t="shared" si="87"/>
        <v>54</v>
      </c>
      <c r="B81" s="28">
        <v>58.1</v>
      </c>
      <c r="C81" s="111">
        <v>144003</v>
      </c>
      <c r="D81" s="24"/>
      <c r="E81" s="24" t="s">
        <v>223</v>
      </c>
      <c r="F81" s="24"/>
      <c r="G81" s="24"/>
      <c r="H81" s="89">
        <f>'FUN-2 (Test Year)'!I85</f>
        <v>-471723.555992799</v>
      </c>
      <c r="I81" s="36">
        <f t="shared" si="75"/>
        <v>-14441.604763234054</v>
      </c>
      <c r="J81" s="36">
        <f t="shared" si="76"/>
        <v>-41331.120951434292</v>
      </c>
      <c r="K81" s="36">
        <f t="shared" si="77"/>
        <v>-98785.278278977668</v>
      </c>
      <c r="L81" s="36">
        <f t="shared" si="78"/>
        <v>-119393.23553353468</v>
      </c>
      <c r="M81" s="36">
        <f t="shared" si="79"/>
        <v>-71351.438121761588</v>
      </c>
      <c r="N81" s="36">
        <f t="shared" si="80"/>
        <v>-6617.4086480736632</v>
      </c>
      <c r="O81" s="36">
        <f t="shared" si="81"/>
        <v>-125.47299570128526</v>
      </c>
      <c r="P81" s="36">
        <f t="shared" si="82"/>
        <v>-99923.916753764875</v>
      </c>
      <c r="Q81" s="36">
        <f t="shared" si="83"/>
        <v>-444.63706492110123</v>
      </c>
      <c r="R81" s="36">
        <f t="shared" si="84"/>
        <v>-453.83514453239309</v>
      </c>
      <c r="S81" s="36">
        <f t="shared" si="85"/>
        <v>-18855.607736863411</v>
      </c>
      <c r="T81" s="161">
        <f t="shared" si="86"/>
        <v>0</v>
      </c>
    </row>
    <row r="82" spans="1:20" x14ac:dyDescent="0.2">
      <c r="A82" s="12">
        <f t="shared" si="87"/>
        <v>55</v>
      </c>
      <c r="H82" s="74">
        <f t="shared" ref="H82:S82" si="88">SUM(H76:H81)</f>
        <v>-31821180.874678385</v>
      </c>
      <c r="I82" s="2">
        <f t="shared" si="88"/>
        <v>-568042.82475387084</v>
      </c>
      <c r="J82" s="2">
        <f t="shared" si="88"/>
        <v>-4506136.9661466349</v>
      </c>
      <c r="K82" s="2">
        <f t="shared" si="88"/>
        <v>-10770092.461006336</v>
      </c>
      <c r="L82" s="2">
        <f t="shared" si="88"/>
        <v>-10184903.596945185</v>
      </c>
      <c r="M82" s="2">
        <f t="shared" si="88"/>
        <v>-3689560.5590127781</v>
      </c>
      <c r="N82" s="2">
        <f t="shared" si="88"/>
        <v>-566328.51030057762</v>
      </c>
      <c r="O82" s="2">
        <f t="shared" si="88"/>
        <v>-34047.772720665431</v>
      </c>
      <c r="P82" s="2">
        <f t="shared" si="88"/>
        <v>-1391756.6802035361</v>
      </c>
      <c r="Q82" s="2">
        <f t="shared" si="88"/>
        <v>-23180.343488110324</v>
      </c>
      <c r="R82" s="2">
        <f t="shared" si="88"/>
        <v>-23659.868614650459</v>
      </c>
      <c r="S82" s="2">
        <f t="shared" si="88"/>
        <v>-63471.291486040631</v>
      </c>
      <c r="T82" s="158">
        <f t="shared" si="86"/>
        <v>0</v>
      </c>
    </row>
    <row r="83" spans="1:20" x14ac:dyDescent="0.2">
      <c r="A83" s="12"/>
      <c r="C83" s="12"/>
      <c r="H83" s="15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158"/>
    </row>
    <row r="84" spans="1:20" x14ac:dyDescent="0.2">
      <c r="A84" s="12">
        <f>+A82+1</f>
        <v>56</v>
      </c>
      <c r="C84" s="12"/>
      <c r="D84" s="16" t="s">
        <v>225</v>
      </c>
      <c r="E84" s="16"/>
      <c r="F84" s="16"/>
      <c r="G84" s="16"/>
      <c r="H84" s="15">
        <f t="shared" ref="H84:S84" si="89">H74+H82</f>
        <v>-121947292.68467841</v>
      </c>
      <c r="I84" s="3">
        <f t="shared" si="89"/>
        <v>-3952431.8431745367</v>
      </c>
      <c r="J84" s="3">
        <f t="shared" si="89"/>
        <v>-16997689.336795855</v>
      </c>
      <c r="K84" s="3">
        <f t="shared" si="89"/>
        <v>-40626081.088098831</v>
      </c>
      <c r="L84" s="3">
        <f t="shared" si="89"/>
        <v>-38342937.070581049</v>
      </c>
      <c r="M84" s="3">
        <f t="shared" si="89"/>
        <v>-14700670.232229821</v>
      </c>
      <c r="N84" s="3">
        <f t="shared" si="89"/>
        <v>-2259361.5399977183</v>
      </c>
      <c r="O84" s="3">
        <f t="shared" si="89"/>
        <v>-136377.93322492516</v>
      </c>
      <c r="P84" s="3">
        <f t="shared" si="89"/>
        <v>-4506629.8015802056</v>
      </c>
      <c r="Q84" s="3">
        <f t="shared" ref="Q84:R84" si="90">Q74+Q82</f>
        <v>-102215.86803435208</v>
      </c>
      <c r="R84" s="3">
        <f t="shared" si="90"/>
        <v>-104330.37842021947</v>
      </c>
      <c r="S84" s="3">
        <f t="shared" si="89"/>
        <v>-218567.59254088247</v>
      </c>
      <c r="T84" s="158">
        <f>SUM(I84:S84)-H84</f>
        <v>0</v>
      </c>
    </row>
    <row r="85" spans="1:20" x14ac:dyDescent="0.2">
      <c r="A85" s="12"/>
      <c r="C85" s="12"/>
      <c r="H85" s="158"/>
      <c r="T85" s="158"/>
    </row>
    <row r="86" spans="1:20" x14ac:dyDescent="0.2">
      <c r="A86" s="12">
        <f>+A84+1</f>
        <v>57</v>
      </c>
      <c r="B86" s="17"/>
      <c r="C86" s="8"/>
      <c r="D86" s="16" t="s">
        <v>52</v>
      </c>
      <c r="E86" s="16"/>
      <c r="F86" s="16"/>
      <c r="G86" s="16"/>
      <c r="H86" s="15">
        <f t="shared" ref="H86:S86" si="91">H53+H64+H84</f>
        <v>152184860.11532155</v>
      </c>
      <c r="I86" s="15">
        <f t="shared" si="91"/>
        <v>4113516.1997425025</v>
      </c>
      <c r="J86" s="15">
        <f t="shared" si="91"/>
        <v>21662397.326341067</v>
      </c>
      <c r="K86" s="15">
        <f t="shared" si="91"/>
        <v>51775173.254722081</v>
      </c>
      <c r="L86" s="15">
        <f t="shared" si="91"/>
        <v>48551568.630664676</v>
      </c>
      <c r="M86" s="15">
        <f t="shared" si="91"/>
        <v>19294313.135326974</v>
      </c>
      <c r="N86" s="15">
        <f t="shared" si="91"/>
        <v>2995640.8254138529</v>
      </c>
      <c r="O86" s="15">
        <f t="shared" si="91"/>
        <v>182030.80528323023</v>
      </c>
      <c r="P86" s="15">
        <f t="shared" si="91"/>
        <v>4046226.044599006</v>
      </c>
      <c r="Q86" s="15">
        <f t="shared" ref="Q86:R86" si="92">Q53+Q64+Q84</f>
        <v>115609.19889018798</v>
      </c>
      <c r="R86" s="15">
        <f t="shared" si="92"/>
        <v>118000.77327541902</v>
      </c>
      <c r="S86" s="15">
        <f t="shared" si="91"/>
        <v>-669616.07893738779</v>
      </c>
      <c r="T86" s="158">
        <f>SUM(I86:S86)-H86</f>
        <v>0</v>
      </c>
    </row>
    <row r="87" spans="1:20" x14ac:dyDescent="0.2">
      <c r="A87" s="12"/>
      <c r="H87" s="158"/>
      <c r="T87" s="158"/>
    </row>
    <row r="88" spans="1:20" ht="18" x14ac:dyDescent="0.25">
      <c r="A88" s="10" t="s">
        <v>363</v>
      </c>
      <c r="B88" s="11"/>
      <c r="C88" s="10"/>
      <c r="T88" s="158"/>
    </row>
    <row r="89" spans="1:20" x14ac:dyDescent="0.2">
      <c r="A89" s="12"/>
      <c r="C89" s="12"/>
      <c r="T89" s="158"/>
    </row>
    <row r="90" spans="1:20" x14ac:dyDescent="0.2">
      <c r="A90" s="12"/>
      <c r="C90" s="12"/>
      <c r="D90" s="11" t="s">
        <v>226</v>
      </c>
      <c r="T90" s="158"/>
    </row>
    <row r="91" spans="1:20" x14ac:dyDescent="0.2">
      <c r="A91" s="12"/>
      <c r="C91" s="12"/>
      <c r="E91" s="11" t="s">
        <v>227</v>
      </c>
      <c r="T91" s="158"/>
    </row>
    <row r="92" spans="1:20" x14ac:dyDescent="0.2">
      <c r="A92" s="12"/>
      <c r="C92" s="12"/>
      <c r="F92" s="11" t="s">
        <v>228</v>
      </c>
      <c r="T92" s="158"/>
    </row>
    <row r="93" spans="1:20" x14ac:dyDescent="0.2">
      <c r="A93" s="12">
        <f>+A86+1</f>
        <v>58</v>
      </c>
      <c r="B93" s="23">
        <v>1.1000000000000001</v>
      </c>
      <c r="C93" s="12">
        <v>710</v>
      </c>
      <c r="G93" s="11" t="s">
        <v>229</v>
      </c>
      <c r="H93" s="2">
        <f>'FUN-2 (Test Year)'!I97</f>
        <v>0</v>
      </c>
      <c r="I93" s="2">
        <f t="shared" ref="I93:I98" si="93">INDEX(AlocTable,MATCH($B93,AlocList),3)*$H93</f>
        <v>0</v>
      </c>
      <c r="J93" s="2">
        <f t="shared" ref="J93:J98" si="94">INDEX(AlocTable,MATCH($B93,AlocList),4)*$H93</f>
        <v>0</v>
      </c>
      <c r="K93" s="2">
        <f t="shared" ref="K93:K98" si="95">INDEX(AlocTable,MATCH($B93,AlocList),5)*$H93</f>
        <v>0</v>
      </c>
      <c r="L93" s="2">
        <f t="shared" ref="L93:L98" si="96">INDEX(AlocTable,MATCH($B93,AlocList),6)*$H93</f>
        <v>0</v>
      </c>
      <c r="M93" s="2">
        <f t="shared" ref="M93:M98" si="97">INDEX(AlocTable,MATCH($B93,AlocList),7)*$H93</f>
        <v>0</v>
      </c>
      <c r="N93" s="2">
        <f t="shared" ref="N93:N98" si="98">INDEX(AlocTable,MATCH($B93,AlocList),8)*$H93</f>
        <v>0</v>
      </c>
      <c r="O93" s="2">
        <f t="shared" ref="O93:O98" si="99">INDEX(AlocTable,MATCH($B93,AlocList),9)*$H93</f>
        <v>0</v>
      </c>
      <c r="P93" s="2">
        <f t="shared" ref="P93:P98" si="100">INDEX(AlocTable,MATCH($B93,AlocList),10)*$H93</f>
        <v>0</v>
      </c>
      <c r="Q93" s="2">
        <f t="shared" ref="Q93:Q98" si="101">INDEX(AlocTable,MATCH($B93,AlocList),11)*$H93</f>
        <v>0</v>
      </c>
      <c r="R93" s="2">
        <f t="shared" ref="R93:R98" si="102">INDEX(AlocTable,MATCH($B93,AlocList),12)*$H93</f>
        <v>0</v>
      </c>
      <c r="S93" s="2">
        <f t="shared" ref="S93:S98" si="103">INDEX(AlocTable,MATCH($B93,AlocList),13)*$H93</f>
        <v>0</v>
      </c>
      <c r="T93" s="158">
        <f t="shared" ref="T93:T98" si="104">SUM(I93:S93)-H93</f>
        <v>0</v>
      </c>
    </row>
    <row r="94" spans="1:20" x14ac:dyDescent="0.2">
      <c r="A94" s="12">
        <f>+A93+1</f>
        <v>59</v>
      </c>
      <c r="B94" s="23">
        <v>1.1000000000000001</v>
      </c>
      <c r="C94" s="12">
        <v>712</v>
      </c>
      <c r="G94" s="11" t="s">
        <v>230</v>
      </c>
      <c r="H94" s="2">
        <f>'FUN-2 (Test Year)'!I98</f>
        <v>0</v>
      </c>
      <c r="I94" s="2">
        <f t="shared" si="93"/>
        <v>0</v>
      </c>
      <c r="J94" s="2">
        <f t="shared" si="94"/>
        <v>0</v>
      </c>
      <c r="K94" s="2">
        <f t="shared" si="95"/>
        <v>0</v>
      </c>
      <c r="L94" s="2">
        <f t="shared" si="96"/>
        <v>0</v>
      </c>
      <c r="M94" s="2">
        <f t="shared" si="97"/>
        <v>0</v>
      </c>
      <c r="N94" s="2">
        <f t="shared" si="98"/>
        <v>0</v>
      </c>
      <c r="O94" s="2">
        <f t="shared" si="99"/>
        <v>0</v>
      </c>
      <c r="P94" s="2">
        <f t="shared" si="100"/>
        <v>0</v>
      </c>
      <c r="Q94" s="2">
        <f t="shared" si="101"/>
        <v>0</v>
      </c>
      <c r="R94" s="2">
        <f t="shared" si="102"/>
        <v>0</v>
      </c>
      <c r="S94" s="2">
        <f t="shared" si="103"/>
        <v>0</v>
      </c>
      <c r="T94" s="158">
        <f t="shared" si="104"/>
        <v>0</v>
      </c>
    </row>
    <row r="95" spans="1:20" x14ac:dyDescent="0.2">
      <c r="A95" s="12">
        <f t="shared" ref="A95:A98" si="105">+A94+1</f>
        <v>60</v>
      </c>
      <c r="B95" s="23">
        <v>1.1000000000000001</v>
      </c>
      <c r="C95" s="12">
        <v>714</v>
      </c>
      <c r="G95" s="11" t="s">
        <v>231</v>
      </c>
      <c r="H95" s="2">
        <f>'FUN-2 (Test Year)'!I99</f>
        <v>0</v>
      </c>
      <c r="I95" s="2">
        <f t="shared" si="93"/>
        <v>0</v>
      </c>
      <c r="J95" s="2">
        <f t="shared" si="94"/>
        <v>0</v>
      </c>
      <c r="K95" s="2">
        <f t="shared" si="95"/>
        <v>0</v>
      </c>
      <c r="L95" s="2">
        <f t="shared" si="96"/>
        <v>0</v>
      </c>
      <c r="M95" s="2">
        <f t="shared" si="97"/>
        <v>0</v>
      </c>
      <c r="N95" s="2">
        <f t="shared" si="98"/>
        <v>0</v>
      </c>
      <c r="O95" s="2">
        <f t="shared" si="99"/>
        <v>0</v>
      </c>
      <c r="P95" s="2">
        <f t="shared" si="100"/>
        <v>0</v>
      </c>
      <c r="Q95" s="2">
        <f t="shared" si="101"/>
        <v>0</v>
      </c>
      <c r="R95" s="2">
        <f t="shared" si="102"/>
        <v>0</v>
      </c>
      <c r="S95" s="2">
        <f t="shared" si="103"/>
        <v>0</v>
      </c>
      <c r="T95" s="158">
        <f t="shared" si="104"/>
        <v>0</v>
      </c>
    </row>
    <row r="96" spans="1:20" x14ac:dyDescent="0.2">
      <c r="A96" s="12">
        <f t="shared" si="105"/>
        <v>61</v>
      </c>
      <c r="B96" s="23">
        <v>1.1000000000000001</v>
      </c>
      <c r="C96" s="12">
        <v>717</v>
      </c>
      <c r="G96" s="11" t="s">
        <v>232</v>
      </c>
      <c r="H96" s="2">
        <f>'FUN-2 (Test Year)'!I100</f>
        <v>0</v>
      </c>
      <c r="I96" s="2">
        <f t="shared" si="93"/>
        <v>0</v>
      </c>
      <c r="J96" s="2">
        <f t="shared" si="94"/>
        <v>0</v>
      </c>
      <c r="K96" s="2">
        <f t="shared" si="95"/>
        <v>0</v>
      </c>
      <c r="L96" s="2">
        <f t="shared" si="96"/>
        <v>0</v>
      </c>
      <c r="M96" s="2">
        <f t="shared" si="97"/>
        <v>0</v>
      </c>
      <c r="N96" s="2">
        <f t="shared" si="98"/>
        <v>0</v>
      </c>
      <c r="O96" s="2">
        <f t="shared" si="99"/>
        <v>0</v>
      </c>
      <c r="P96" s="2">
        <f t="shared" si="100"/>
        <v>0</v>
      </c>
      <c r="Q96" s="2">
        <f t="shared" si="101"/>
        <v>0</v>
      </c>
      <c r="R96" s="2">
        <f t="shared" si="102"/>
        <v>0</v>
      </c>
      <c r="S96" s="2">
        <f t="shared" si="103"/>
        <v>0</v>
      </c>
      <c r="T96" s="158">
        <f t="shared" si="104"/>
        <v>0</v>
      </c>
    </row>
    <row r="97" spans="1:20" x14ac:dyDescent="0.2">
      <c r="A97" s="12">
        <f t="shared" si="105"/>
        <v>62</v>
      </c>
      <c r="B97" s="23">
        <v>1.9</v>
      </c>
      <c r="C97" s="12">
        <v>728</v>
      </c>
      <c r="G97" s="11" t="s">
        <v>233</v>
      </c>
      <c r="H97" s="2">
        <f>'FUN-2 (Test Year)'!I101</f>
        <v>0</v>
      </c>
      <c r="I97" s="2">
        <f t="shared" si="93"/>
        <v>0</v>
      </c>
      <c r="J97" s="2">
        <f t="shared" si="94"/>
        <v>0</v>
      </c>
      <c r="K97" s="2">
        <f t="shared" si="95"/>
        <v>0</v>
      </c>
      <c r="L97" s="2">
        <f t="shared" si="96"/>
        <v>0</v>
      </c>
      <c r="M97" s="2">
        <f t="shared" si="97"/>
        <v>0</v>
      </c>
      <c r="N97" s="2">
        <f t="shared" si="98"/>
        <v>0</v>
      </c>
      <c r="O97" s="2">
        <f t="shared" si="99"/>
        <v>0</v>
      </c>
      <c r="P97" s="2">
        <f t="shared" si="100"/>
        <v>0</v>
      </c>
      <c r="Q97" s="2">
        <f t="shared" si="101"/>
        <v>0</v>
      </c>
      <c r="R97" s="2">
        <f t="shared" si="102"/>
        <v>0</v>
      </c>
      <c r="S97" s="2">
        <f t="shared" si="103"/>
        <v>0</v>
      </c>
      <c r="T97" s="158">
        <f t="shared" si="104"/>
        <v>0</v>
      </c>
    </row>
    <row r="98" spans="1:20" x14ac:dyDescent="0.2">
      <c r="A98" s="12">
        <f t="shared" si="105"/>
        <v>63</v>
      </c>
      <c r="B98" s="23">
        <v>1.1000000000000001</v>
      </c>
      <c r="C98" s="12">
        <v>735</v>
      </c>
      <c r="G98" s="11" t="s">
        <v>234</v>
      </c>
      <c r="H98" s="2">
        <f>'FUN-2 (Test Year)'!I102</f>
        <v>0</v>
      </c>
      <c r="I98" s="2">
        <f t="shared" si="93"/>
        <v>0</v>
      </c>
      <c r="J98" s="2">
        <f t="shared" si="94"/>
        <v>0</v>
      </c>
      <c r="K98" s="2">
        <f t="shared" si="95"/>
        <v>0</v>
      </c>
      <c r="L98" s="2">
        <f t="shared" si="96"/>
        <v>0</v>
      </c>
      <c r="M98" s="2">
        <f t="shared" si="97"/>
        <v>0</v>
      </c>
      <c r="N98" s="2">
        <f t="shared" si="98"/>
        <v>0</v>
      </c>
      <c r="O98" s="2">
        <f t="shared" si="99"/>
        <v>0</v>
      </c>
      <c r="P98" s="2">
        <f t="shared" si="100"/>
        <v>0</v>
      </c>
      <c r="Q98" s="2">
        <f t="shared" si="101"/>
        <v>0</v>
      </c>
      <c r="R98" s="2">
        <f t="shared" si="102"/>
        <v>0</v>
      </c>
      <c r="S98" s="2">
        <f t="shared" si="103"/>
        <v>0</v>
      </c>
      <c r="T98" s="158">
        <f t="shared" si="104"/>
        <v>0</v>
      </c>
    </row>
    <row r="99" spans="1:20" x14ac:dyDescent="0.2">
      <c r="A99" s="12"/>
      <c r="C99" s="12"/>
      <c r="F99" s="11" t="s">
        <v>235</v>
      </c>
      <c r="T99" s="158"/>
    </row>
    <row r="100" spans="1:20" x14ac:dyDescent="0.2">
      <c r="A100" s="12">
        <f>+A98+1</f>
        <v>64</v>
      </c>
      <c r="B100" s="23">
        <v>1.1000000000000001</v>
      </c>
      <c r="C100" s="12">
        <v>740</v>
      </c>
      <c r="G100" s="11" t="s">
        <v>229</v>
      </c>
      <c r="H100" s="2">
        <f>'FUN-2 (Test Year)'!I104</f>
        <v>0</v>
      </c>
      <c r="I100" s="2">
        <f>INDEX(AlocTable,MATCH($B100,AlocList),3)*$H100</f>
        <v>0</v>
      </c>
      <c r="J100" s="2">
        <f>INDEX(AlocTable,MATCH($B100,AlocList),4)*$H100</f>
        <v>0</v>
      </c>
      <c r="K100" s="2">
        <f>INDEX(AlocTable,MATCH($B100,AlocList),5)*$H100</f>
        <v>0</v>
      </c>
      <c r="L100" s="2">
        <f>INDEX(AlocTable,MATCH($B100,AlocList),6)*$H100</f>
        <v>0</v>
      </c>
      <c r="M100" s="2">
        <f>INDEX(AlocTable,MATCH($B100,AlocList),7)*$H100</f>
        <v>0</v>
      </c>
      <c r="N100" s="2">
        <f>INDEX(AlocTable,MATCH($B100,AlocList),8)*$H100</f>
        <v>0</v>
      </c>
      <c r="O100" s="2">
        <f>INDEX(AlocTable,MATCH($B100,AlocList),9)*$H100</f>
        <v>0</v>
      </c>
      <c r="P100" s="2">
        <f>INDEX(AlocTable,MATCH($B100,AlocList),10)*$H100</f>
        <v>0</v>
      </c>
      <c r="Q100" s="2">
        <f>INDEX(AlocTable,MATCH($B100,AlocList),11)*$H100</f>
        <v>0</v>
      </c>
      <c r="R100" s="2">
        <f>INDEX(AlocTable,MATCH($B100,AlocList),12)*$H100</f>
        <v>0</v>
      </c>
      <c r="S100" s="2">
        <f>INDEX(AlocTable,MATCH($B100,AlocList),13)*$H100</f>
        <v>0</v>
      </c>
      <c r="T100" s="158">
        <f t="shared" ref="T100:T102" si="106">SUM(I100:S100)-H100</f>
        <v>0</v>
      </c>
    </row>
    <row r="101" spans="1:20" x14ac:dyDescent="0.2">
      <c r="A101" s="12">
        <f>+A100+1</f>
        <v>65</v>
      </c>
      <c r="B101" s="23">
        <v>1.1000000000000001</v>
      </c>
      <c r="C101" s="12">
        <v>741</v>
      </c>
      <c r="G101" s="11" t="s">
        <v>236</v>
      </c>
      <c r="H101" s="2">
        <f>'FUN-2 (Test Year)'!I105</f>
        <v>0</v>
      </c>
      <c r="I101" s="2">
        <f>INDEX(AlocTable,MATCH($B101,AlocList),3)*$H101</f>
        <v>0</v>
      </c>
      <c r="J101" s="2">
        <f>INDEX(AlocTable,MATCH($B101,AlocList),4)*$H101</f>
        <v>0</v>
      </c>
      <c r="K101" s="2">
        <f>INDEX(AlocTable,MATCH($B101,AlocList),5)*$H101</f>
        <v>0</v>
      </c>
      <c r="L101" s="2">
        <f>INDEX(AlocTable,MATCH($B101,AlocList),6)*$H101</f>
        <v>0</v>
      </c>
      <c r="M101" s="2">
        <f>INDEX(AlocTable,MATCH($B101,AlocList),7)*$H101</f>
        <v>0</v>
      </c>
      <c r="N101" s="2">
        <f>INDEX(AlocTable,MATCH($B101,AlocList),8)*$H101</f>
        <v>0</v>
      </c>
      <c r="O101" s="2">
        <f>INDEX(AlocTable,MATCH($B101,AlocList),9)*$H101</f>
        <v>0</v>
      </c>
      <c r="P101" s="2">
        <f>INDEX(AlocTable,MATCH($B101,AlocList),10)*$H101</f>
        <v>0</v>
      </c>
      <c r="Q101" s="2">
        <f>INDEX(AlocTable,MATCH($B101,AlocList),11)*$H101</f>
        <v>0</v>
      </c>
      <c r="R101" s="2">
        <f>INDEX(AlocTable,MATCH($B101,AlocList),12)*$H101</f>
        <v>0</v>
      </c>
      <c r="S101" s="2">
        <f>INDEX(AlocTable,MATCH($B101,AlocList),13)*$H101</f>
        <v>0</v>
      </c>
      <c r="T101" s="158">
        <f t="shared" si="106"/>
        <v>0</v>
      </c>
    </row>
    <row r="102" spans="1:20" x14ac:dyDescent="0.2">
      <c r="A102" s="12">
        <f>+A101+1</f>
        <v>66</v>
      </c>
      <c r="B102" s="23">
        <v>1.1000000000000001</v>
      </c>
      <c r="C102" s="12">
        <v>742</v>
      </c>
      <c r="G102" s="11" t="s">
        <v>237</v>
      </c>
      <c r="H102" s="2">
        <f>'FUN-2 (Test Year)'!I106</f>
        <v>0</v>
      </c>
      <c r="I102" s="2">
        <f>INDEX(AlocTable,MATCH($B102,AlocList),3)*$H102</f>
        <v>0</v>
      </c>
      <c r="J102" s="2">
        <f>INDEX(AlocTable,MATCH($B102,AlocList),4)*$H102</f>
        <v>0</v>
      </c>
      <c r="K102" s="2">
        <f>INDEX(AlocTable,MATCH($B102,AlocList),5)*$H102</f>
        <v>0</v>
      </c>
      <c r="L102" s="2">
        <f>INDEX(AlocTable,MATCH($B102,AlocList),6)*$H102</f>
        <v>0</v>
      </c>
      <c r="M102" s="2">
        <f>INDEX(AlocTable,MATCH($B102,AlocList),7)*$H102</f>
        <v>0</v>
      </c>
      <c r="N102" s="2">
        <f>INDEX(AlocTable,MATCH($B102,AlocList),8)*$H102</f>
        <v>0</v>
      </c>
      <c r="O102" s="2">
        <f>INDEX(AlocTable,MATCH($B102,AlocList),9)*$H102</f>
        <v>0</v>
      </c>
      <c r="P102" s="2">
        <f>INDEX(AlocTable,MATCH($B102,AlocList),10)*$H102</f>
        <v>0</v>
      </c>
      <c r="Q102" s="2">
        <f>INDEX(AlocTable,MATCH($B102,AlocList),11)*$H102</f>
        <v>0</v>
      </c>
      <c r="R102" s="2">
        <f>INDEX(AlocTable,MATCH($B102,AlocList),12)*$H102</f>
        <v>0</v>
      </c>
      <c r="S102" s="2">
        <f>INDEX(AlocTable,MATCH($B102,AlocList),13)*$H102</f>
        <v>0</v>
      </c>
      <c r="T102" s="158">
        <f t="shared" si="106"/>
        <v>0</v>
      </c>
    </row>
    <row r="103" spans="1:20" x14ac:dyDescent="0.2">
      <c r="A103" s="12"/>
      <c r="B103" s="20"/>
      <c r="C103" s="12"/>
      <c r="E103" s="11" t="s">
        <v>364</v>
      </c>
      <c r="T103" s="158"/>
    </row>
    <row r="104" spans="1:20" x14ac:dyDescent="0.2">
      <c r="A104" s="12">
        <f>+A102+1</f>
        <v>67</v>
      </c>
      <c r="B104" s="23">
        <v>1.9</v>
      </c>
      <c r="C104" s="12" t="s">
        <v>239</v>
      </c>
      <c r="G104" s="11" t="s">
        <v>240</v>
      </c>
      <c r="H104" s="2">
        <f>'FUN-2 (Test Year)'!I108</f>
        <v>19727771.389999986</v>
      </c>
      <c r="I104" s="2">
        <f>INDEX(AlocTable,MATCH($B104,AlocList),3)*$H104</f>
        <v>0</v>
      </c>
      <c r="J104" s="2">
        <f>INDEX(AlocTable,MATCH($B104,AlocList),4)*$H104</f>
        <v>0</v>
      </c>
      <c r="K104" s="2">
        <f>INDEX(AlocTable,MATCH($B104,AlocList),5)*$H104</f>
        <v>0</v>
      </c>
      <c r="L104" s="2">
        <f>INDEX(AlocTable,MATCH($B104,AlocList),6)*$H104</f>
        <v>0</v>
      </c>
      <c r="M104" s="2">
        <f>INDEX(AlocTable,MATCH($B104,AlocList),7)*$H104</f>
        <v>0</v>
      </c>
      <c r="N104" s="2">
        <f>INDEX(AlocTable,MATCH($B104,AlocList),8)*$H104</f>
        <v>0</v>
      </c>
      <c r="O104" s="2">
        <f>INDEX(AlocTable,MATCH($B104,AlocList),9)*$H104</f>
        <v>0</v>
      </c>
      <c r="P104" s="2">
        <f>INDEX(AlocTable,MATCH($B104,AlocList),10)*$H104</f>
        <v>0</v>
      </c>
      <c r="Q104" s="2">
        <f>INDEX(AlocTable,MATCH($B104,AlocList),11)*$H104</f>
        <v>0</v>
      </c>
      <c r="R104" s="2">
        <f>INDEX(AlocTable,MATCH($B104,AlocList),12)*$H104</f>
        <v>0</v>
      </c>
      <c r="S104" s="2">
        <f>INDEX(AlocTable,MATCH($B104,AlocList),13)*$H104</f>
        <v>19727771.389999986</v>
      </c>
      <c r="T104" s="158">
        <f t="shared" ref="T104:T108" si="107">SUM(I104:S104)-H104</f>
        <v>0</v>
      </c>
    </row>
    <row r="105" spans="1:20" x14ac:dyDescent="0.2">
      <c r="A105" s="12">
        <f>+A104+1</f>
        <v>68</v>
      </c>
      <c r="B105" s="23">
        <v>1.9</v>
      </c>
      <c r="C105" s="12">
        <v>808</v>
      </c>
      <c r="G105" s="11" t="s">
        <v>241</v>
      </c>
      <c r="H105" s="2">
        <f>'FUN-2 (Test Year)'!I109</f>
        <v>-521726.78</v>
      </c>
      <c r="I105" s="2">
        <f>INDEX(AlocTable,MATCH($B105,AlocList),3)*$H105</f>
        <v>0</v>
      </c>
      <c r="J105" s="2">
        <f>INDEX(AlocTable,MATCH($B105,AlocList),4)*$H105</f>
        <v>0</v>
      </c>
      <c r="K105" s="2">
        <f>INDEX(AlocTable,MATCH($B105,AlocList),5)*$H105</f>
        <v>0</v>
      </c>
      <c r="L105" s="2">
        <f>INDEX(AlocTable,MATCH($B105,AlocList),6)*$H105</f>
        <v>0</v>
      </c>
      <c r="M105" s="2">
        <f>INDEX(AlocTable,MATCH($B105,AlocList),7)*$H105</f>
        <v>0</v>
      </c>
      <c r="N105" s="2">
        <f>INDEX(AlocTable,MATCH($B105,AlocList),8)*$H105</f>
        <v>0</v>
      </c>
      <c r="O105" s="2">
        <f>INDEX(AlocTable,MATCH($B105,AlocList),9)*$H105</f>
        <v>0</v>
      </c>
      <c r="P105" s="2">
        <f>INDEX(AlocTable,MATCH($B105,AlocList),10)*$H105</f>
        <v>0</v>
      </c>
      <c r="Q105" s="2">
        <f>INDEX(AlocTable,MATCH($B105,AlocList),11)*$H105</f>
        <v>0</v>
      </c>
      <c r="R105" s="2">
        <f>INDEX(AlocTable,MATCH($B105,AlocList),12)*$H105</f>
        <v>0</v>
      </c>
      <c r="S105" s="2">
        <f>INDEX(AlocTable,MATCH($B105,AlocList),13)*$H105</f>
        <v>-521726.78</v>
      </c>
      <c r="T105" s="158">
        <f t="shared" si="107"/>
        <v>0</v>
      </c>
    </row>
    <row r="106" spans="1:20" x14ac:dyDescent="0.2">
      <c r="A106" s="12">
        <f>+A105+1</f>
        <v>69</v>
      </c>
      <c r="B106" s="23">
        <v>1.9</v>
      </c>
      <c r="C106" s="12">
        <v>812</v>
      </c>
      <c r="G106" s="11" t="s">
        <v>242</v>
      </c>
      <c r="H106" s="2">
        <f>'FUN-2 (Test Year)'!I110</f>
        <v>0</v>
      </c>
      <c r="I106" s="2">
        <f>INDEX(AlocTable,MATCH($B106,AlocList),3)*$H106</f>
        <v>0</v>
      </c>
      <c r="J106" s="2">
        <f>INDEX(AlocTable,MATCH($B106,AlocList),4)*$H106</f>
        <v>0</v>
      </c>
      <c r="K106" s="2">
        <f>INDEX(AlocTable,MATCH($B106,AlocList),5)*$H106</f>
        <v>0</v>
      </c>
      <c r="L106" s="2">
        <f>INDEX(AlocTable,MATCH($B106,AlocList),6)*$H106</f>
        <v>0</v>
      </c>
      <c r="M106" s="2">
        <f>INDEX(AlocTable,MATCH($B106,AlocList),7)*$H106</f>
        <v>0</v>
      </c>
      <c r="N106" s="2">
        <f>INDEX(AlocTable,MATCH($B106,AlocList),8)*$H106</f>
        <v>0</v>
      </c>
      <c r="O106" s="2">
        <f>INDEX(AlocTable,MATCH($B106,AlocList),9)*$H106</f>
        <v>0</v>
      </c>
      <c r="P106" s="2">
        <f>INDEX(AlocTable,MATCH($B106,AlocList),10)*$H106</f>
        <v>0</v>
      </c>
      <c r="Q106" s="2">
        <f>INDEX(AlocTable,MATCH($B106,AlocList),11)*$H106</f>
        <v>0</v>
      </c>
      <c r="R106" s="2">
        <f>INDEX(AlocTable,MATCH($B106,AlocList),12)*$H106</f>
        <v>0</v>
      </c>
      <c r="S106" s="2">
        <f>INDEX(AlocTable,MATCH($B106,AlocList),13)*$H106</f>
        <v>0</v>
      </c>
      <c r="T106" s="158">
        <f t="shared" si="107"/>
        <v>0</v>
      </c>
    </row>
    <row r="107" spans="1:20" x14ac:dyDescent="0.2">
      <c r="A107" s="111">
        <f>+A106+1</f>
        <v>70</v>
      </c>
      <c r="B107" s="28">
        <v>1.9</v>
      </c>
      <c r="C107" s="111">
        <v>813</v>
      </c>
      <c r="D107" s="24"/>
      <c r="E107" s="24"/>
      <c r="F107" s="24"/>
      <c r="G107" s="24" t="s">
        <v>243</v>
      </c>
      <c r="H107" s="36">
        <f>'FUN-2 (Test Year)'!I111</f>
        <v>166138.85000000003</v>
      </c>
      <c r="I107" s="36">
        <f>INDEX(AlocTable,MATCH($B107,AlocList),3)*$H107</f>
        <v>0</v>
      </c>
      <c r="J107" s="36">
        <f>INDEX(AlocTable,MATCH($B107,AlocList),4)*$H107</f>
        <v>0</v>
      </c>
      <c r="K107" s="36">
        <f>INDEX(AlocTable,MATCH($B107,AlocList),5)*$H107</f>
        <v>0</v>
      </c>
      <c r="L107" s="36">
        <f>INDEX(AlocTable,MATCH($B107,AlocList),6)*$H107</f>
        <v>0</v>
      </c>
      <c r="M107" s="36">
        <f>INDEX(AlocTable,MATCH($B107,AlocList),7)*$H107</f>
        <v>0</v>
      </c>
      <c r="N107" s="36">
        <f>INDEX(AlocTable,MATCH($B107,AlocList),8)*$H107</f>
        <v>0</v>
      </c>
      <c r="O107" s="36">
        <f>INDEX(AlocTable,MATCH($B107,AlocList),9)*$H107</f>
        <v>0</v>
      </c>
      <c r="P107" s="36">
        <f>INDEX(AlocTable,MATCH($B107,AlocList),10)*$H107</f>
        <v>0</v>
      </c>
      <c r="Q107" s="36">
        <f>INDEX(AlocTable,MATCH($B107,AlocList),11)*$H107</f>
        <v>0</v>
      </c>
      <c r="R107" s="36">
        <f>INDEX(AlocTable,MATCH($B107,AlocList),12)*$H107</f>
        <v>0</v>
      </c>
      <c r="S107" s="36">
        <f>INDEX(AlocTable,MATCH($B107,AlocList),13)*$H107</f>
        <v>166138.85000000003</v>
      </c>
      <c r="T107" s="161">
        <f t="shared" si="107"/>
        <v>0</v>
      </c>
    </row>
    <row r="108" spans="1:20" x14ac:dyDescent="0.2">
      <c r="A108" s="12">
        <f>+A107+1</f>
        <v>71</v>
      </c>
      <c r="B108" s="20"/>
      <c r="C108" s="12"/>
      <c r="D108" s="11" t="s">
        <v>244</v>
      </c>
      <c r="H108" s="74">
        <f t="shared" ref="H108:S108" si="108">SUM(H93:H107)</f>
        <v>19372183.459999986</v>
      </c>
      <c r="I108" s="2">
        <f t="shared" si="108"/>
        <v>0</v>
      </c>
      <c r="J108" s="2">
        <f t="shared" si="108"/>
        <v>0</v>
      </c>
      <c r="K108" s="2">
        <f t="shared" si="108"/>
        <v>0</v>
      </c>
      <c r="L108" s="2">
        <f t="shared" si="108"/>
        <v>0</v>
      </c>
      <c r="M108" s="2">
        <f t="shared" si="108"/>
        <v>0</v>
      </c>
      <c r="N108" s="2">
        <f t="shared" si="108"/>
        <v>0</v>
      </c>
      <c r="O108" s="2">
        <f t="shared" si="108"/>
        <v>0</v>
      </c>
      <c r="P108" s="2">
        <f t="shared" si="108"/>
        <v>0</v>
      </c>
      <c r="Q108" s="2">
        <f t="shared" si="108"/>
        <v>0</v>
      </c>
      <c r="R108" s="2">
        <f t="shared" si="108"/>
        <v>0</v>
      </c>
      <c r="S108" s="2">
        <f t="shared" si="108"/>
        <v>19372183.459999986</v>
      </c>
      <c r="T108" s="158">
        <f t="shared" si="107"/>
        <v>0</v>
      </c>
    </row>
    <row r="109" spans="1:20" x14ac:dyDescent="0.2">
      <c r="A109" s="12"/>
      <c r="B109" s="20"/>
      <c r="C109" s="12"/>
      <c r="I109" s="158"/>
      <c r="T109" s="158"/>
    </row>
    <row r="110" spans="1:20" x14ac:dyDescent="0.2">
      <c r="A110" s="12"/>
      <c r="B110" s="20"/>
      <c r="C110" s="12"/>
      <c r="D110" s="11" t="s">
        <v>245</v>
      </c>
      <c r="I110" s="158"/>
      <c r="T110" s="158"/>
    </row>
    <row r="111" spans="1:20" x14ac:dyDescent="0.2">
      <c r="A111" s="12"/>
      <c r="B111" s="20"/>
      <c r="C111" s="12"/>
      <c r="F111" s="11" t="s">
        <v>228</v>
      </c>
      <c r="T111" s="158"/>
    </row>
    <row r="112" spans="1:20" x14ac:dyDescent="0.2">
      <c r="A112" s="12">
        <f>+A108+1</f>
        <v>72</v>
      </c>
      <c r="B112" s="23">
        <v>1.1000000000000001</v>
      </c>
      <c r="C112" s="12">
        <v>840</v>
      </c>
      <c r="G112" s="11" t="s">
        <v>229</v>
      </c>
      <c r="H112" s="2">
        <f>'FUN-2 (Test Year)'!I116</f>
        <v>74372.679999999993</v>
      </c>
      <c r="I112" s="2">
        <f t="shared" ref="I112:I114" si="109">INDEX(AlocTable,MATCH($B112,AlocList),3)*$H112</f>
        <v>74372.679999999993</v>
      </c>
      <c r="J112" s="2">
        <f t="shared" ref="J112:J114" si="110">INDEX(AlocTable,MATCH($B112,AlocList),4)*$H112</f>
        <v>0</v>
      </c>
      <c r="K112" s="2">
        <f t="shared" ref="K112:K114" si="111">INDEX(AlocTable,MATCH($B112,AlocList),5)*$H112</f>
        <v>0</v>
      </c>
      <c r="L112" s="2">
        <f t="shared" ref="L112:L114" si="112">INDEX(AlocTable,MATCH($B112,AlocList),6)*$H112</f>
        <v>0</v>
      </c>
      <c r="M112" s="2">
        <f t="shared" ref="M112:M114" si="113">INDEX(AlocTable,MATCH($B112,AlocList),7)*$H112</f>
        <v>0</v>
      </c>
      <c r="N112" s="2">
        <f t="shared" ref="N112:N114" si="114">INDEX(AlocTable,MATCH($B112,AlocList),8)*$H112</f>
        <v>0</v>
      </c>
      <c r="O112" s="2">
        <f t="shared" ref="O112:O114" si="115">INDEX(AlocTable,MATCH($B112,AlocList),9)*$H112</f>
        <v>0</v>
      </c>
      <c r="P112" s="2">
        <f t="shared" ref="P112:P114" si="116">INDEX(AlocTable,MATCH($B112,AlocList),10)*$H112</f>
        <v>0</v>
      </c>
      <c r="Q112" s="2">
        <f>INDEX(AlocTable,MATCH($B112,AlocList),11)*$H112</f>
        <v>0</v>
      </c>
      <c r="R112" s="2">
        <f>INDEX(AlocTable,MATCH($B112,AlocList),12)*$H112</f>
        <v>0</v>
      </c>
      <c r="S112" s="2">
        <f>INDEX(AlocTable,MATCH($B112,AlocList),13)*$H112</f>
        <v>0</v>
      </c>
      <c r="T112" s="158">
        <f t="shared" ref="T112:T114" si="117">SUM(I112:S112)-H112</f>
        <v>0</v>
      </c>
    </row>
    <row r="113" spans="1:20" x14ac:dyDescent="0.2">
      <c r="A113" s="12">
        <f>+A112+1</f>
        <v>73</v>
      </c>
      <c r="B113" s="23">
        <v>1.1000000000000001</v>
      </c>
      <c r="C113" s="12">
        <v>841</v>
      </c>
      <c r="G113" s="11" t="s">
        <v>246</v>
      </c>
      <c r="H113" s="2">
        <f>'FUN-2 (Test Year)'!I117</f>
        <v>143279.82</v>
      </c>
      <c r="I113" s="2">
        <f t="shared" si="109"/>
        <v>143279.82</v>
      </c>
      <c r="J113" s="2">
        <f t="shared" si="110"/>
        <v>0</v>
      </c>
      <c r="K113" s="2">
        <f t="shared" si="111"/>
        <v>0</v>
      </c>
      <c r="L113" s="2">
        <f t="shared" si="112"/>
        <v>0</v>
      </c>
      <c r="M113" s="2">
        <f t="shared" si="113"/>
        <v>0</v>
      </c>
      <c r="N113" s="2">
        <f t="shared" si="114"/>
        <v>0</v>
      </c>
      <c r="O113" s="2">
        <f t="shared" si="115"/>
        <v>0</v>
      </c>
      <c r="P113" s="2">
        <f t="shared" si="116"/>
        <v>0</v>
      </c>
      <c r="Q113" s="2">
        <f>INDEX(AlocTable,MATCH($B113,AlocList),11)*$H113</f>
        <v>0</v>
      </c>
      <c r="R113" s="2">
        <f>INDEX(AlocTable,MATCH($B113,AlocList),12)*$H113</f>
        <v>0</v>
      </c>
      <c r="S113" s="2">
        <f>INDEX(AlocTable,MATCH($B113,AlocList),13)*$H113</f>
        <v>0</v>
      </c>
      <c r="T113" s="158">
        <f t="shared" si="117"/>
        <v>0</v>
      </c>
    </row>
    <row r="114" spans="1:20" x14ac:dyDescent="0.2">
      <c r="A114" s="12">
        <f>+A113+1</f>
        <v>74</v>
      </c>
      <c r="B114" s="23">
        <v>1.1000000000000001</v>
      </c>
      <c r="C114" s="12">
        <v>842</v>
      </c>
      <c r="G114" s="11" t="s">
        <v>247</v>
      </c>
      <c r="H114" s="2">
        <f>'FUN-2 (Test Year)'!I118</f>
        <v>51004.33</v>
      </c>
      <c r="I114" s="2">
        <f t="shared" si="109"/>
        <v>51004.33</v>
      </c>
      <c r="J114" s="2">
        <f t="shared" si="110"/>
        <v>0</v>
      </c>
      <c r="K114" s="2">
        <f t="shared" si="111"/>
        <v>0</v>
      </c>
      <c r="L114" s="2">
        <f t="shared" si="112"/>
        <v>0</v>
      </c>
      <c r="M114" s="2">
        <f t="shared" si="113"/>
        <v>0</v>
      </c>
      <c r="N114" s="2">
        <f t="shared" si="114"/>
        <v>0</v>
      </c>
      <c r="O114" s="2">
        <f t="shared" si="115"/>
        <v>0</v>
      </c>
      <c r="P114" s="2">
        <f t="shared" si="116"/>
        <v>0</v>
      </c>
      <c r="Q114" s="2">
        <f>INDEX(AlocTable,MATCH($B114,AlocList),11)*$H114</f>
        <v>0</v>
      </c>
      <c r="R114" s="2">
        <f>INDEX(AlocTable,MATCH($B114,AlocList),12)*$H114</f>
        <v>0</v>
      </c>
      <c r="S114" s="2">
        <f>INDEX(AlocTable,MATCH($B114,AlocList),13)*$H114</f>
        <v>0</v>
      </c>
      <c r="T114" s="158">
        <f t="shared" si="117"/>
        <v>0</v>
      </c>
    </row>
    <row r="115" spans="1:20" x14ac:dyDescent="0.2">
      <c r="A115" s="12"/>
      <c r="B115" s="20"/>
      <c r="C115" s="12"/>
      <c r="F115" s="11" t="s">
        <v>235</v>
      </c>
      <c r="T115" s="158"/>
    </row>
    <row r="116" spans="1:20" x14ac:dyDescent="0.2">
      <c r="A116" s="12">
        <f>+A114+1</f>
        <v>75</v>
      </c>
      <c r="B116" s="23">
        <v>1.1000000000000001</v>
      </c>
      <c r="C116" s="12">
        <v>843.1</v>
      </c>
      <c r="G116" s="11" t="s">
        <v>229</v>
      </c>
      <c r="H116" s="2">
        <f>'FUN-2 (Test Year)'!I120</f>
        <v>4707.93</v>
      </c>
      <c r="I116" s="2">
        <f t="shared" ref="I116:I124" si="118">INDEX(AlocTable,MATCH($B116,AlocList),3)*$H116</f>
        <v>4707.93</v>
      </c>
      <c r="J116" s="2">
        <f t="shared" ref="J116:J124" si="119">INDEX(AlocTable,MATCH($B116,AlocList),4)*$H116</f>
        <v>0</v>
      </c>
      <c r="K116" s="2">
        <f t="shared" ref="K116:K124" si="120">INDEX(AlocTable,MATCH($B116,AlocList),5)*$H116</f>
        <v>0</v>
      </c>
      <c r="L116" s="2">
        <f t="shared" ref="L116:L124" si="121">INDEX(AlocTable,MATCH($B116,AlocList),6)*$H116</f>
        <v>0</v>
      </c>
      <c r="M116" s="2">
        <f t="shared" ref="M116:M124" si="122">INDEX(AlocTable,MATCH($B116,AlocList),7)*$H116</f>
        <v>0</v>
      </c>
      <c r="N116" s="2">
        <f t="shared" ref="N116:N124" si="123">INDEX(AlocTable,MATCH($B116,AlocList),8)*$H116</f>
        <v>0</v>
      </c>
      <c r="O116" s="2">
        <f t="shared" ref="O116:O124" si="124">INDEX(AlocTable,MATCH($B116,AlocList),9)*$H116</f>
        <v>0</v>
      </c>
      <c r="P116" s="2">
        <f t="shared" ref="P116:P124" si="125">INDEX(AlocTable,MATCH($B116,AlocList),10)*$H116</f>
        <v>0</v>
      </c>
      <c r="Q116" s="2">
        <f t="shared" ref="Q116:Q124" si="126">INDEX(AlocTable,MATCH($B116,AlocList),11)*$H116</f>
        <v>0</v>
      </c>
      <c r="R116" s="2">
        <f t="shared" ref="R116:R124" si="127">INDEX(AlocTable,MATCH($B116,AlocList),12)*$H116</f>
        <v>0</v>
      </c>
      <c r="S116" s="2">
        <f t="shared" ref="S116:S124" si="128">INDEX(AlocTable,MATCH($B116,AlocList),13)*$H116</f>
        <v>0</v>
      </c>
      <c r="T116" s="158">
        <f t="shared" ref="T116:T122" si="129">SUM(I116:S116)-H116</f>
        <v>0</v>
      </c>
    </row>
    <row r="117" spans="1:20" x14ac:dyDescent="0.2">
      <c r="A117" s="12">
        <f>+A116+1</f>
        <v>76</v>
      </c>
      <c r="B117" s="23">
        <v>1.1000000000000001</v>
      </c>
      <c r="C117" s="12">
        <v>843.2</v>
      </c>
      <c r="G117" s="11" t="s">
        <v>168</v>
      </c>
      <c r="H117" s="2">
        <f>'FUN-2 (Test Year)'!I121</f>
        <v>2174.89</v>
      </c>
      <c r="I117" s="2">
        <f t="shared" si="118"/>
        <v>2174.89</v>
      </c>
      <c r="J117" s="2">
        <f t="shared" si="119"/>
        <v>0</v>
      </c>
      <c r="K117" s="2">
        <f t="shared" si="120"/>
        <v>0</v>
      </c>
      <c r="L117" s="2">
        <f t="shared" si="121"/>
        <v>0</v>
      </c>
      <c r="M117" s="2">
        <f t="shared" si="122"/>
        <v>0</v>
      </c>
      <c r="N117" s="2">
        <f t="shared" si="123"/>
        <v>0</v>
      </c>
      <c r="O117" s="2">
        <f t="shared" si="124"/>
        <v>0</v>
      </c>
      <c r="P117" s="2">
        <f t="shared" si="125"/>
        <v>0</v>
      </c>
      <c r="Q117" s="2">
        <f t="shared" si="126"/>
        <v>0</v>
      </c>
      <c r="R117" s="2">
        <f t="shared" si="127"/>
        <v>0</v>
      </c>
      <c r="S117" s="2">
        <f t="shared" si="128"/>
        <v>0</v>
      </c>
      <c r="T117" s="158">
        <f t="shared" si="129"/>
        <v>0</v>
      </c>
    </row>
    <row r="118" spans="1:20" x14ac:dyDescent="0.2">
      <c r="A118" s="12">
        <f>+A117+1</f>
        <v>77</v>
      </c>
      <c r="B118" s="23">
        <v>1.1000000000000001</v>
      </c>
      <c r="C118" s="12">
        <v>843.3</v>
      </c>
      <c r="G118" s="11" t="s">
        <v>175</v>
      </c>
      <c r="H118" s="2">
        <f>'FUN-2 (Test Year)'!I122</f>
        <v>20094.75</v>
      </c>
      <c r="I118" s="2">
        <f t="shared" si="118"/>
        <v>20094.75</v>
      </c>
      <c r="J118" s="2">
        <f t="shared" si="119"/>
        <v>0</v>
      </c>
      <c r="K118" s="2">
        <f t="shared" si="120"/>
        <v>0</v>
      </c>
      <c r="L118" s="2">
        <f t="shared" si="121"/>
        <v>0</v>
      </c>
      <c r="M118" s="2">
        <f t="shared" si="122"/>
        <v>0</v>
      </c>
      <c r="N118" s="2">
        <f t="shared" si="123"/>
        <v>0</v>
      </c>
      <c r="O118" s="2">
        <f t="shared" si="124"/>
        <v>0</v>
      </c>
      <c r="P118" s="2">
        <f t="shared" si="125"/>
        <v>0</v>
      </c>
      <c r="Q118" s="2">
        <f t="shared" si="126"/>
        <v>0</v>
      </c>
      <c r="R118" s="2">
        <f t="shared" si="127"/>
        <v>0</v>
      </c>
      <c r="S118" s="2">
        <f t="shared" si="128"/>
        <v>0</v>
      </c>
      <c r="T118" s="158">
        <f t="shared" ref="T118:T121" si="130">SUM(I118:S118)-H118</f>
        <v>0</v>
      </c>
    </row>
    <row r="119" spans="1:20" x14ac:dyDescent="0.2">
      <c r="A119" s="12">
        <f t="shared" ref="A119:A125" si="131">+A118+1</f>
        <v>78</v>
      </c>
      <c r="B119" s="23">
        <v>1.1000000000000001</v>
      </c>
      <c r="C119" s="12">
        <v>843.4</v>
      </c>
      <c r="G119" s="11" t="s">
        <v>176</v>
      </c>
      <c r="H119" s="2">
        <f>'FUN-2 (Test Year)'!I123</f>
        <v>2824.6</v>
      </c>
      <c r="I119" s="2">
        <f t="shared" si="118"/>
        <v>2824.6</v>
      </c>
      <c r="J119" s="2">
        <f t="shared" si="119"/>
        <v>0</v>
      </c>
      <c r="K119" s="2">
        <f t="shared" si="120"/>
        <v>0</v>
      </c>
      <c r="L119" s="2">
        <f t="shared" si="121"/>
        <v>0</v>
      </c>
      <c r="M119" s="2">
        <f t="shared" si="122"/>
        <v>0</v>
      </c>
      <c r="N119" s="2">
        <f t="shared" si="123"/>
        <v>0</v>
      </c>
      <c r="O119" s="2">
        <f t="shared" si="124"/>
        <v>0</v>
      </c>
      <c r="P119" s="2">
        <f t="shared" si="125"/>
        <v>0</v>
      </c>
      <c r="Q119" s="2">
        <f t="shared" si="126"/>
        <v>0</v>
      </c>
      <c r="R119" s="2">
        <f t="shared" si="127"/>
        <v>0</v>
      </c>
      <c r="S119" s="2">
        <f t="shared" si="128"/>
        <v>0</v>
      </c>
      <c r="T119" s="158">
        <f t="shared" si="130"/>
        <v>0</v>
      </c>
    </row>
    <row r="120" spans="1:20" x14ac:dyDescent="0.2">
      <c r="A120" s="12">
        <f t="shared" si="131"/>
        <v>79</v>
      </c>
      <c r="B120" s="23">
        <v>1.1000000000000001</v>
      </c>
      <c r="C120" s="12">
        <v>843.5</v>
      </c>
      <c r="G120" s="11" t="s">
        <v>248</v>
      </c>
      <c r="H120" s="2">
        <f>'FUN-2 (Test Year)'!I124</f>
        <v>8869.4599999999991</v>
      </c>
      <c r="I120" s="2">
        <f t="shared" si="118"/>
        <v>8869.4599999999991</v>
      </c>
      <c r="J120" s="2">
        <f t="shared" si="119"/>
        <v>0</v>
      </c>
      <c r="K120" s="2">
        <f t="shared" si="120"/>
        <v>0</v>
      </c>
      <c r="L120" s="2">
        <f t="shared" si="121"/>
        <v>0</v>
      </c>
      <c r="M120" s="2">
        <f t="shared" si="122"/>
        <v>0</v>
      </c>
      <c r="N120" s="2">
        <f t="shared" si="123"/>
        <v>0</v>
      </c>
      <c r="O120" s="2">
        <f t="shared" si="124"/>
        <v>0</v>
      </c>
      <c r="P120" s="2">
        <f t="shared" si="125"/>
        <v>0</v>
      </c>
      <c r="Q120" s="2">
        <f t="shared" si="126"/>
        <v>0</v>
      </c>
      <c r="R120" s="2">
        <f t="shared" si="127"/>
        <v>0</v>
      </c>
      <c r="S120" s="2">
        <f t="shared" si="128"/>
        <v>0</v>
      </c>
      <c r="T120" s="158">
        <f t="shared" si="130"/>
        <v>0</v>
      </c>
    </row>
    <row r="121" spans="1:20" x14ac:dyDescent="0.2">
      <c r="A121" s="12">
        <f t="shared" si="131"/>
        <v>80</v>
      </c>
      <c r="B121" s="23">
        <v>1.1000000000000001</v>
      </c>
      <c r="C121" s="12">
        <v>843.6</v>
      </c>
      <c r="G121" s="11" t="s">
        <v>178</v>
      </c>
      <c r="H121" s="2">
        <f>'FUN-2 (Test Year)'!I125</f>
        <v>6871.64</v>
      </c>
      <c r="I121" s="2">
        <f t="shared" si="118"/>
        <v>6871.64</v>
      </c>
      <c r="J121" s="2">
        <f t="shared" si="119"/>
        <v>0</v>
      </c>
      <c r="K121" s="2">
        <f t="shared" si="120"/>
        <v>0</v>
      </c>
      <c r="L121" s="2">
        <f t="shared" si="121"/>
        <v>0</v>
      </c>
      <c r="M121" s="2">
        <f t="shared" si="122"/>
        <v>0</v>
      </c>
      <c r="N121" s="2">
        <f t="shared" si="123"/>
        <v>0</v>
      </c>
      <c r="O121" s="2">
        <f t="shared" si="124"/>
        <v>0</v>
      </c>
      <c r="P121" s="2">
        <f t="shared" si="125"/>
        <v>0</v>
      </c>
      <c r="Q121" s="2">
        <f t="shared" si="126"/>
        <v>0</v>
      </c>
      <c r="R121" s="2">
        <f t="shared" si="127"/>
        <v>0</v>
      </c>
      <c r="S121" s="2">
        <f t="shared" si="128"/>
        <v>0</v>
      </c>
      <c r="T121" s="158">
        <f t="shared" si="130"/>
        <v>0</v>
      </c>
    </row>
    <row r="122" spans="1:20" x14ac:dyDescent="0.2">
      <c r="A122" s="12">
        <f t="shared" si="131"/>
        <v>81</v>
      </c>
      <c r="B122" s="23">
        <v>1.1000000000000001</v>
      </c>
      <c r="C122" s="12">
        <v>843.7</v>
      </c>
      <c r="G122" s="11" t="s">
        <v>249</v>
      </c>
      <c r="H122" s="2">
        <f>'FUN-2 (Test Year)'!I126</f>
        <v>56573.42</v>
      </c>
      <c r="I122" s="2">
        <f t="shared" si="118"/>
        <v>56573.42</v>
      </c>
      <c r="J122" s="2">
        <f t="shared" si="119"/>
        <v>0</v>
      </c>
      <c r="K122" s="2">
        <f t="shared" si="120"/>
        <v>0</v>
      </c>
      <c r="L122" s="2">
        <f t="shared" si="121"/>
        <v>0</v>
      </c>
      <c r="M122" s="2">
        <f t="shared" si="122"/>
        <v>0</v>
      </c>
      <c r="N122" s="2">
        <f t="shared" si="123"/>
        <v>0</v>
      </c>
      <c r="O122" s="2">
        <f t="shared" si="124"/>
        <v>0</v>
      </c>
      <c r="P122" s="2">
        <f t="shared" si="125"/>
        <v>0</v>
      </c>
      <c r="Q122" s="2">
        <f t="shared" si="126"/>
        <v>0</v>
      </c>
      <c r="R122" s="2">
        <f t="shared" si="127"/>
        <v>0</v>
      </c>
      <c r="S122" s="2">
        <f t="shared" si="128"/>
        <v>0</v>
      </c>
      <c r="T122" s="158">
        <f t="shared" si="129"/>
        <v>0</v>
      </c>
    </row>
    <row r="123" spans="1:20" x14ac:dyDescent="0.2">
      <c r="A123" s="12">
        <f t="shared" si="131"/>
        <v>82</v>
      </c>
      <c r="B123" s="23">
        <v>1.1000000000000001</v>
      </c>
      <c r="C123" s="12">
        <v>843.8</v>
      </c>
      <c r="G123" s="11" t="s">
        <v>250</v>
      </c>
      <c r="H123" s="2">
        <f>'FUN-2 (Test Year)'!I127</f>
        <v>3413.72</v>
      </c>
      <c r="I123" s="2">
        <f t="shared" si="118"/>
        <v>3413.72</v>
      </c>
      <c r="J123" s="2">
        <f t="shared" si="119"/>
        <v>0</v>
      </c>
      <c r="K123" s="2">
        <f t="shared" si="120"/>
        <v>0</v>
      </c>
      <c r="L123" s="2">
        <f t="shared" si="121"/>
        <v>0</v>
      </c>
      <c r="M123" s="2">
        <f t="shared" si="122"/>
        <v>0</v>
      </c>
      <c r="N123" s="2">
        <f t="shared" si="123"/>
        <v>0</v>
      </c>
      <c r="O123" s="2">
        <f t="shared" si="124"/>
        <v>0</v>
      </c>
      <c r="P123" s="2">
        <f t="shared" si="125"/>
        <v>0</v>
      </c>
      <c r="Q123" s="2">
        <f t="shared" si="126"/>
        <v>0</v>
      </c>
      <c r="R123" s="2">
        <f t="shared" si="127"/>
        <v>0</v>
      </c>
      <c r="S123" s="2">
        <f t="shared" si="128"/>
        <v>0</v>
      </c>
      <c r="T123" s="158"/>
    </row>
    <row r="124" spans="1:20" x14ac:dyDescent="0.2">
      <c r="A124" s="111">
        <f t="shared" si="131"/>
        <v>83</v>
      </c>
      <c r="B124" s="28">
        <v>1.1000000000000001</v>
      </c>
      <c r="C124" s="111">
        <v>843.9</v>
      </c>
      <c r="D124" s="24"/>
      <c r="E124" s="24"/>
      <c r="F124" s="24"/>
      <c r="G124" s="24" t="s">
        <v>181</v>
      </c>
      <c r="H124" s="36">
        <f>'FUN-2 (Test Year)'!I128</f>
        <v>58196.35</v>
      </c>
      <c r="I124" s="36">
        <f t="shared" si="118"/>
        <v>58196.35</v>
      </c>
      <c r="J124" s="36">
        <f t="shared" si="119"/>
        <v>0</v>
      </c>
      <c r="K124" s="36">
        <f t="shared" si="120"/>
        <v>0</v>
      </c>
      <c r="L124" s="36">
        <f t="shared" si="121"/>
        <v>0</v>
      </c>
      <c r="M124" s="36">
        <f t="shared" si="122"/>
        <v>0</v>
      </c>
      <c r="N124" s="36">
        <f t="shared" si="123"/>
        <v>0</v>
      </c>
      <c r="O124" s="36">
        <f t="shared" si="124"/>
        <v>0</v>
      </c>
      <c r="P124" s="36">
        <f t="shared" si="125"/>
        <v>0</v>
      </c>
      <c r="Q124" s="36">
        <f t="shared" si="126"/>
        <v>0</v>
      </c>
      <c r="R124" s="36">
        <f t="shared" si="127"/>
        <v>0</v>
      </c>
      <c r="S124" s="36">
        <f t="shared" si="128"/>
        <v>0</v>
      </c>
      <c r="T124" s="161">
        <f t="shared" ref="T124:T125" si="132">SUM(I124:S124)-H124</f>
        <v>0</v>
      </c>
    </row>
    <row r="125" spans="1:20" x14ac:dyDescent="0.2">
      <c r="A125" s="12">
        <f t="shared" si="131"/>
        <v>84</v>
      </c>
      <c r="C125" s="12"/>
      <c r="D125" s="11" t="s">
        <v>251</v>
      </c>
      <c r="H125" s="74">
        <f t="shared" ref="H125:S125" si="133">SUM(H112:H124)</f>
        <v>432383.58999999997</v>
      </c>
      <c r="I125" s="2">
        <f t="shared" si="133"/>
        <v>432383.58999999997</v>
      </c>
      <c r="J125" s="2">
        <f t="shared" si="133"/>
        <v>0</v>
      </c>
      <c r="K125" s="2">
        <f t="shared" si="133"/>
        <v>0</v>
      </c>
      <c r="L125" s="2">
        <f t="shared" si="133"/>
        <v>0</v>
      </c>
      <c r="M125" s="2">
        <f t="shared" si="133"/>
        <v>0</v>
      </c>
      <c r="N125" s="2">
        <f t="shared" si="133"/>
        <v>0</v>
      </c>
      <c r="O125" s="2">
        <f t="shared" si="133"/>
        <v>0</v>
      </c>
      <c r="P125" s="2">
        <f t="shared" si="133"/>
        <v>0</v>
      </c>
      <c r="Q125" s="2">
        <f t="shared" si="133"/>
        <v>0</v>
      </c>
      <c r="R125" s="2">
        <f t="shared" si="133"/>
        <v>0</v>
      </c>
      <c r="S125" s="2">
        <f t="shared" si="133"/>
        <v>0</v>
      </c>
      <c r="T125" s="158">
        <f t="shared" si="132"/>
        <v>0</v>
      </c>
    </row>
    <row r="126" spans="1:20" x14ac:dyDescent="0.2">
      <c r="A126" s="12"/>
      <c r="C126" s="12"/>
      <c r="T126" s="158"/>
    </row>
    <row r="127" spans="1:20" x14ac:dyDescent="0.2">
      <c r="A127" s="12"/>
      <c r="C127" s="12"/>
      <c r="D127" s="11" t="s">
        <v>252</v>
      </c>
      <c r="T127" s="158"/>
    </row>
    <row r="128" spans="1:20" x14ac:dyDescent="0.2">
      <c r="A128" s="12"/>
      <c r="C128" s="12"/>
      <c r="F128" s="11" t="s">
        <v>228</v>
      </c>
      <c r="T128" s="158"/>
    </row>
    <row r="129" spans="1:20" x14ac:dyDescent="0.2">
      <c r="A129" s="12">
        <f>+A125+1</f>
        <v>85</v>
      </c>
      <c r="B129" s="23">
        <v>59</v>
      </c>
      <c r="C129" s="12">
        <v>870</v>
      </c>
      <c r="G129" s="11" t="s">
        <v>229</v>
      </c>
      <c r="H129" s="2">
        <f>'FUN-2 (Test Year)'!I133</f>
        <v>1034926.51</v>
      </c>
      <c r="I129" s="2">
        <f t="shared" ref="I129:I138" si="134">INDEX(AlocTable,MATCH($B129,AlocList),3)*$H129</f>
        <v>0</v>
      </c>
      <c r="J129" s="2">
        <f t="shared" ref="J129:J138" si="135">INDEX(AlocTable,MATCH($B129,AlocList),4)*$H129</f>
        <v>141627.59851633548</v>
      </c>
      <c r="K129" s="2">
        <f t="shared" ref="K129:K138" si="136">INDEX(AlocTable,MATCH($B129,AlocList),5)*$H129</f>
        <v>338503.32169454533</v>
      </c>
      <c r="L129" s="2">
        <f t="shared" ref="L129:L138" si="137">INDEX(AlocTable,MATCH($B129,AlocList),6)*$H129</f>
        <v>430442.78297233232</v>
      </c>
      <c r="M129" s="2">
        <f t="shared" ref="M129:M138" si="138">INDEX(AlocTable,MATCH($B129,AlocList),7)*$H129</f>
        <v>111644.92734428449</v>
      </c>
      <c r="N129" s="2">
        <f t="shared" ref="N129:N138" si="139">INDEX(AlocTable,MATCH($B129,AlocList),8)*$H129</f>
        <v>12299.478737294256</v>
      </c>
      <c r="O129" s="2">
        <f t="shared" ref="O129:O138" si="140">INDEX(AlocTable,MATCH($B129,AlocList),9)*$H129</f>
        <v>408.4007352081818</v>
      </c>
      <c r="P129" s="2">
        <f t="shared" ref="P129:P138" si="141">INDEX(AlocTable,MATCH($B129,AlocList),10)*$H129</f>
        <v>0</v>
      </c>
      <c r="Q129" s="2">
        <f t="shared" ref="Q129:Q138" si="142">INDEX(AlocTable,MATCH($B129,AlocList),11)*$H129</f>
        <v>0</v>
      </c>
      <c r="R129" s="2">
        <f t="shared" ref="R129:R138" si="143">INDEX(AlocTable,MATCH($B129,AlocList),12)*$H129</f>
        <v>0</v>
      </c>
      <c r="S129" s="2">
        <f t="shared" ref="S129:S138" si="144">INDEX(AlocTable,MATCH($B129,AlocList),13)*$H129</f>
        <v>0</v>
      </c>
      <c r="T129" s="158">
        <f t="shared" ref="T129:T133" si="145">SUM(I129:S129)-H129</f>
        <v>0</v>
      </c>
    </row>
    <row r="130" spans="1:20" x14ac:dyDescent="0.2">
      <c r="A130" s="12">
        <f>+A129+1</f>
        <v>86</v>
      </c>
      <c r="B130" s="23">
        <v>44</v>
      </c>
      <c r="C130" s="12">
        <v>871</v>
      </c>
      <c r="G130" s="11" t="s">
        <v>253</v>
      </c>
      <c r="H130" s="2">
        <f>'FUN-2 (Test Year)'!I134</f>
        <v>135615.67999999999</v>
      </c>
      <c r="I130" s="2">
        <f t="shared" si="134"/>
        <v>0</v>
      </c>
      <c r="J130" s="2">
        <f t="shared" si="135"/>
        <v>20559.24237163191</v>
      </c>
      <c r="K130" s="2">
        <f t="shared" si="136"/>
        <v>49138.52884060549</v>
      </c>
      <c r="L130" s="2">
        <f t="shared" si="137"/>
        <v>45138.150536016503</v>
      </c>
      <c r="M130" s="2">
        <f t="shared" si="138"/>
        <v>17741.921856599842</v>
      </c>
      <c r="N130" s="2">
        <f t="shared" si="139"/>
        <v>2861.2632513316139</v>
      </c>
      <c r="O130" s="2">
        <f t="shared" si="140"/>
        <v>176.57314381463502</v>
      </c>
      <c r="P130" s="2">
        <f t="shared" si="141"/>
        <v>0</v>
      </c>
      <c r="Q130" s="2">
        <f t="shared" si="142"/>
        <v>0</v>
      </c>
      <c r="R130" s="2">
        <f t="shared" si="143"/>
        <v>0</v>
      </c>
      <c r="S130" s="2">
        <f t="shared" si="144"/>
        <v>0</v>
      </c>
      <c r="T130" s="158">
        <f t="shared" si="145"/>
        <v>0</v>
      </c>
    </row>
    <row r="131" spans="1:20" x14ac:dyDescent="0.2">
      <c r="A131" s="12">
        <f t="shared" ref="A131:A138" si="146">+A130+1</f>
        <v>87</v>
      </c>
      <c r="B131" s="23">
        <v>44.1</v>
      </c>
      <c r="C131" s="12">
        <v>874</v>
      </c>
      <c r="G131" s="11" t="s">
        <v>254</v>
      </c>
      <c r="H131" s="2">
        <f>'FUN-2 (Test Year)'!I135</f>
        <v>1743597.24</v>
      </c>
      <c r="I131" s="2">
        <f t="shared" si="134"/>
        <v>0</v>
      </c>
      <c r="J131" s="2">
        <f t="shared" si="135"/>
        <v>304020.50850121921</v>
      </c>
      <c r="K131" s="2">
        <f t="shared" si="136"/>
        <v>726637.69681201992</v>
      </c>
      <c r="L131" s="2">
        <f t="shared" si="137"/>
        <v>712939.03468676074</v>
      </c>
      <c r="M131" s="2">
        <f t="shared" si="138"/>
        <v>0</v>
      </c>
      <c r="N131" s="2">
        <f t="shared" si="139"/>
        <v>0</v>
      </c>
      <c r="O131" s="2">
        <f t="shared" si="140"/>
        <v>0</v>
      </c>
      <c r="P131" s="2">
        <f t="shared" si="141"/>
        <v>0</v>
      </c>
      <c r="Q131" s="2">
        <f t="shared" si="142"/>
        <v>0</v>
      </c>
      <c r="R131" s="2">
        <f t="shared" si="143"/>
        <v>0</v>
      </c>
      <c r="S131" s="2">
        <f t="shared" si="144"/>
        <v>0</v>
      </c>
      <c r="T131" s="158">
        <f t="shared" si="145"/>
        <v>0</v>
      </c>
    </row>
    <row r="132" spans="1:20" x14ac:dyDescent="0.2">
      <c r="A132" s="12">
        <f t="shared" si="146"/>
        <v>88</v>
      </c>
      <c r="B132" s="23">
        <v>1.2</v>
      </c>
      <c r="C132" s="12">
        <v>875</v>
      </c>
      <c r="G132" s="11" t="s">
        <v>255</v>
      </c>
      <c r="H132" s="2">
        <f>'FUN-2 (Test Year)'!I136</f>
        <v>144583.82</v>
      </c>
      <c r="I132" s="2">
        <f t="shared" si="134"/>
        <v>0</v>
      </c>
      <c r="J132" s="2">
        <f t="shared" si="135"/>
        <v>42648.907514484345</v>
      </c>
      <c r="K132" s="2">
        <f t="shared" si="136"/>
        <v>101934.91248551567</v>
      </c>
      <c r="L132" s="2">
        <f t="shared" si="137"/>
        <v>0</v>
      </c>
      <c r="M132" s="2">
        <f t="shared" si="138"/>
        <v>0</v>
      </c>
      <c r="N132" s="2">
        <f t="shared" si="139"/>
        <v>0</v>
      </c>
      <c r="O132" s="2">
        <f t="shared" si="140"/>
        <v>0</v>
      </c>
      <c r="P132" s="2">
        <f t="shared" si="141"/>
        <v>0</v>
      </c>
      <c r="Q132" s="2">
        <f t="shared" si="142"/>
        <v>0</v>
      </c>
      <c r="R132" s="2">
        <f t="shared" si="143"/>
        <v>0</v>
      </c>
      <c r="S132" s="2">
        <f t="shared" si="144"/>
        <v>0</v>
      </c>
      <c r="T132" s="158">
        <f t="shared" si="145"/>
        <v>0</v>
      </c>
    </row>
    <row r="133" spans="1:20" x14ac:dyDescent="0.2">
      <c r="A133" s="12">
        <f t="shared" si="146"/>
        <v>89</v>
      </c>
      <c r="B133" s="23">
        <v>1.6</v>
      </c>
      <c r="C133" s="12">
        <v>876</v>
      </c>
      <c r="G133" s="11" t="s">
        <v>256</v>
      </c>
      <c r="H133" s="2">
        <f>'FUN-2 (Test Year)'!I137</f>
        <v>0</v>
      </c>
      <c r="I133" s="2">
        <f t="shared" si="134"/>
        <v>0</v>
      </c>
      <c r="J133" s="2">
        <f t="shared" si="135"/>
        <v>0</v>
      </c>
      <c r="K133" s="2">
        <f t="shared" si="136"/>
        <v>0</v>
      </c>
      <c r="L133" s="2">
        <f t="shared" si="137"/>
        <v>0</v>
      </c>
      <c r="M133" s="2">
        <f t="shared" si="138"/>
        <v>0</v>
      </c>
      <c r="N133" s="2">
        <f t="shared" si="139"/>
        <v>0</v>
      </c>
      <c r="O133" s="2">
        <f t="shared" si="140"/>
        <v>0</v>
      </c>
      <c r="P133" s="2">
        <f t="shared" si="141"/>
        <v>0</v>
      </c>
      <c r="Q133" s="2">
        <f t="shared" si="142"/>
        <v>0</v>
      </c>
      <c r="R133" s="2">
        <f t="shared" si="143"/>
        <v>0</v>
      </c>
      <c r="S133" s="2">
        <f t="shared" si="144"/>
        <v>0</v>
      </c>
      <c r="T133" s="158">
        <f t="shared" si="145"/>
        <v>0</v>
      </c>
    </row>
    <row r="134" spans="1:20" x14ac:dyDescent="0.2">
      <c r="A134" s="12">
        <f t="shared" si="146"/>
        <v>90</v>
      </c>
      <c r="B134" s="23">
        <v>1.2</v>
      </c>
      <c r="C134" s="12">
        <v>877</v>
      </c>
      <c r="G134" s="11" t="s">
        <v>257</v>
      </c>
      <c r="H134" s="2">
        <f>'FUN-2 (Test Year)'!I138</f>
        <v>111253.58</v>
      </c>
      <c r="I134" s="2">
        <f t="shared" si="134"/>
        <v>0</v>
      </c>
      <c r="J134" s="2">
        <f t="shared" si="135"/>
        <v>32817.251917090616</v>
      </c>
      <c r="K134" s="2">
        <f t="shared" si="136"/>
        <v>78436.328082909386</v>
      </c>
      <c r="L134" s="2">
        <f t="shared" si="137"/>
        <v>0</v>
      </c>
      <c r="M134" s="2">
        <f t="shared" si="138"/>
        <v>0</v>
      </c>
      <c r="N134" s="2">
        <f t="shared" si="139"/>
        <v>0</v>
      </c>
      <c r="O134" s="2">
        <f t="shared" si="140"/>
        <v>0</v>
      </c>
      <c r="P134" s="2">
        <f t="shared" si="141"/>
        <v>0</v>
      </c>
      <c r="Q134" s="2">
        <f t="shared" si="142"/>
        <v>0</v>
      </c>
      <c r="R134" s="2">
        <f t="shared" si="143"/>
        <v>0</v>
      </c>
      <c r="S134" s="2">
        <f t="shared" si="144"/>
        <v>0</v>
      </c>
      <c r="T134" s="158"/>
    </row>
    <row r="135" spans="1:20" x14ac:dyDescent="0.2">
      <c r="A135" s="12">
        <f t="shared" si="146"/>
        <v>91</v>
      </c>
      <c r="B135" s="23">
        <v>44.3</v>
      </c>
      <c r="C135" s="12">
        <v>878</v>
      </c>
      <c r="G135" s="11" t="s">
        <v>258</v>
      </c>
      <c r="H135" s="2">
        <f>'FUN-2 (Test Year)'!I139</f>
        <v>68545.88</v>
      </c>
      <c r="I135" s="2">
        <f t="shared" si="134"/>
        <v>0</v>
      </c>
      <c r="J135" s="2">
        <f t="shared" si="135"/>
        <v>0</v>
      </c>
      <c r="K135" s="2">
        <f t="shared" si="136"/>
        <v>0</v>
      </c>
      <c r="L135" s="2">
        <f t="shared" si="137"/>
        <v>0</v>
      </c>
      <c r="M135" s="2">
        <f t="shared" si="138"/>
        <v>59026.584490749614</v>
      </c>
      <c r="N135" s="2">
        <f t="shared" si="139"/>
        <v>9519.2955092504017</v>
      </c>
      <c r="O135" s="2">
        <f t="shared" si="140"/>
        <v>0</v>
      </c>
      <c r="P135" s="2">
        <f t="shared" si="141"/>
        <v>0</v>
      </c>
      <c r="Q135" s="2">
        <f t="shared" si="142"/>
        <v>0</v>
      </c>
      <c r="R135" s="2">
        <f t="shared" si="143"/>
        <v>0</v>
      </c>
      <c r="S135" s="2">
        <f t="shared" si="144"/>
        <v>0</v>
      </c>
      <c r="T135" s="158">
        <f t="shared" ref="T135:T138" si="147">SUM(I135:S135)-H135</f>
        <v>0</v>
      </c>
    </row>
    <row r="136" spans="1:20" x14ac:dyDescent="0.2">
      <c r="A136" s="12">
        <f t="shared" si="146"/>
        <v>92</v>
      </c>
      <c r="B136" s="23">
        <v>44.2</v>
      </c>
      <c r="C136" s="12">
        <v>879</v>
      </c>
      <c r="G136" s="11" t="s">
        <v>259</v>
      </c>
      <c r="H136" s="2">
        <f>'FUN-2 (Test Year)'!I140</f>
        <v>698095.74</v>
      </c>
      <c r="I136" s="2">
        <f t="shared" si="134"/>
        <v>0</v>
      </c>
      <c r="J136" s="2">
        <f t="shared" si="135"/>
        <v>0</v>
      </c>
      <c r="K136" s="2">
        <f t="shared" si="136"/>
        <v>0</v>
      </c>
      <c r="L136" s="2">
        <f t="shared" si="137"/>
        <v>501124.59164999257</v>
      </c>
      <c r="M136" s="2">
        <f t="shared" si="138"/>
        <v>196971.14835000742</v>
      </c>
      <c r="N136" s="2">
        <f t="shared" si="139"/>
        <v>0</v>
      </c>
      <c r="O136" s="2">
        <f t="shared" si="140"/>
        <v>0</v>
      </c>
      <c r="P136" s="2">
        <f t="shared" si="141"/>
        <v>0</v>
      </c>
      <c r="Q136" s="2">
        <f t="shared" si="142"/>
        <v>0</v>
      </c>
      <c r="R136" s="2">
        <f t="shared" si="143"/>
        <v>0</v>
      </c>
      <c r="S136" s="2">
        <f t="shared" si="144"/>
        <v>0</v>
      </c>
      <c r="T136" s="158">
        <f t="shared" si="147"/>
        <v>0</v>
      </c>
    </row>
    <row r="137" spans="1:20" x14ac:dyDescent="0.2">
      <c r="A137" s="12">
        <f t="shared" si="146"/>
        <v>93</v>
      </c>
      <c r="B137" s="23">
        <v>44</v>
      </c>
      <c r="C137" s="12">
        <v>880</v>
      </c>
      <c r="G137" s="11" t="s">
        <v>243</v>
      </c>
      <c r="H137" s="2">
        <f>'FUN-2 (Test Year)'!I141</f>
        <v>1610205.75</v>
      </c>
      <c r="I137" s="2">
        <f t="shared" si="134"/>
        <v>0</v>
      </c>
      <c r="J137" s="2">
        <f t="shared" si="135"/>
        <v>244106.06710407927</v>
      </c>
      <c r="K137" s="2">
        <f t="shared" si="136"/>
        <v>583436.52950517077</v>
      </c>
      <c r="L137" s="2">
        <f t="shared" si="137"/>
        <v>535938.83493014495</v>
      </c>
      <c r="M137" s="2">
        <f t="shared" si="138"/>
        <v>210655.17342498849</v>
      </c>
      <c r="N137" s="2">
        <f t="shared" si="139"/>
        <v>33972.639001315038</v>
      </c>
      <c r="O137" s="2">
        <f t="shared" si="140"/>
        <v>2096.5060343015075</v>
      </c>
      <c r="P137" s="2">
        <f t="shared" si="141"/>
        <v>0</v>
      </c>
      <c r="Q137" s="2">
        <f t="shared" si="142"/>
        <v>0</v>
      </c>
      <c r="R137" s="2">
        <f t="shared" si="143"/>
        <v>0</v>
      </c>
      <c r="S137" s="2">
        <f t="shared" si="144"/>
        <v>0</v>
      </c>
      <c r="T137" s="158">
        <f t="shared" si="147"/>
        <v>0</v>
      </c>
    </row>
    <row r="138" spans="1:20" x14ac:dyDescent="0.2">
      <c r="A138" s="12">
        <f t="shared" si="146"/>
        <v>94</v>
      </c>
      <c r="B138" s="23">
        <v>44</v>
      </c>
      <c r="C138" s="12">
        <v>881</v>
      </c>
      <c r="G138" s="11" t="s">
        <v>247</v>
      </c>
      <c r="H138" s="2">
        <f>'FUN-2 (Test Year)'!I142</f>
        <v>510</v>
      </c>
      <c r="I138" s="2">
        <f t="shared" si="134"/>
        <v>0</v>
      </c>
      <c r="J138" s="2">
        <f t="shared" si="135"/>
        <v>77.315643807060326</v>
      </c>
      <c r="K138" s="2">
        <f t="shared" si="136"/>
        <v>184.79168270740374</v>
      </c>
      <c r="L138" s="2">
        <f t="shared" si="137"/>
        <v>169.7477516860028</v>
      </c>
      <c r="M138" s="2">
        <f t="shared" si="138"/>
        <v>66.720751957781872</v>
      </c>
      <c r="N138" s="2">
        <f t="shared" si="139"/>
        <v>10.760144093803335</v>
      </c>
      <c r="O138" s="2">
        <f t="shared" si="140"/>
        <v>0.66402574794790592</v>
      </c>
      <c r="P138" s="2">
        <f t="shared" si="141"/>
        <v>0</v>
      </c>
      <c r="Q138" s="2">
        <f t="shared" si="142"/>
        <v>0</v>
      </c>
      <c r="R138" s="2">
        <f t="shared" si="143"/>
        <v>0</v>
      </c>
      <c r="S138" s="2">
        <f t="shared" si="144"/>
        <v>0</v>
      </c>
      <c r="T138" s="158">
        <f t="shared" si="147"/>
        <v>0</v>
      </c>
    </row>
    <row r="139" spans="1:20" x14ac:dyDescent="0.2">
      <c r="A139" s="12"/>
      <c r="C139" s="12"/>
      <c r="F139" s="11" t="s">
        <v>235</v>
      </c>
      <c r="T139" s="158"/>
    </row>
    <row r="140" spans="1:20" x14ac:dyDescent="0.2">
      <c r="A140" s="12">
        <f>+A138+1</f>
        <v>95</v>
      </c>
      <c r="B140" s="23">
        <v>59</v>
      </c>
      <c r="C140" s="12">
        <v>885</v>
      </c>
      <c r="G140" s="11" t="s">
        <v>229</v>
      </c>
      <c r="H140" s="2">
        <f>'FUN-2 (Test Year)'!I144</f>
        <v>0</v>
      </c>
      <c r="I140" s="2">
        <f t="shared" ref="I140:I148" si="148">INDEX(AlocTable,MATCH($B140,AlocList),3)*$H140</f>
        <v>0</v>
      </c>
      <c r="J140" s="2">
        <f t="shared" ref="J140:J148" si="149">INDEX(AlocTable,MATCH($B140,AlocList),4)*$H140</f>
        <v>0</v>
      </c>
      <c r="K140" s="2">
        <f t="shared" ref="K140:K148" si="150">INDEX(AlocTable,MATCH($B140,AlocList),5)*$H140</f>
        <v>0</v>
      </c>
      <c r="L140" s="2">
        <f t="shared" ref="L140:L148" si="151">INDEX(AlocTable,MATCH($B140,AlocList),6)*$H140</f>
        <v>0</v>
      </c>
      <c r="M140" s="2">
        <f t="shared" ref="M140:M148" si="152">INDEX(AlocTable,MATCH($B140,AlocList),7)*$H140</f>
        <v>0</v>
      </c>
      <c r="N140" s="2">
        <f t="shared" ref="N140:N148" si="153">INDEX(AlocTable,MATCH($B140,AlocList),8)*$H140</f>
        <v>0</v>
      </c>
      <c r="O140" s="2">
        <f t="shared" ref="O140:O148" si="154">INDEX(AlocTable,MATCH($B140,AlocList),9)*$H140</f>
        <v>0</v>
      </c>
      <c r="P140" s="2">
        <f t="shared" ref="P140:P148" si="155">INDEX(AlocTable,MATCH($B140,AlocList),10)*$H140</f>
        <v>0</v>
      </c>
      <c r="Q140" s="2">
        <f t="shared" ref="Q140:Q148" si="156">INDEX(AlocTable,MATCH($B140,AlocList),11)*$H140</f>
        <v>0</v>
      </c>
      <c r="R140" s="2">
        <f t="shared" ref="R140:R148" si="157">INDEX(AlocTable,MATCH($B140,AlocList),12)*$H140</f>
        <v>0</v>
      </c>
      <c r="S140" s="2">
        <f t="shared" ref="S140:S148" si="158">INDEX(AlocTable,MATCH($B140,AlocList),13)*$H140</f>
        <v>0</v>
      </c>
      <c r="T140" s="158">
        <f t="shared" ref="T140:T149" si="159">SUM(I140:S140)-H140</f>
        <v>0</v>
      </c>
    </row>
    <row r="141" spans="1:20" x14ac:dyDescent="0.2">
      <c r="A141" s="12">
        <f>+A140+1</f>
        <v>96</v>
      </c>
      <c r="B141" s="23">
        <v>44.4</v>
      </c>
      <c r="C141" s="12">
        <v>886</v>
      </c>
      <c r="G141" s="11" t="s">
        <v>236</v>
      </c>
      <c r="H141" s="2">
        <f>'FUN-2 (Test Year)'!I145</f>
        <v>0</v>
      </c>
      <c r="I141" s="2">
        <f t="shared" si="148"/>
        <v>0</v>
      </c>
      <c r="J141" s="2">
        <f t="shared" si="149"/>
        <v>0</v>
      </c>
      <c r="K141" s="2">
        <f t="shared" si="150"/>
        <v>0</v>
      </c>
      <c r="L141" s="2">
        <f t="shared" si="151"/>
        <v>0</v>
      </c>
      <c r="M141" s="2">
        <f t="shared" si="152"/>
        <v>0</v>
      </c>
      <c r="N141" s="2">
        <f t="shared" si="153"/>
        <v>0</v>
      </c>
      <c r="O141" s="2">
        <f t="shared" si="154"/>
        <v>0</v>
      </c>
      <c r="P141" s="2">
        <f t="shared" si="155"/>
        <v>0</v>
      </c>
      <c r="Q141" s="2">
        <f t="shared" si="156"/>
        <v>0</v>
      </c>
      <c r="R141" s="2">
        <f t="shared" si="157"/>
        <v>0</v>
      </c>
      <c r="S141" s="2">
        <f t="shared" si="158"/>
        <v>0</v>
      </c>
      <c r="T141" s="158">
        <f t="shared" si="159"/>
        <v>0</v>
      </c>
    </row>
    <row r="142" spans="1:20" x14ac:dyDescent="0.2">
      <c r="A142" s="12">
        <f t="shared" ref="A142:A149" si="160">+A141+1</f>
        <v>97</v>
      </c>
      <c r="B142" s="23">
        <v>1.2</v>
      </c>
      <c r="C142" s="12">
        <v>887</v>
      </c>
      <c r="G142" s="11" t="s">
        <v>5</v>
      </c>
      <c r="H142" s="2">
        <f>'FUN-2 (Test Year)'!I146</f>
        <v>349440.95</v>
      </c>
      <c r="I142" s="2">
        <f t="shared" si="148"/>
        <v>0</v>
      </c>
      <c r="J142" s="2">
        <f t="shared" si="149"/>
        <v>103077.05771173806</v>
      </c>
      <c r="K142" s="2">
        <f t="shared" si="150"/>
        <v>246363.89228826197</v>
      </c>
      <c r="L142" s="2">
        <f t="shared" si="151"/>
        <v>0</v>
      </c>
      <c r="M142" s="2">
        <f t="shared" si="152"/>
        <v>0</v>
      </c>
      <c r="N142" s="2">
        <f t="shared" si="153"/>
        <v>0</v>
      </c>
      <c r="O142" s="2">
        <f t="shared" si="154"/>
        <v>0</v>
      </c>
      <c r="P142" s="2">
        <f t="shared" si="155"/>
        <v>0</v>
      </c>
      <c r="Q142" s="2">
        <f t="shared" si="156"/>
        <v>0</v>
      </c>
      <c r="R142" s="2">
        <f t="shared" si="157"/>
        <v>0</v>
      </c>
      <c r="S142" s="2">
        <f t="shared" si="158"/>
        <v>0</v>
      </c>
      <c r="T142" s="158">
        <f t="shared" si="159"/>
        <v>0</v>
      </c>
    </row>
    <row r="143" spans="1:20" x14ac:dyDescent="0.2">
      <c r="A143" s="12">
        <f t="shared" si="160"/>
        <v>98</v>
      </c>
      <c r="B143" s="23">
        <v>1.2</v>
      </c>
      <c r="C143" s="12">
        <v>889</v>
      </c>
      <c r="G143" s="11" t="s">
        <v>255</v>
      </c>
      <c r="H143" s="2">
        <f>'FUN-2 (Test Year)'!I147</f>
        <v>93391.39</v>
      </c>
      <c r="I143" s="2">
        <f t="shared" si="148"/>
        <v>0</v>
      </c>
      <c r="J143" s="2">
        <f t="shared" si="149"/>
        <v>27548.315950976656</v>
      </c>
      <c r="K143" s="2">
        <f t="shared" si="150"/>
        <v>65843.074049023344</v>
      </c>
      <c r="L143" s="2">
        <f t="shared" si="151"/>
        <v>0</v>
      </c>
      <c r="M143" s="2">
        <f t="shared" si="152"/>
        <v>0</v>
      </c>
      <c r="N143" s="2">
        <f t="shared" si="153"/>
        <v>0</v>
      </c>
      <c r="O143" s="2">
        <f t="shared" si="154"/>
        <v>0</v>
      </c>
      <c r="P143" s="2">
        <f t="shared" si="155"/>
        <v>0</v>
      </c>
      <c r="Q143" s="2">
        <f t="shared" si="156"/>
        <v>0</v>
      </c>
      <c r="R143" s="2">
        <f t="shared" si="157"/>
        <v>0</v>
      </c>
      <c r="S143" s="2">
        <f t="shared" si="158"/>
        <v>0</v>
      </c>
      <c r="T143" s="158">
        <f t="shared" si="159"/>
        <v>0</v>
      </c>
    </row>
    <row r="144" spans="1:20" x14ac:dyDescent="0.2">
      <c r="A144" s="12">
        <f t="shared" si="160"/>
        <v>99</v>
      </c>
      <c r="B144" s="23">
        <v>1.6</v>
      </c>
      <c r="C144" s="12">
        <v>890</v>
      </c>
      <c r="G144" s="11" t="s">
        <v>256</v>
      </c>
      <c r="H144" s="2">
        <f>'FUN-2 (Test Year)'!I148</f>
        <v>0</v>
      </c>
      <c r="I144" s="2">
        <f t="shared" si="148"/>
        <v>0</v>
      </c>
      <c r="J144" s="2">
        <f t="shared" si="149"/>
        <v>0</v>
      </c>
      <c r="K144" s="2">
        <f t="shared" si="150"/>
        <v>0</v>
      </c>
      <c r="L144" s="2">
        <f t="shared" si="151"/>
        <v>0</v>
      </c>
      <c r="M144" s="2">
        <f t="shared" si="152"/>
        <v>0</v>
      </c>
      <c r="N144" s="2">
        <f t="shared" si="153"/>
        <v>0</v>
      </c>
      <c r="O144" s="2">
        <f t="shared" si="154"/>
        <v>0</v>
      </c>
      <c r="P144" s="2">
        <f t="shared" si="155"/>
        <v>0</v>
      </c>
      <c r="Q144" s="2">
        <f t="shared" si="156"/>
        <v>0</v>
      </c>
      <c r="R144" s="2">
        <f t="shared" si="157"/>
        <v>0</v>
      </c>
      <c r="S144" s="2">
        <f t="shared" si="158"/>
        <v>0</v>
      </c>
      <c r="T144" s="158">
        <f t="shared" si="159"/>
        <v>0</v>
      </c>
    </row>
    <row r="145" spans="1:20" x14ac:dyDescent="0.2">
      <c r="A145" s="12">
        <f t="shared" si="160"/>
        <v>100</v>
      </c>
      <c r="B145" s="23">
        <v>1.2</v>
      </c>
      <c r="C145" s="12">
        <v>891</v>
      </c>
      <c r="G145" s="11" t="s">
        <v>257</v>
      </c>
      <c r="H145" s="2">
        <f>'FUN-2 (Test Year)'!I149</f>
        <v>46265.69</v>
      </c>
      <c r="I145" s="2">
        <f t="shared" si="148"/>
        <v>0</v>
      </c>
      <c r="J145" s="2">
        <f t="shared" si="149"/>
        <v>13647.316372632864</v>
      </c>
      <c r="K145" s="2">
        <f t="shared" si="150"/>
        <v>32618.373627367138</v>
      </c>
      <c r="L145" s="2">
        <f t="shared" si="151"/>
        <v>0</v>
      </c>
      <c r="M145" s="2">
        <f t="shared" si="152"/>
        <v>0</v>
      </c>
      <c r="N145" s="2">
        <f t="shared" si="153"/>
        <v>0</v>
      </c>
      <c r="O145" s="2">
        <f t="shared" si="154"/>
        <v>0</v>
      </c>
      <c r="P145" s="2">
        <f t="shared" si="155"/>
        <v>0</v>
      </c>
      <c r="Q145" s="2">
        <f t="shared" si="156"/>
        <v>0</v>
      </c>
      <c r="R145" s="2">
        <f t="shared" si="157"/>
        <v>0</v>
      </c>
      <c r="S145" s="2">
        <f t="shared" si="158"/>
        <v>0</v>
      </c>
      <c r="T145" s="158">
        <f t="shared" si="159"/>
        <v>0</v>
      </c>
    </row>
    <row r="146" spans="1:20" x14ac:dyDescent="0.2">
      <c r="A146" s="12">
        <f t="shared" si="160"/>
        <v>101</v>
      </c>
      <c r="B146" s="23">
        <v>1.3</v>
      </c>
      <c r="C146" s="12">
        <v>892</v>
      </c>
      <c r="G146" s="11" t="s">
        <v>16</v>
      </c>
      <c r="H146" s="2">
        <f>'FUN-2 (Test Year)'!I150</f>
        <v>601150.43999999994</v>
      </c>
      <c r="I146" s="2">
        <f t="shared" si="148"/>
        <v>0</v>
      </c>
      <c r="J146" s="2">
        <f t="shared" si="149"/>
        <v>0</v>
      </c>
      <c r="K146" s="2">
        <f t="shared" si="150"/>
        <v>0</v>
      </c>
      <c r="L146" s="2">
        <f t="shared" si="151"/>
        <v>601150.43999999994</v>
      </c>
      <c r="M146" s="2">
        <f t="shared" si="152"/>
        <v>0</v>
      </c>
      <c r="N146" s="2">
        <f t="shared" si="153"/>
        <v>0</v>
      </c>
      <c r="O146" s="2">
        <f t="shared" si="154"/>
        <v>0</v>
      </c>
      <c r="P146" s="2">
        <f t="shared" si="155"/>
        <v>0</v>
      </c>
      <c r="Q146" s="2">
        <f t="shared" si="156"/>
        <v>0</v>
      </c>
      <c r="R146" s="2">
        <f t="shared" si="157"/>
        <v>0</v>
      </c>
      <c r="S146" s="2">
        <f t="shared" si="158"/>
        <v>0</v>
      </c>
      <c r="T146" s="158">
        <f t="shared" si="159"/>
        <v>0</v>
      </c>
    </row>
    <row r="147" spans="1:20" x14ac:dyDescent="0.2">
      <c r="A147" s="12">
        <f t="shared" si="160"/>
        <v>102</v>
      </c>
      <c r="B147" s="23">
        <v>44.3</v>
      </c>
      <c r="C147" s="12">
        <v>893</v>
      </c>
      <c r="G147" s="11" t="s">
        <v>258</v>
      </c>
      <c r="H147" s="2">
        <f>'FUN-2 (Test Year)'!I151</f>
        <v>159226.51</v>
      </c>
      <c r="I147" s="2">
        <f t="shared" si="148"/>
        <v>0</v>
      </c>
      <c r="J147" s="2">
        <f t="shared" si="149"/>
        <v>0</v>
      </c>
      <c r="K147" s="2">
        <f t="shared" si="150"/>
        <v>0</v>
      </c>
      <c r="L147" s="2">
        <f t="shared" si="151"/>
        <v>0</v>
      </c>
      <c r="M147" s="2">
        <f t="shared" si="152"/>
        <v>137113.95995911333</v>
      </c>
      <c r="N147" s="2">
        <f t="shared" si="153"/>
        <v>22112.55004088669</v>
      </c>
      <c r="O147" s="2">
        <f t="shared" si="154"/>
        <v>0</v>
      </c>
      <c r="P147" s="2">
        <f t="shared" si="155"/>
        <v>0</v>
      </c>
      <c r="Q147" s="2">
        <f t="shared" si="156"/>
        <v>0</v>
      </c>
      <c r="R147" s="2">
        <f t="shared" si="157"/>
        <v>0</v>
      </c>
      <c r="S147" s="2">
        <f t="shared" si="158"/>
        <v>0</v>
      </c>
      <c r="T147" s="158">
        <f t="shared" si="159"/>
        <v>0</v>
      </c>
    </row>
    <row r="148" spans="1:20" x14ac:dyDescent="0.2">
      <c r="A148" s="111">
        <f t="shared" si="160"/>
        <v>103</v>
      </c>
      <c r="B148" s="28">
        <v>44</v>
      </c>
      <c r="C148" s="111">
        <v>894</v>
      </c>
      <c r="D148" s="24"/>
      <c r="E148" s="24"/>
      <c r="F148" s="24"/>
      <c r="G148" s="24" t="s">
        <v>181</v>
      </c>
      <c r="H148" s="36">
        <f>'FUN-2 (Test Year)'!I152</f>
        <v>0</v>
      </c>
      <c r="I148" s="36">
        <f t="shared" si="148"/>
        <v>0</v>
      </c>
      <c r="J148" s="36">
        <f t="shared" si="149"/>
        <v>0</v>
      </c>
      <c r="K148" s="36">
        <f t="shared" si="150"/>
        <v>0</v>
      </c>
      <c r="L148" s="36">
        <f t="shared" si="151"/>
        <v>0</v>
      </c>
      <c r="M148" s="36">
        <f t="shared" si="152"/>
        <v>0</v>
      </c>
      <c r="N148" s="36">
        <f t="shared" si="153"/>
        <v>0</v>
      </c>
      <c r="O148" s="36">
        <f t="shared" si="154"/>
        <v>0</v>
      </c>
      <c r="P148" s="36">
        <f t="shared" si="155"/>
        <v>0</v>
      </c>
      <c r="Q148" s="36">
        <f t="shared" si="156"/>
        <v>0</v>
      </c>
      <c r="R148" s="36">
        <f t="shared" si="157"/>
        <v>0</v>
      </c>
      <c r="S148" s="36">
        <f t="shared" si="158"/>
        <v>0</v>
      </c>
      <c r="T148" s="161">
        <f t="shared" si="159"/>
        <v>0</v>
      </c>
    </row>
    <row r="149" spans="1:20" x14ac:dyDescent="0.2">
      <c r="A149" s="12">
        <f t="shared" si="160"/>
        <v>104</v>
      </c>
      <c r="C149" s="12"/>
      <c r="D149" s="11" t="s">
        <v>260</v>
      </c>
      <c r="H149" s="74">
        <f t="shared" ref="H149:P149" si="161">SUM(H129:H148)</f>
        <v>6796809.1799999997</v>
      </c>
      <c r="I149" s="2">
        <f t="shared" si="161"/>
        <v>0</v>
      </c>
      <c r="J149" s="2">
        <f t="shared" si="161"/>
        <v>930129.58160399552</v>
      </c>
      <c r="K149" s="2">
        <f t="shared" si="161"/>
        <v>2223097.4490681263</v>
      </c>
      <c r="L149" s="2">
        <f t="shared" si="161"/>
        <v>2826903.5825269329</v>
      </c>
      <c r="M149" s="2">
        <f t="shared" si="161"/>
        <v>733220.43617770099</v>
      </c>
      <c r="N149" s="2">
        <f t="shared" si="161"/>
        <v>80775.986684171803</v>
      </c>
      <c r="O149" s="2">
        <f t="shared" si="161"/>
        <v>2682.1439390722721</v>
      </c>
      <c r="P149" s="2">
        <f t="shared" si="161"/>
        <v>0</v>
      </c>
      <c r="Q149" s="2">
        <f t="shared" ref="Q149:S149" si="162">SUM(Q129:Q148)</f>
        <v>0</v>
      </c>
      <c r="R149" s="2">
        <f t="shared" si="162"/>
        <v>0</v>
      </c>
      <c r="S149" s="2">
        <f t="shared" si="162"/>
        <v>0</v>
      </c>
      <c r="T149" s="158">
        <f t="shared" si="159"/>
        <v>0</v>
      </c>
    </row>
    <row r="150" spans="1:20" x14ac:dyDescent="0.2">
      <c r="A150" s="12"/>
      <c r="C150" s="12"/>
      <c r="H150" s="19"/>
      <c r="T150" s="158"/>
    </row>
    <row r="151" spans="1:20" x14ac:dyDescent="0.2">
      <c r="A151" s="12"/>
      <c r="C151" s="12"/>
      <c r="D151" s="11" t="s">
        <v>261</v>
      </c>
      <c r="H151" s="158"/>
      <c r="T151" s="158"/>
    </row>
    <row r="152" spans="1:20" x14ac:dyDescent="0.2">
      <c r="A152" s="12">
        <f>+A149+1</f>
        <v>105</v>
      </c>
      <c r="B152" s="23">
        <v>59.1</v>
      </c>
      <c r="C152" s="12">
        <v>901</v>
      </c>
      <c r="G152" s="11" t="s">
        <v>262</v>
      </c>
      <c r="H152" s="2">
        <f>'FUN-2 (Test Year)'!I156</f>
        <v>127549.45</v>
      </c>
      <c r="I152" s="2">
        <f t="shared" ref="I152:I157" si="163">INDEX(AlocTable,MATCH($B152,AlocList),3)*$H152</f>
        <v>0</v>
      </c>
      <c r="J152" s="2">
        <f t="shared" ref="J152:J157" si="164">INDEX(AlocTable,MATCH($B152,AlocList),4)*$H152</f>
        <v>0</v>
      </c>
      <c r="K152" s="2">
        <f t="shared" ref="K152:K157" si="165">INDEX(AlocTable,MATCH($B152,AlocList),5)*$H152</f>
        <v>0</v>
      </c>
      <c r="L152" s="2">
        <f t="shared" ref="L152:L157" si="166">INDEX(AlocTable,MATCH($B152,AlocList),6)*$H152</f>
        <v>0</v>
      </c>
      <c r="M152" s="2">
        <f t="shared" ref="M152:M157" si="167">INDEX(AlocTable,MATCH($B152,AlocList),7)*$H152</f>
        <v>12922.844702896668</v>
      </c>
      <c r="N152" s="2">
        <f t="shared" ref="N152:N157" si="168">INDEX(AlocTable,MATCH($B152,AlocList),8)*$H152</f>
        <v>0</v>
      </c>
      <c r="O152" s="2">
        <f t="shared" ref="O152:O157" si="169">INDEX(AlocTable,MATCH($B152,AlocList),9)*$H152</f>
        <v>0</v>
      </c>
      <c r="P152" s="2">
        <f t="shared" ref="P152:P157" si="170">INDEX(AlocTable,MATCH($B152,AlocList),10)*$H152</f>
        <v>107657.91813447345</v>
      </c>
      <c r="Q152" s="2">
        <f t="shared" ref="Q152:Q157" si="171">INDEX(AlocTable,MATCH($B152,AlocList),11)*$H152</f>
        <v>3448.6727288201964</v>
      </c>
      <c r="R152" s="2">
        <f t="shared" ref="R152:R157" si="172">INDEX(AlocTable,MATCH($B152,AlocList),12)*$H152</f>
        <v>3520.0144338096525</v>
      </c>
      <c r="S152" s="2">
        <f t="shared" ref="S152:S157" si="173">INDEX(AlocTable,MATCH($B152,AlocList),13)*$H152</f>
        <v>0</v>
      </c>
      <c r="T152" s="158">
        <f t="shared" ref="T152:T158" si="174">SUM(I152:S152)-H152</f>
        <v>0</v>
      </c>
    </row>
    <row r="153" spans="1:20" x14ac:dyDescent="0.2">
      <c r="A153" s="12">
        <f>+A152+1</f>
        <v>106</v>
      </c>
      <c r="B153" s="23">
        <v>1.4</v>
      </c>
      <c r="C153" s="12">
        <v>902</v>
      </c>
      <c r="G153" s="11" t="s">
        <v>124</v>
      </c>
      <c r="H153" s="2">
        <f>'FUN-2 (Test Year)'!I157</f>
        <v>304324.68</v>
      </c>
      <c r="I153" s="2">
        <f t="shared" si="163"/>
        <v>0</v>
      </c>
      <c r="J153" s="2">
        <f t="shared" si="164"/>
        <v>0</v>
      </c>
      <c r="K153" s="2">
        <f t="shared" si="165"/>
        <v>0</v>
      </c>
      <c r="L153" s="2">
        <f t="shared" si="166"/>
        <v>0</v>
      </c>
      <c r="M153" s="2">
        <f t="shared" si="167"/>
        <v>304324.68</v>
      </c>
      <c r="N153" s="2">
        <f t="shared" si="168"/>
        <v>0</v>
      </c>
      <c r="O153" s="2">
        <f t="shared" si="169"/>
        <v>0</v>
      </c>
      <c r="P153" s="2">
        <f t="shared" si="170"/>
        <v>0</v>
      </c>
      <c r="Q153" s="2">
        <f t="shared" si="171"/>
        <v>0</v>
      </c>
      <c r="R153" s="2">
        <f t="shared" si="172"/>
        <v>0</v>
      </c>
      <c r="S153" s="2">
        <f t="shared" si="173"/>
        <v>0</v>
      </c>
      <c r="T153" s="158">
        <f t="shared" si="174"/>
        <v>0</v>
      </c>
    </row>
    <row r="154" spans="1:20" x14ac:dyDescent="0.2">
      <c r="A154" s="12">
        <f t="shared" ref="A154:A157" si="175">+A153+1</f>
        <v>107</v>
      </c>
      <c r="B154" s="23">
        <v>1.7</v>
      </c>
      <c r="C154" s="12">
        <v>903</v>
      </c>
      <c r="G154" s="11" t="s">
        <v>263</v>
      </c>
      <c r="H154" s="2">
        <f>'FUN-2 (Test Year)'!I158</f>
        <v>2064038.5</v>
      </c>
      <c r="I154" s="2">
        <f t="shared" si="163"/>
        <v>0</v>
      </c>
      <c r="J154" s="2">
        <f t="shared" si="164"/>
        <v>0</v>
      </c>
      <c r="K154" s="2">
        <f t="shared" si="165"/>
        <v>0</v>
      </c>
      <c r="L154" s="2">
        <f t="shared" si="166"/>
        <v>0</v>
      </c>
      <c r="M154" s="2">
        <f t="shared" si="167"/>
        <v>0</v>
      </c>
      <c r="N154" s="2">
        <f t="shared" si="168"/>
        <v>0</v>
      </c>
      <c r="O154" s="2">
        <f t="shared" si="169"/>
        <v>0</v>
      </c>
      <c r="P154" s="2">
        <f t="shared" si="170"/>
        <v>2064038.5</v>
      </c>
      <c r="Q154" s="2">
        <f t="shared" si="171"/>
        <v>0</v>
      </c>
      <c r="R154" s="2">
        <f t="shared" si="172"/>
        <v>0</v>
      </c>
      <c r="S154" s="2">
        <f t="shared" si="173"/>
        <v>0</v>
      </c>
      <c r="T154" s="158">
        <f t="shared" si="174"/>
        <v>0</v>
      </c>
    </row>
    <row r="155" spans="1:20" x14ac:dyDescent="0.2">
      <c r="A155" s="12">
        <f t="shared" si="175"/>
        <v>108</v>
      </c>
      <c r="B155" s="23">
        <v>1.7</v>
      </c>
      <c r="C155" s="12">
        <v>904</v>
      </c>
      <c r="G155" s="11" t="s">
        <v>264</v>
      </c>
      <c r="H155" s="2">
        <f>'FUN-2 (Test Year)'!I159</f>
        <v>441276.72</v>
      </c>
      <c r="I155" s="2">
        <f t="shared" si="163"/>
        <v>0</v>
      </c>
      <c r="J155" s="2">
        <f t="shared" si="164"/>
        <v>0</v>
      </c>
      <c r="K155" s="2">
        <f t="shared" si="165"/>
        <v>0</v>
      </c>
      <c r="L155" s="2">
        <f t="shared" si="166"/>
        <v>0</v>
      </c>
      <c r="M155" s="2">
        <f t="shared" si="167"/>
        <v>0</v>
      </c>
      <c r="N155" s="2">
        <f t="shared" si="168"/>
        <v>0</v>
      </c>
      <c r="O155" s="2">
        <f t="shared" si="169"/>
        <v>0</v>
      </c>
      <c r="P155" s="2">
        <f t="shared" si="170"/>
        <v>441276.72</v>
      </c>
      <c r="Q155" s="2">
        <f t="shared" si="171"/>
        <v>0</v>
      </c>
      <c r="R155" s="2">
        <f t="shared" si="172"/>
        <v>0</v>
      </c>
      <c r="S155" s="2">
        <f t="shared" si="173"/>
        <v>0</v>
      </c>
      <c r="T155" s="158">
        <f t="shared" ref="T155" si="176">SUM(I155:S155)-H155</f>
        <v>0</v>
      </c>
    </row>
    <row r="156" spans="1:20" x14ac:dyDescent="0.2">
      <c r="A156" s="12">
        <f t="shared" si="175"/>
        <v>109</v>
      </c>
      <c r="B156" s="23">
        <v>1.7</v>
      </c>
      <c r="C156" s="12">
        <v>905</v>
      </c>
      <c r="G156" s="11" t="s">
        <v>265</v>
      </c>
      <c r="H156" s="2">
        <f>'FUN-2 (Test Year)'!I160</f>
        <v>29959.5</v>
      </c>
      <c r="I156" s="2">
        <f t="shared" si="163"/>
        <v>0</v>
      </c>
      <c r="J156" s="2">
        <f t="shared" si="164"/>
        <v>0</v>
      </c>
      <c r="K156" s="2">
        <f t="shared" si="165"/>
        <v>0</v>
      </c>
      <c r="L156" s="2">
        <f t="shared" si="166"/>
        <v>0</v>
      </c>
      <c r="M156" s="2">
        <f t="shared" si="167"/>
        <v>0</v>
      </c>
      <c r="N156" s="2">
        <f t="shared" si="168"/>
        <v>0</v>
      </c>
      <c r="O156" s="2">
        <f t="shared" si="169"/>
        <v>0</v>
      </c>
      <c r="P156" s="2">
        <f t="shared" si="170"/>
        <v>29959.5</v>
      </c>
      <c r="Q156" s="2">
        <f t="shared" si="171"/>
        <v>0</v>
      </c>
      <c r="R156" s="2">
        <f t="shared" si="172"/>
        <v>0</v>
      </c>
      <c r="S156" s="2">
        <f t="shared" si="173"/>
        <v>0</v>
      </c>
      <c r="T156" s="158">
        <f t="shared" si="174"/>
        <v>0</v>
      </c>
    </row>
    <row r="157" spans="1:20" x14ac:dyDescent="0.2">
      <c r="A157" s="111">
        <f t="shared" si="175"/>
        <v>110</v>
      </c>
      <c r="B157" s="28">
        <v>1.8</v>
      </c>
      <c r="C157" s="111" t="s">
        <v>266</v>
      </c>
      <c r="D157" s="24"/>
      <c r="E157" s="24"/>
      <c r="F157" s="24"/>
      <c r="G157" s="24" t="s">
        <v>267</v>
      </c>
      <c r="H157" s="36">
        <f>'FUN-2 (Test Year)'!I161</f>
        <v>164108.1</v>
      </c>
      <c r="I157" s="36">
        <f t="shared" si="163"/>
        <v>0</v>
      </c>
      <c r="J157" s="36">
        <f t="shared" si="164"/>
        <v>0</v>
      </c>
      <c r="K157" s="36">
        <f t="shared" si="165"/>
        <v>0</v>
      </c>
      <c r="L157" s="36">
        <f t="shared" si="166"/>
        <v>0</v>
      </c>
      <c r="M157" s="36">
        <f t="shared" si="167"/>
        <v>0</v>
      </c>
      <c r="N157" s="36">
        <f t="shared" si="168"/>
        <v>0</v>
      </c>
      <c r="O157" s="36">
        <f t="shared" si="169"/>
        <v>0</v>
      </c>
      <c r="P157" s="36">
        <f t="shared" si="170"/>
        <v>0</v>
      </c>
      <c r="Q157" s="36">
        <f t="shared" si="171"/>
        <v>81214.024369393141</v>
      </c>
      <c r="R157" s="36">
        <f t="shared" si="172"/>
        <v>82894.075630606865</v>
      </c>
      <c r="S157" s="36">
        <f t="shared" si="173"/>
        <v>0</v>
      </c>
      <c r="T157" s="161">
        <f t="shared" si="174"/>
        <v>0</v>
      </c>
    </row>
    <row r="158" spans="1:20" x14ac:dyDescent="0.2">
      <c r="A158" s="12">
        <f>+A157+1</f>
        <v>111</v>
      </c>
      <c r="C158" s="12"/>
      <c r="D158" s="11" t="s">
        <v>268</v>
      </c>
      <c r="H158" s="74">
        <f t="shared" ref="H158:P158" si="177">SUM(H152:H157)</f>
        <v>3131256.9499999997</v>
      </c>
      <c r="I158" s="2">
        <f t="shared" si="177"/>
        <v>0</v>
      </c>
      <c r="J158" s="2">
        <f t="shared" si="177"/>
        <v>0</v>
      </c>
      <c r="K158" s="2">
        <f t="shared" si="177"/>
        <v>0</v>
      </c>
      <c r="L158" s="2">
        <f t="shared" si="177"/>
        <v>0</v>
      </c>
      <c r="M158" s="2">
        <f t="shared" si="177"/>
        <v>317247.52470289666</v>
      </c>
      <c r="N158" s="2">
        <f t="shared" si="177"/>
        <v>0</v>
      </c>
      <c r="O158" s="2">
        <f t="shared" si="177"/>
        <v>0</v>
      </c>
      <c r="P158" s="2">
        <f t="shared" si="177"/>
        <v>2642932.638134473</v>
      </c>
      <c r="Q158" s="2">
        <f t="shared" ref="Q158:S158" si="178">SUM(Q152:Q157)</f>
        <v>84662.697098213335</v>
      </c>
      <c r="R158" s="2">
        <f t="shared" si="178"/>
        <v>86414.090064416523</v>
      </c>
      <c r="S158" s="2">
        <f t="shared" si="178"/>
        <v>0</v>
      </c>
      <c r="T158" s="158">
        <f t="shared" si="174"/>
        <v>0</v>
      </c>
    </row>
    <row r="159" spans="1:20" x14ac:dyDescent="0.2">
      <c r="A159" s="12"/>
      <c r="C159" s="12"/>
      <c r="H159" s="19"/>
      <c r="T159" s="158"/>
    </row>
    <row r="160" spans="1:20" x14ac:dyDescent="0.2">
      <c r="A160" s="12"/>
      <c r="C160" s="12"/>
      <c r="D160" s="11" t="s">
        <v>269</v>
      </c>
      <c r="T160" s="158"/>
    </row>
    <row r="161" spans="1:20" x14ac:dyDescent="0.2">
      <c r="A161" s="12">
        <f>+A158+1</f>
        <v>112</v>
      </c>
      <c r="B161" s="23">
        <v>1.7</v>
      </c>
      <c r="C161" s="12">
        <v>908</v>
      </c>
      <c r="G161" s="11" t="s">
        <v>270</v>
      </c>
      <c r="H161" s="2">
        <f>'FUN-2 (Test Year)'!I165</f>
        <v>1483.63</v>
      </c>
      <c r="I161" s="2">
        <f>INDEX(AlocTable,MATCH($B161,AlocList),3)*$H161</f>
        <v>0</v>
      </c>
      <c r="J161" s="2">
        <f>INDEX(AlocTable,MATCH($B161,AlocList),4)*$H161</f>
        <v>0</v>
      </c>
      <c r="K161" s="2">
        <f>INDEX(AlocTable,MATCH($B161,AlocList),5)*$H161</f>
        <v>0</v>
      </c>
      <c r="L161" s="2">
        <f>INDEX(AlocTable,MATCH($B161,AlocList),6)*$H161</f>
        <v>0</v>
      </c>
      <c r="M161" s="2">
        <f>INDEX(AlocTable,MATCH($B161,AlocList),7)*$H161</f>
        <v>0</v>
      </c>
      <c r="N161" s="2">
        <f>INDEX(AlocTable,MATCH($B161,AlocList),8)*$H161</f>
        <v>0</v>
      </c>
      <c r="O161" s="2">
        <f>INDEX(AlocTable,MATCH($B161,AlocList),9)*$H161</f>
        <v>0</v>
      </c>
      <c r="P161" s="2">
        <f>INDEX(AlocTable,MATCH($B161,AlocList),10)*$H161</f>
        <v>1483.63</v>
      </c>
      <c r="Q161" s="2">
        <f>INDEX(AlocTable,MATCH($B161,AlocList),11)*$H161</f>
        <v>0</v>
      </c>
      <c r="R161" s="2">
        <f>INDEX(AlocTable,MATCH($B161,AlocList),12)*$H161</f>
        <v>0</v>
      </c>
      <c r="S161" s="2">
        <f>INDEX(AlocTable,MATCH($B161,AlocList),13)*$H161</f>
        <v>0</v>
      </c>
      <c r="T161" s="158">
        <f t="shared" ref="T161:T164" si="179">SUM(I161:S161)-H161</f>
        <v>0</v>
      </c>
    </row>
    <row r="162" spans="1:20" x14ac:dyDescent="0.2">
      <c r="A162" s="12">
        <f>+A161+1</f>
        <v>113</v>
      </c>
      <c r="B162" s="23">
        <v>1.7</v>
      </c>
      <c r="C162" s="12">
        <v>909</v>
      </c>
      <c r="G162" s="11" t="s">
        <v>271</v>
      </c>
      <c r="H162" s="2">
        <f>'FUN-2 (Test Year)'!I166</f>
        <v>970884.8</v>
      </c>
      <c r="I162" s="2">
        <f>INDEX(AlocTable,MATCH($B162,AlocList),3)*$H162</f>
        <v>0</v>
      </c>
      <c r="J162" s="2">
        <f>INDEX(AlocTable,MATCH($B162,AlocList),4)*$H162</f>
        <v>0</v>
      </c>
      <c r="K162" s="2">
        <f>INDEX(AlocTable,MATCH($B162,AlocList),5)*$H162</f>
        <v>0</v>
      </c>
      <c r="L162" s="2">
        <f>INDEX(AlocTable,MATCH($B162,AlocList),6)*$H162</f>
        <v>0</v>
      </c>
      <c r="M162" s="2">
        <f>INDEX(AlocTable,MATCH($B162,AlocList),7)*$H162</f>
        <v>0</v>
      </c>
      <c r="N162" s="2">
        <f>INDEX(AlocTable,MATCH($B162,AlocList),8)*$H162</f>
        <v>0</v>
      </c>
      <c r="O162" s="2">
        <f>INDEX(AlocTable,MATCH($B162,AlocList),9)*$H162</f>
        <v>0</v>
      </c>
      <c r="P162" s="2">
        <f>INDEX(AlocTable,MATCH($B162,AlocList),10)*$H162</f>
        <v>970884.8</v>
      </c>
      <c r="Q162" s="2">
        <f>INDEX(AlocTable,MATCH($B162,AlocList),11)*$H162</f>
        <v>0</v>
      </c>
      <c r="R162" s="2">
        <f>INDEX(AlocTable,MATCH($B162,AlocList),12)*$H162</f>
        <v>0</v>
      </c>
      <c r="S162" s="2">
        <f>INDEX(AlocTable,MATCH($B162,AlocList),13)*$H162</f>
        <v>0</v>
      </c>
      <c r="T162" s="158">
        <f t="shared" si="179"/>
        <v>0</v>
      </c>
    </row>
    <row r="163" spans="1:20" x14ac:dyDescent="0.2">
      <c r="A163" s="111">
        <f t="shared" ref="A163:A164" si="180">+A162+1</f>
        <v>114</v>
      </c>
      <c r="B163" s="28">
        <v>1.7</v>
      </c>
      <c r="C163" s="111">
        <v>910</v>
      </c>
      <c r="D163" s="24"/>
      <c r="E163" s="24"/>
      <c r="F163" s="24"/>
      <c r="G163" s="24" t="s">
        <v>265</v>
      </c>
      <c r="H163" s="36">
        <f>'FUN-2 (Test Year)'!I167</f>
        <v>7351.59</v>
      </c>
      <c r="I163" s="36">
        <f>INDEX(AlocTable,MATCH($B163,AlocList),3)*$H163</f>
        <v>0</v>
      </c>
      <c r="J163" s="36">
        <f>INDEX(AlocTable,MATCH($B163,AlocList),4)*$H163</f>
        <v>0</v>
      </c>
      <c r="K163" s="36">
        <f>INDEX(AlocTable,MATCH($B163,AlocList),5)*$H163</f>
        <v>0</v>
      </c>
      <c r="L163" s="36">
        <f>INDEX(AlocTable,MATCH($B163,AlocList),6)*$H163</f>
        <v>0</v>
      </c>
      <c r="M163" s="36">
        <f>INDEX(AlocTable,MATCH($B163,AlocList),7)*$H163</f>
        <v>0</v>
      </c>
      <c r="N163" s="36">
        <f>INDEX(AlocTable,MATCH($B163,AlocList),8)*$H163</f>
        <v>0</v>
      </c>
      <c r="O163" s="36">
        <f>INDEX(AlocTable,MATCH($B163,AlocList),9)*$H163</f>
        <v>0</v>
      </c>
      <c r="P163" s="36">
        <f>INDEX(AlocTable,MATCH($B163,AlocList),10)*$H163</f>
        <v>7351.59</v>
      </c>
      <c r="Q163" s="36">
        <f>INDEX(AlocTable,MATCH($B163,AlocList),11)*$H163</f>
        <v>0</v>
      </c>
      <c r="R163" s="36">
        <f>INDEX(AlocTable,MATCH($B163,AlocList),12)*$H163</f>
        <v>0</v>
      </c>
      <c r="S163" s="36">
        <f>INDEX(AlocTable,MATCH($B163,AlocList),13)*$H163</f>
        <v>0</v>
      </c>
      <c r="T163" s="161">
        <f t="shared" si="179"/>
        <v>0</v>
      </c>
    </row>
    <row r="164" spans="1:20" x14ac:dyDescent="0.2">
      <c r="A164" s="12">
        <f t="shared" si="180"/>
        <v>115</v>
      </c>
      <c r="C164" s="12"/>
      <c r="D164" s="11" t="s">
        <v>272</v>
      </c>
      <c r="H164" s="74">
        <f t="shared" ref="H164:S164" si="181">SUM(H161:H163)</f>
        <v>979720.02</v>
      </c>
      <c r="I164" s="2">
        <f t="shared" si="181"/>
        <v>0</v>
      </c>
      <c r="J164" s="2">
        <f t="shared" si="181"/>
        <v>0</v>
      </c>
      <c r="K164" s="2">
        <f t="shared" si="181"/>
        <v>0</v>
      </c>
      <c r="L164" s="2">
        <f t="shared" si="181"/>
        <v>0</v>
      </c>
      <c r="M164" s="2">
        <f t="shared" si="181"/>
        <v>0</v>
      </c>
      <c r="N164" s="2">
        <f t="shared" si="181"/>
        <v>0</v>
      </c>
      <c r="O164" s="2">
        <f t="shared" si="181"/>
        <v>0</v>
      </c>
      <c r="P164" s="2">
        <f t="shared" si="181"/>
        <v>979720.02</v>
      </c>
      <c r="Q164" s="2">
        <f t="shared" ref="Q164:R164" si="182">SUM(Q161:Q163)</f>
        <v>0</v>
      </c>
      <c r="R164" s="2">
        <f t="shared" si="182"/>
        <v>0</v>
      </c>
      <c r="S164" s="2">
        <f t="shared" si="181"/>
        <v>0</v>
      </c>
      <c r="T164" s="158">
        <f t="shared" si="179"/>
        <v>0</v>
      </c>
    </row>
    <row r="165" spans="1:20" x14ac:dyDescent="0.2">
      <c r="A165" s="12"/>
      <c r="C165" s="12"/>
      <c r="T165" s="158"/>
    </row>
    <row r="166" spans="1:20" x14ac:dyDescent="0.2">
      <c r="A166" s="12"/>
      <c r="C166" s="12"/>
      <c r="D166" s="11" t="s">
        <v>273</v>
      </c>
      <c r="T166" s="158"/>
    </row>
    <row r="167" spans="1:20" x14ac:dyDescent="0.2">
      <c r="A167" s="12">
        <f>+A164+1</f>
        <v>116</v>
      </c>
      <c r="B167" s="23">
        <v>1.7</v>
      </c>
      <c r="C167" s="12">
        <v>912</v>
      </c>
      <c r="G167" s="11" t="s">
        <v>274</v>
      </c>
      <c r="H167" s="2">
        <f>'FUN-2 (Test Year)'!I171</f>
        <v>104844.01999999999</v>
      </c>
      <c r="I167" s="2">
        <f>INDEX(AlocTable,MATCH($B167,AlocList),3)*$H167</f>
        <v>0</v>
      </c>
      <c r="J167" s="2">
        <f>INDEX(AlocTable,MATCH($B167,AlocList),4)*$H167</f>
        <v>0</v>
      </c>
      <c r="K167" s="2">
        <f>INDEX(AlocTable,MATCH($B167,AlocList),5)*$H167</f>
        <v>0</v>
      </c>
      <c r="L167" s="2">
        <f>INDEX(AlocTable,MATCH($B167,AlocList),6)*$H167</f>
        <v>0</v>
      </c>
      <c r="M167" s="2">
        <f>INDEX(AlocTable,MATCH($B167,AlocList),7)*$H167</f>
        <v>0</v>
      </c>
      <c r="N167" s="2">
        <f>INDEX(AlocTable,MATCH($B167,AlocList),8)*$H167</f>
        <v>0</v>
      </c>
      <c r="O167" s="2">
        <f>INDEX(AlocTable,MATCH($B167,AlocList),9)*$H167</f>
        <v>0</v>
      </c>
      <c r="P167" s="2">
        <f>INDEX(AlocTable,MATCH($B167,AlocList),10)*$H167</f>
        <v>104844.01999999999</v>
      </c>
      <c r="Q167" s="2">
        <f>INDEX(AlocTable,MATCH($B167,AlocList),11)*$H167</f>
        <v>0</v>
      </c>
      <c r="R167" s="2">
        <f>INDEX(AlocTable,MATCH($B167,AlocList),12)*$H167</f>
        <v>0</v>
      </c>
      <c r="S167" s="2">
        <f>INDEX(AlocTable,MATCH($B167,AlocList),13)*$H167</f>
        <v>0</v>
      </c>
      <c r="T167" s="158">
        <f t="shared" ref="T167:T169" si="183">SUM(I167:S167)-H167</f>
        <v>0</v>
      </c>
    </row>
    <row r="168" spans="1:20" x14ac:dyDescent="0.2">
      <c r="A168" s="111">
        <f>+A167+1</f>
        <v>117</v>
      </c>
      <c r="B168" s="28">
        <v>1.7</v>
      </c>
      <c r="C168" s="111">
        <v>916</v>
      </c>
      <c r="D168" s="24"/>
      <c r="E168" s="24"/>
      <c r="F168" s="24"/>
      <c r="G168" s="24" t="s">
        <v>265</v>
      </c>
      <c r="H168" s="36">
        <f>'FUN-2 (Test Year)'!I172</f>
        <v>50425.95</v>
      </c>
      <c r="I168" s="36">
        <f>INDEX(AlocTable,MATCH($B168,AlocList),3)*$H168</f>
        <v>0</v>
      </c>
      <c r="J168" s="36">
        <f>INDEX(AlocTable,MATCH($B168,AlocList),4)*$H168</f>
        <v>0</v>
      </c>
      <c r="K168" s="36">
        <f>INDEX(AlocTable,MATCH($B168,AlocList),5)*$H168</f>
        <v>0</v>
      </c>
      <c r="L168" s="36">
        <f>INDEX(AlocTable,MATCH($B168,AlocList),6)*$H168</f>
        <v>0</v>
      </c>
      <c r="M168" s="36">
        <f>INDEX(AlocTable,MATCH($B168,AlocList),7)*$H168</f>
        <v>0</v>
      </c>
      <c r="N168" s="36">
        <f>INDEX(AlocTable,MATCH($B168,AlocList),8)*$H168</f>
        <v>0</v>
      </c>
      <c r="O168" s="36">
        <f>INDEX(AlocTable,MATCH($B168,AlocList),9)*$H168</f>
        <v>0</v>
      </c>
      <c r="P168" s="36">
        <f>INDEX(AlocTable,MATCH($B168,AlocList),10)*$H168</f>
        <v>50425.95</v>
      </c>
      <c r="Q168" s="36">
        <f>INDEX(AlocTable,MATCH($B168,AlocList),11)*$H168</f>
        <v>0</v>
      </c>
      <c r="R168" s="36">
        <f>INDEX(AlocTable,MATCH($B168,AlocList),12)*$H168</f>
        <v>0</v>
      </c>
      <c r="S168" s="36">
        <f>INDEX(AlocTable,MATCH($B168,AlocList),13)*$H168</f>
        <v>0</v>
      </c>
      <c r="T168" s="161">
        <f t="shared" si="183"/>
        <v>0</v>
      </c>
    </row>
    <row r="169" spans="1:20" x14ac:dyDescent="0.2">
      <c r="A169" s="12">
        <f>+A168+1</f>
        <v>118</v>
      </c>
      <c r="C169" s="12"/>
      <c r="D169" s="11" t="s">
        <v>275</v>
      </c>
      <c r="H169" s="74">
        <f t="shared" ref="H169:S169" si="184">SUM(H167:H168)</f>
        <v>155269.96999999997</v>
      </c>
      <c r="I169" s="2">
        <f t="shared" si="184"/>
        <v>0</v>
      </c>
      <c r="J169" s="2">
        <f t="shared" si="184"/>
        <v>0</v>
      </c>
      <c r="K169" s="2">
        <f t="shared" si="184"/>
        <v>0</v>
      </c>
      <c r="L169" s="2">
        <f t="shared" si="184"/>
        <v>0</v>
      </c>
      <c r="M169" s="2">
        <f t="shared" si="184"/>
        <v>0</v>
      </c>
      <c r="N169" s="2">
        <f t="shared" si="184"/>
        <v>0</v>
      </c>
      <c r="O169" s="2">
        <f t="shared" si="184"/>
        <v>0</v>
      </c>
      <c r="P169" s="2">
        <f t="shared" si="184"/>
        <v>155269.96999999997</v>
      </c>
      <c r="Q169" s="2">
        <f t="shared" ref="Q169:R169" si="185">SUM(Q167:Q168)</f>
        <v>0</v>
      </c>
      <c r="R169" s="2">
        <f t="shared" si="185"/>
        <v>0</v>
      </c>
      <c r="S169" s="2">
        <f t="shared" si="184"/>
        <v>0</v>
      </c>
      <c r="T169" s="158">
        <f t="shared" si="183"/>
        <v>0</v>
      </c>
    </row>
    <row r="170" spans="1:20" x14ac:dyDescent="0.2">
      <c r="A170" s="12"/>
      <c r="C170" s="12"/>
      <c r="T170" s="158"/>
    </row>
    <row r="171" spans="1:20" x14ac:dyDescent="0.2">
      <c r="A171" s="12"/>
      <c r="C171" s="12"/>
      <c r="D171" s="11" t="s">
        <v>276</v>
      </c>
      <c r="T171" s="158"/>
    </row>
    <row r="172" spans="1:20" x14ac:dyDescent="0.2">
      <c r="A172" s="12"/>
      <c r="C172" s="12"/>
      <c r="F172" s="11" t="s">
        <v>228</v>
      </c>
      <c r="T172" s="158"/>
    </row>
    <row r="173" spans="1:20" x14ac:dyDescent="0.2">
      <c r="A173" s="12">
        <f>+A169+1</f>
        <v>119</v>
      </c>
      <c r="B173" s="23">
        <v>40</v>
      </c>
      <c r="C173" s="12">
        <v>920</v>
      </c>
      <c r="G173" s="11" t="s">
        <v>277</v>
      </c>
      <c r="H173" s="2">
        <f>'FUN-2 (Test Year)'!I177</f>
        <v>699868.03</v>
      </c>
      <c r="I173" s="2">
        <f t="shared" ref="I173:I183" si="186">INDEX(AlocTable,MATCH($B173,AlocList),3)*$H173</f>
        <v>23898.310460296136</v>
      </c>
      <c r="J173" s="2">
        <f t="shared" ref="J173:J183" si="187">INDEX(AlocTable,MATCH($B173,AlocList),4)*$H173</f>
        <v>58279.723433881802</v>
      </c>
      <c r="K173" s="2">
        <f t="shared" ref="K173:K183" si="188">INDEX(AlocTable,MATCH($B173,AlocList),5)*$H173</f>
        <v>139294.0371542979</v>
      </c>
      <c r="L173" s="2">
        <f t="shared" ref="L173:L183" si="189">INDEX(AlocTable,MATCH($B173,AlocList),6)*$H173</f>
        <v>177131.19159149428</v>
      </c>
      <c r="M173" s="2">
        <f t="shared" ref="M173:M183" si="190">INDEX(AlocTable,MATCH($B173,AlocList),7)*$H173</f>
        <v>65821.132865154519</v>
      </c>
      <c r="N173" s="2">
        <f t="shared" ref="N173:N183" si="191">INDEX(AlocTable,MATCH($B173,AlocList),8)*$H173</f>
        <v>5060.9790848378416</v>
      </c>
      <c r="O173" s="2">
        <f t="shared" ref="O173:O183" si="192">INDEX(AlocTable,MATCH($B173,AlocList),9)*$H173</f>
        <v>168.02916724331752</v>
      </c>
      <c r="P173" s="2">
        <f t="shared" ref="P173:P183" si="193">INDEX(AlocTable,MATCH($B173,AlocList),10)*$H173</f>
        <v>209083.73415133901</v>
      </c>
      <c r="Q173" s="2">
        <f t="shared" ref="Q173:Q183" si="194">INDEX(AlocTable,MATCH($B173,AlocList),11)*$H173</f>
        <v>5305.2056885817947</v>
      </c>
      <c r="R173" s="2">
        <f t="shared" ref="R173:R183" si="195">INDEX(AlocTable,MATCH($B173,AlocList),12)*$H173</f>
        <v>5414.9529591709261</v>
      </c>
      <c r="S173" s="2">
        <f t="shared" ref="S173:S183" si="196">INDEX(AlocTable,MATCH($B173,AlocList),13)*$H173</f>
        <v>10410.73344370266</v>
      </c>
      <c r="T173" s="158">
        <f t="shared" ref="T173:T186" si="197">SUM(I173:S173)-H173</f>
        <v>0</v>
      </c>
    </row>
    <row r="174" spans="1:20" x14ac:dyDescent="0.2">
      <c r="A174" s="12">
        <f>+A173+1</f>
        <v>120</v>
      </c>
      <c r="B174" s="23">
        <v>40</v>
      </c>
      <c r="C174" s="12">
        <v>921</v>
      </c>
      <c r="G174" s="11" t="s">
        <v>278</v>
      </c>
      <c r="H174" s="2">
        <f>'FUN-2 (Test Year)'!I178</f>
        <v>304191.95</v>
      </c>
      <c r="I174" s="2">
        <f t="shared" si="186"/>
        <v>10387.20637178252</v>
      </c>
      <c r="J174" s="2">
        <f t="shared" si="187"/>
        <v>25330.808033642003</v>
      </c>
      <c r="K174" s="2">
        <f t="shared" si="188"/>
        <v>60543.020925442659</v>
      </c>
      <c r="L174" s="2">
        <f t="shared" si="189"/>
        <v>76988.632522677523</v>
      </c>
      <c r="M174" s="2">
        <f t="shared" si="190"/>
        <v>28608.620338695055</v>
      </c>
      <c r="N174" s="2">
        <f t="shared" si="191"/>
        <v>2199.7134184369565</v>
      </c>
      <c r="O174" s="2">
        <f t="shared" si="192"/>
        <v>73.032511630258185</v>
      </c>
      <c r="P174" s="2">
        <f t="shared" si="193"/>
        <v>90876.545403534736</v>
      </c>
      <c r="Q174" s="2">
        <f t="shared" si="194"/>
        <v>2305.8645264319175</v>
      </c>
      <c r="R174" s="2">
        <f t="shared" si="195"/>
        <v>2353.5652854559944</v>
      </c>
      <c r="S174" s="2">
        <f t="shared" si="196"/>
        <v>4524.9406622704673</v>
      </c>
      <c r="T174" s="158">
        <f t="shared" si="197"/>
        <v>0</v>
      </c>
    </row>
    <row r="175" spans="1:20" x14ac:dyDescent="0.2">
      <c r="A175" s="12">
        <f t="shared" ref="A175:A183" si="198">+A174+1</f>
        <v>121</v>
      </c>
      <c r="B175" s="23">
        <v>40</v>
      </c>
      <c r="C175" s="12">
        <v>922</v>
      </c>
      <c r="G175" s="11" t="s">
        <v>279</v>
      </c>
      <c r="H175" s="2">
        <f>'FUN-2 (Test Year)'!I179</f>
        <v>-129935.95</v>
      </c>
      <c r="I175" s="2">
        <f t="shared" si="186"/>
        <v>-4436.9074453272506</v>
      </c>
      <c r="J175" s="2">
        <f t="shared" si="187"/>
        <v>-10820.084509530594</v>
      </c>
      <c r="K175" s="2">
        <f t="shared" si="188"/>
        <v>-25861.02275164504</v>
      </c>
      <c r="L175" s="2">
        <f t="shared" si="189"/>
        <v>-32885.785130194934</v>
      </c>
      <c r="M175" s="2">
        <f t="shared" si="190"/>
        <v>-12220.205899260856</v>
      </c>
      <c r="N175" s="2">
        <f t="shared" si="191"/>
        <v>-939.61017953418377</v>
      </c>
      <c r="O175" s="2">
        <f t="shared" si="192"/>
        <v>-31.195923427834447</v>
      </c>
      <c r="P175" s="2">
        <f t="shared" si="193"/>
        <v>-38818.023487230406</v>
      </c>
      <c r="Q175" s="2">
        <f t="shared" si="194"/>
        <v>-984.95275043679248</v>
      </c>
      <c r="R175" s="2">
        <f t="shared" si="195"/>
        <v>-1005.3281858798229</v>
      </c>
      <c r="S175" s="2">
        <f t="shared" si="196"/>
        <v>-1932.8337375323124</v>
      </c>
      <c r="T175" s="158">
        <f t="shared" si="197"/>
        <v>0</v>
      </c>
    </row>
    <row r="176" spans="1:20" x14ac:dyDescent="0.2">
      <c r="A176" s="12">
        <f t="shared" si="198"/>
        <v>122</v>
      </c>
      <c r="B176" s="23">
        <v>40</v>
      </c>
      <c r="C176" s="12">
        <v>923</v>
      </c>
      <c r="G176" s="11" t="s">
        <v>280</v>
      </c>
      <c r="H176" s="2">
        <f>'FUN-2 (Test Year)'!I180</f>
        <v>176942.44</v>
      </c>
      <c r="I176" s="2">
        <f t="shared" si="186"/>
        <v>6042.0324739255793</v>
      </c>
      <c r="J176" s="2">
        <f t="shared" si="187"/>
        <v>14734.429956625143</v>
      </c>
      <c r="K176" s="2">
        <f t="shared" si="188"/>
        <v>35216.677652116967</v>
      </c>
      <c r="L176" s="2">
        <f t="shared" si="189"/>
        <v>44782.764602501535</v>
      </c>
      <c r="M176" s="2">
        <f t="shared" si="190"/>
        <v>16641.068535056005</v>
      </c>
      <c r="N176" s="2">
        <f t="shared" si="191"/>
        <v>1279.5297822936343</v>
      </c>
      <c r="O176" s="2">
        <f t="shared" si="192"/>
        <v>42.481567336631556</v>
      </c>
      <c r="P176" s="2">
        <f t="shared" si="193"/>
        <v>52861.088804198203</v>
      </c>
      <c r="Q176" s="2">
        <f t="shared" si="194"/>
        <v>1341.2757820064203</v>
      </c>
      <c r="R176" s="2">
        <f t="shared" si="195"/>
        <v>1369.0223699472656</v>
      </c>
      <c r="S176" s="2">
        <f t="shared" si="196"/>
        <v>2632.0684739926628</v>
      </c>
      <c r="T176" s="158">
        <f t="shared" si="197"/>
        <v>0</v>
      </c>
    </row>
    <row r="177" spans="1:20" x14ac:dyDescent="0.2">
      <c r="A177" s="12">
        <f t="shared" si="198"/>
        <v>123</v>
      </c>
      <c r="B177" s="23">
        <v>47</v>
      </c>
      <c r="C177" s="12">
        <v>924</v>
      </c>
      <c r="G177" s="11" t="s">
        <v>281</v>
      </c>
      <c r="H177" s="2">
        <f>'FUN-2 (Test Year)'!I181</f>
        <v>13316.46</v>
      </c>
      <c r="I177" s="2">
        <f t="shared" si="186"/>
        <v>254.63564387167585</v>
      </c>
      <c r="J177" s="2">
        <f t="shared" si="187"/>
        <v>1893.0431528970282</v>
      </c>
      <c r="K177" s="2">
        <f t="shared" si="188"/>
        <v>4524.5517263561342</v>
      </c>
      <c r="L177" s="2">
        <f t="shared" si="189"/>
        <v>4253.1443964688715</v>
      </c>
      <c r="M177" s="2">
        <f t="shared" si="190"/>
        <v>1664.2394848335719</v>
      </c>
      <c r="N177" s="2">
        <f t="shared" si="191"/>
        <v>257.44595857975332</v>
      </c>
      <c r="O177" s="2">
        <f t="shared" si="192"/>
        <v>15.602976149908615</v>
      </c>
      <c r="P177" s="2">
        <f t="shared" si="193"/>
        <v>412.1436675982917</v>
      </c>
      <c r="Q177" s="2">
        <f t="shared" si="194"/>
        <v>10.457565906455374</v>
      </c>
      <c r="R177" s="2">
        <f t="shared" si="195"/>
        <v>10.673898577158331</v>
      </c>
      <c r="S177" s="2">
        <f t="shared" si="196"/>
        <v>20.521528761152219</v>
      </c>
      <c r="T177" s="158">
        <f t="shared" si="197"/>
        <v>0</v>
      </c>
    </row>
    <row r="178" spans="1:20" x14ac:dyDescent="0.2">
      <c r="A178" s="12">
        <f t="shared" si="198"/>
        <v>124</v>
      </c>
      <c r="B178" s="23">
        <v>40</v>
      </c>
      <c r="C178" s="12">
        <v>925</v>
      </c>
      <c r="G178" s="11" t="s">
        <v>282</v>
      </c>
      <c r="H178" s="2">
        <f>'FUN-2 (Test Year)'!I182</f>
        <v>170496.76</v>
      </c>
      <c r="I178" s="2">
        <f t="shared" si="186"/>
        <v>5821.9326048578041</v>
      </c>
      <c r="J178" s="2">
        <f t="shared" si="187"/>
        <v>14197.682410458043</v>
      </c>
      <c r="K178" s="2">
        <f t="shared" si="188"/>
        <v>33933.800379662163</v>
      </c>
      <c r="L178" s="2">
        <f t="shared" si="189"/>
        <v>43151.412790335657</v>
      </c>
      <c r="M178" s="2">
        <f t="shared" si="190"/>
        <v>16034.865734670524</v>
      </c>
      <c r="N178" s="2">
        <f t="shared" si="191"/>
        <v>1232.9189210037457</v>
      </c>
      <c r="O178" s="2">
        <f t="shared" si="192"/>
        <v>40.934043808921764</v>
      </c>
      <c r="P178" s="2">
        <f t="shared" si="193"/>
        <v>50935.458848584138</v>
      </c>
      <c r="Q178" s="2">
        <f t="shared" si="194"/>
        <v>1292.4156301821145</v>
      </c>
      <c r="R178" s="2">
        <f t="shared" si="195"/>
        <v>1319.1514621564515</v>
      </c>
      <c r="S178" s="2">
        <f t="shared" si="196"/>
        <v>2536.1871742804797</v>
      </c>
      <c r="T178" s="158">
        <f t="shared" si="197"/>
        <v>0</v>
      </c>
    </row>
    <row r="179" spans="1:20" x14ac:dyDescent="0.2">
      <c r="A179" s="12">
        <f t="shared" si="198"/>
        <v>125</v>
      </c>
      <c r="B179" s="23">
        <v>58.1</v>
      </c>
      <c r="C179" s="12">
        <v>926</v>
      </c>
      <c r="G179" s="11" t="s">
        <v>283</v>
      </c>
      <c r="H179" s="2">
        <f>'FUN-2 (Test Year)'!I183</f>
        <v>728692.95</v>
      </c>
      <c r="I179" s="2">
        <f t="shared" si="186"/>
        <v>22308.60732724511</v>
      </c>
      <c r="J179" s="2">
        <f t="shared" si="187"/>
        <v>63846.07270569972</v>
      </c>
      <c r="K179" s="2">
        <f t="shared" si="188"/>
        <v>152598.13704698271</v>
      </c>
      <c r="L179" s="2">
        <f t="shared" si="189"/>
        <v>184432.191069772</v>
      </c>
      <c r="M179" s="2">
        <f t="shared" si="190"/>
        <v>110219.82954033908</v>
      </c>
      <c r="N179" s="2">
        <f t="shared" si="191"/>
        <v>10222.213768764856</v>
      </c>
      <c r="O179" s="2">
        <f t="shared" si="192"/>
        <v>193.8238746430178</v>
      </c>
      <c r="P179" s="2">
        <f t="shared" si="193"/>
        <v>154357.04397167495</v>
      </c>
      <c r="Q179" s="2">
        <f t="shared" si="194"/>
        <v>686.85120851086936</v>
      </c>
      <c r="R179" s="2">
        <f t="shared" si="195"/>
        <v>701.05990273683562</v>
      </c>
      <c r="S179" s="2">
        <f t="shared" si="196"/>
        <v>29127.119583630814</v>
      </c>
      <c r="T179" s="158">
        <f>SUM(I179:S179)-H179</f>
        <v>0</v>
      </c>
    </row>
    <row r="180" spans="1:20" x14ac:dyDescent="0.2">
      <c r="A180" s="12">
        <f t="shared" si="198"/>
        <v>126</v>
      </c>
      <c r="B180" s="23">
        <v>47</v>
      </c>
      <c r="C180" s="12">
        <v>928</v>
      </c>
      <c r="G180" s="11" t="s">
        <v>284</v>
      </c>
      <c r="H180" s="2">
        <f>'FUN-2 (Test Year)'!I184</f>
        <v>227581.31</v>
      </c>
      <c r="I180" s="2">
        <f t="shared" si="186"/>
        <v>4351.780683831098</v>
      </c>
      <c r="J180" s="2">
        <f t="shared" si="187"/>
        <v>32352.53517998297</v>
      </c>
      <c r="K180" s="2">
        <f t="shared" si="188"/>
        <v>77325.611239540434</v>
      </c>
      <c r="L180" s="2">
        <f t="shared" si="189"/>
        <v>72687.198652460589</v>
      </c>
      <c r="M180" s="2">
        <f t="shared" si="190"/>
        <v>28442.228798956286</v>
      </c>
      <c r="N180" s="2">
        <f t="shared" si="191"/>
        <v>4399.8095971291168</v>
      </c>
      <c r="O180" s="2">
        <f t="shared" si="192"/>
        <v>266.65838759662546</v>
      </c>
      <c r="P180" s="2">
        <f t="shared" si="193"/>
        <v>7043.6283952509739</v>
      </c>
      <c r="Q180" s="2">
        <f t="shared" si="194"/>
        <v>178.72216402876225</v>
      </c>
      <c r="R180" s="2">
        <f t="shared" si="195"/>
        <v>182.41933824731416</v>
      </c>
      <c r="S180" s="2">
        <f t="shared" si="196"/>
        <v>350.71756297587336</v>
      </c>
      <c r="T180" s="158">
        <f t="shared" si="197"/>
        <v>0</v>
      </c>
    </row>
    <row r="181" spans="1:20" x14ac:dyDescent="0.2">
      <c r="A181" s="12">
        <f t="shared" si="198"/>
        <v>127</v>
      </c>
      <c r="B181" s="23">
        <v>40</v>
      </c>
      <c r="C181" s="12">
        <v>929</v>
      </c>
      <c r="G181" s="11" t="s">
        <v>285</v>
      </c>
      <c r="H181" s="2">
        <f>'FUN-2 (Test Year)'!I185</f>
        <v>-6303.5600000000013</v>
      </c>
      <c r="I181" s="2">
        <f t="shared" si="186"/>
        <v>-215.24691431483782</v>
      </c>
      <c r="J181" s="2">
        <f t="shared" si="187"/>
        <v>-524.91286599972284</v>
      </c>
      <c r="K181" s="2">
        <f t="shared" si="188"/>
        <v>-1254.59127036328</v>
      </c>
      <c r="L181" s="2">
        <f t="shared" si="189"/>
        <v>-1595.3823381080572</v>
      </c>
      <c r="M181" s="2">
        <f t="shared" si="190"/>
        <v>-592.83670992011662</v>
      </c>
      <c r="N181" s="2">
        <f t="shared" si="191"/>
        <v>-45.583144182225944</v>
      </c>
      <c r="O181" s="2">
        <f t="shared" si="192"/>
        <v>-1.5134023731135235</v>
      </c>
      <c r="P181" s="2">
        <f t="shared" si="193"/>
        <v>-1883.1719792187318</v>
      </c>
      <c r="Q181" s="2">
        <f t="shared" si="194"/>
        <v>-47.78284038823243</v>
      </c>
      <c r="R181" s="2">
        <f t="shared" si="195"/>
        <v>-48.771310321620902</v>
      </c>
      <c r="S181" s="2">
        <f t="shared" si="196"/>
        <v>-93.767224810063624</v>
      </c>
      <c r="T181" s="158">
        <f t="shared" si="197"/>
        <v>0</v>
      </c>
    </row>
    <row r="182" spans="1:20" x14ac:dyDescent="0.2">
      <c r="A182" s="12">
        <f t="shared" si="198"/>
        <v>128</v>
      </c>
      <c r="B182" s="23">
        <v>40</v>
      </c>
      <c r="C182" s="12">
        <v>930.2</v>
      </c>
      <c r="G182" s="11" t="s">
        <v>286</v>
      </c>
      <c r="H182" s="2">
        <f>'FUN-2 (Test Year)'!I186</f>
        <v>83273.33</v>
      </c>
      <c r="I182" s="2">
        <f t="shared" si="186"/>
        <v>2843.5245047594076</v>
      </c>
      <c r="J182" s="2">
        <f t="shared" si="187"/>
        <v>6934.3739587853042</v>
      </c>
      <c r="K182" s="2">
        <f t="shared" si="188"/>
        <v>16573.807954882737</v>
      </c>
      <c r="L182" s="2">
        <f t="shared" si="189"/>
        <v>21075.836498334877</v>
      </c>
      <c r="M182" s="2">
        <f t="shared" si="190"/>
        <v>7831.6835218974893</v>
      </c>
      <c r="N182" s="2">
        <f t="shared" si="191"/>
        <v>602.1772154027376</v>
      </c>
      <c r="O182" s="2">
        <f t="shared" si="192"/>
        <v>19.992838211909707</v>
      </c>
      <c r="P182" s="2">
        <f t="shared" si="193"/>
        <v>24877.688428798101</v>
      </c>
      <c r="Q182" s="2">
        <f t="shared" si="194"/>
        <v>631.23635469268254</v>
      </c>
      <c r="R182" s="2">
        <f t="shared" si="195"/>
        <v>644.29456036664089</v>
      </c>
      <c r="S182" s="2">
        <f t="shared" si="196"/>
        <v>1238.7141638681339</v>
      </c>
      <c r="T182" s="158">
        <f t="shared" si="197"/>
        <v>0</v>
      </c>
    </row>
    <row r="183" spans="1:20" x14ac:dyDescent="0.2">
      <c r="A183" s="12">
        <f t="shared" si="198"/>
        <v>129</v>
      </c>
      <c r="B183" s="23">
        <v>40</v>
      </c>
      <c r="C183" s="12">
        <v>931</v>
      </c>
      <c r="G183" s="11" t="s">
        <v>247</v>
      </c>
      <c r="H183" s="2">
        <f>'FUN-2 (Test Year)'!I187</f>
        <v>-308065.55</v>
      </c>
      <c r="I183" s="2">
        <f t="shared" si="186"/>
        <v>-10519.477730711435</v>
      </c>
      <c r="J183" s="2">
        <f t="shared" si="187"/>
        <v>-25653.372184334072</v>
      </c>
      <c r="K183" s="2">
        <f t="shared" si="188"/>
        <v>-61313.979676510178</v>
      </c>
      <c r="L183" s="2">
        <f t="shared" si="189"/>
        <v>-77969.010757341006</v>
      </c>
      <c r="M183" s="2">
        <f t="shared" si="190"/>
        <v>-28972.924363650247</v>
      </c>
      <c r="N183" s="2">
        <f t="shared" si="191"/>
        <v>-2227.7247116275139</v>
      </c>
      <c r="O183" s="2">
        <f t="shared" si="192"/>
        <v>-73.962512365159171</v>
      </c>
      <c r="P183" s="2">
        <f t="shared" si="193"/>
        <v>-92033.773220625648</v>
      </c>
      <c r="Q183" s="2">
        <f t="shared" si="194"/>
        <v>-2335.227554709249</v>
      </c>
      <c r="R183" s="2">
        <f t="shared" si="195"/>
        <v>-2383.5357382892871</v>
      </c>
      <c r="S183" s="2">
        <f t="shared" si="196"/>
        <v>-4582.5615498362649</v>
      </c>
      <c r="T183" s="158">
        <f t="shared" si="197"/>
        <v>0</v>
      </c>
    </row>
    <row r="184" spans="1:20" x14ac:dyDescent="0.2">
      <c r="A184" s="12"/>
      <c r="C184" s="12"/>
      <c r="F184" s="11" t="s">
        <v>235</v>
      </c>
      <c r="R184" s="2"/>
      <c r="S184" s="2"/>
      <c r="T184" s="158">
        <f t="shared" si="197"/>
        <v>0</v>
      </c>
    </row>
    <row r="185" spans="1:20" x14ac:dyDescent="0.2">
      <c r="A185" s="111">
        <f>+A183+1</f>
        <v>130</v>
      </c>
      <c r="B185" s="28">
        <v>40</v>
      </c>
      <c r="C185" s="111">
        <v>935</v>
      </c>
      <c r="D185" s="24"/>
      <c r="E185" s="24"/>
      <c r="F185" s="24"/>
      <c r="G185" s="24" t="s">
        <v>287</v>
      </c>
      <c r="H185" s="36">
        <f>'FUN-2 (Test Year)'!I189</f>
        <v>173.15</v>
      </c>
      <c r="I185" s="36">
        <f>INDEX(AlocTable,MATCH($B185,AlocList),3)*$H185</f>
        <v>5.9125324758730242</v>
      </c>
      <c r="J185" s="36">
        <f>INDEX(AlocTable,MATCH($B185,AlocList),4)*$H185</f>
        <v>14.41862419773144</v>
      </c>
      <c r="K185" s="36">
        <f>INDEX(AlocTable,MATCH($B185,AlocList),5)*$H185</f>
        <v>34.461872095038665</v>
      </c>
      <c r="L185" s="36">
        <f>INDEX(AlocTable,MATCH($B185,AlocList),6)*$H185</f>
        <v>43.822927336839825</v>
      </c>
      <c r="M185" s="36">
        <f>INDEX(AlocTable,MATCH($B185,AlocList),7)*$H185</f>
        <v>16.284397439330821</v>
      </c>
      <c r="N185" s="36">
        <f>INDEX(AlocTable,MATCH($B185,AlocList),8)*$H185</f>
        <v>1.2521053841245933</v>
      </c>
      <c r="O185" s="36">
        <f>INDEX(AlocTable,MATCH($B185,AlocList),9)*$H185</f>
        <v>4.1571052057029136E-2</v>
      </c>
      <c r="P185" s="36">
        <f>INDEX(AlocTable,MATCH($B185,AlocList),10)*$H185</f>
        <v>51.728107323754095</v>
      </c>
      <c r="Q185" s="36">
        <f>INDEX(AlocTable,MATCH($B185,AlocList),11)*$H185</f>
        <v>1.3125279704202772</v>
      </c>
      <c r="R185" s="36">
        <f>INDEX(AlocTable,MATCH($B185,AlocList),12)*$H185</f>
        <v>1.3396798606166449</v>
      </c>
      <c r="S185" s="36">
        <f>INDEX(AlocTable,MATCH($B185,AlocList),13)*$H185</f>
        <v>2.5756548642136368</v>
      </c>
      <c r="T185" s="161">
        <f t="shared" si="197"/>
        <v>0</v>
      </c>
    </row>
    <row r="186" spans="1:20" x14ac:dyDescent="0.2">
      <c r="A186" s="12">
        <f>+A185+1</f>
        <v>131</v>
      </c>
      <c r="C186" s="12"/>
      <c r="D186" s="11" t="s">
        <v>288</v>
      </c>
      <c r="H186" s="158">
        <f t="shared" ref="H186:S186" si="199">SUM(H173:H185)</f>
        <v>1960231.3199999996</v>
      </c>
      <c r="I186" s="158">
        <f t="shared" si="199"/>
        <v>60742.310512691678</v>
      </c>
      <c r="J186" s="158">
        <f t="shared" si="199"/>
        <v>180584.71789630534</v>
      </c>
      <c r="K186" s="158">
        <f t="shared" si="199"/>
        <v>431614.51225285832</v>
      </c>
      <c r="L186" s="158">
        <f t="shared" si="199"/>
        <v>512096.01682573825</v>
      </c>
      <c r="M186" s="158">
        <f t="shared" si="199"/>
        <v>233493.98624421065</v>
      </c>
      <c r="N186" s="158">
        <f t="shared" si="199"/>
        <v>22043.121816488841</v>
      </c>
      <c r="O186" s="158">
        <f t="shared" si="199"/>
        <v>713.9250995065405</v>
      </c>
      <c r="P186" s="158">
        <f t="shared" si="199"/>
        <v>457764.09109122743</v>
      </c>
      <c r="Q186" s="158">
        <f t="shared" ref="Q186:R186" si="200">SUM(Q173:Q185)</f>
        <v>8385.3783027771642</v>
      </c>
      <c r="R186" s="158">
        <f t="shared" si="200"/>
        <v>8558.8442220284742</v>
      </c>
      <c r="S186" s="158">
        <f t="shared" si="199"/>
        <v>44234.415736167815</v>
      </c>
      <c r="T186" s="158">
        <f t="shared" si="197"/>
        <v>0</v>
      </c>
    </row>
    <row r="187" spans="1:20" x14ac:dyDescent="0.2">
      <c r="A187" s="12"/>
      <c r="C187" s="12"/>
      <c r="H187" s="158"/>
      <c r="T187" s="158"/>
    </row>
    <row r="188" spans="1:20" x14ac:dyDescent="0.2">
      <c r="A188" s="12">
        <f>+A186+1</f>
        <v>132</v>
      </c>
      <c r="C188" s="12"/>
      <c r="D188" s="16" t="s">
        <v>291</v>
      </c>
      <c r="H188" s="18">
        <f>H108+H125+H149+H158+H164+H169+H186</f>
        <v>32827854.489999983</v>
      </c>
      <c r="I188" s="18">
        <f t="shared" ref="I188:S188" si="201">I108+I125+I149+I158+I164+I169+I186</f>
        <v>493125.90051269165</v>
      </c>
      <c r="J188" s="18">
        <f t="shared" si="201"/>
        <v>1110714.2995003008</v>
      </c>
      <c r="K188" s="18">
        <f t="shared" si="201"/>
        <v>2654711.9613209846</v>
      </c>
      <c r="L188" s="18">
        <f t="shared" si="201"/>
        <v>3338999.5993526713</v>
      </c>
      <c r="M188" s="18">
        <f t="shared" si="201"/>
        <v>1283961.9471248083</v>
      </c>
      <c r="N188" s="18">
        <f t="shared" si="201"/>
        <v>102819.10850066064</v>
      </c>
      <c r="O188" s="18">
        <f t="shared" si="201"/>
        <v>3396.0690385788125</v>
      </c>
      <c r="P188" s="18">
        <f t="shared" si="201"/>
        <v>4235686.7192257009</v>
      </c>
      <c r="Q188" s="18">
        <f>Q108+Q125+Q149+Q158+Q164+Q169+Q186</f>
        <v>93048.075400990492</v>
      </c>
      <c r="R188" s="18">
        <f>R108+R125+R149+R158+R164+R169+R186</f>
        <v>94972.934286445001</v>
      </c>
      <c r="S188" s="18">
        <f t="shared" si="201"/>
        <v>19416417.875736155</v>
      </c>
      <c r="T188" s="158">
        <f>SUM(I188:S188)-H188</f>
        <v>0</v>
      </c>
    </row>
    <row r="189" spans="1:20" x14ac:dyDescent="0.2">
      <c r="A189" s="12">
        <f>+A188+1</f>
        <v>133</v>
      </c>
      <c r="C189" s="12"/>
      <c r="D189" s="16" t="s">
        <v>365</v>
      </c>
      <c r="H189" s="18">
        <f>SUM(H93:H102)+H107+H125+H149+H158+H164+H169-SUM(H94:H97)-H114-H138-H155</f>
        <v>11168787.509999998</v>
      </c>
      <c r="I189" s="18">
        <f t="shared" ref="I189:T189" si="202">SUM(I93:I102)+I107+I125+I149+I158+I164+I169-SUM(I94:I97)-I114-I138-I155</f>
        <v>381379.25999999995</v>
      </c>
      <c r="J189" s="18">
        <f t="shared" si="202"/>
        <v>930052.26596018847</v>
      </c>
      <c r="K189" s="18">
        <f t="shared" si="202"/>
        <v>2222912.6573854187</v>
      </c>
      <c r="L189" s="18">
        <f t="shared" si="202"/>
        <v>2826733.8347752471</v>
      </c>
      <c r="M189" s="18">
        <f t="shared" si="202"/>
        <v>1050401.2401286399</v>
      </c>
      <c r="N189" s="18">
        <f t="shared" si="202"/>
        <v>80765.226540078002</v>
      </c>
      <c r="O189" s="18">
        <f t="shared" si="202"/>
        <v>2681.4799133243241</v>
      </c>
      <c r="P189" s="18">
        <f t="shared" si="202"/>
        <v>3336645.9081344735</v>
      </c>
      <c r="Q189" s="18">
        <f t="shared" si="202"/>
        <v>84662.697098213335</v>
      </c>
      <c r="R189" s="18">
        <f t="shared" ref="R189" si="203">SUM(R93:R102)+R107+R125+R149+R158+R164+R169-SUM(R94:R97)-R114-R138-R155</f>
        <v>86414.090064416523</v>
      </c>
      <c r="S189" s="18">
        <f t="shared" si="202"/>
        <v>166138.85000000003</v>
      </c>
      <c r="T189" s="18">
        <f t="shared" si="202"/>
        <v>0</v>
      </c>
    </row>
    <row r="190" spans="1:20" x14ac:dyDescent="0.2">
      <c r="A190" s="12"/>
      <c r="H190" s="158"/>
      <c r="T190" s="158"/>
    </row>
    <row r="191" spans="1:20" x14ac:dyDescent="0.2">
      <c r="A191" s="12"/>
      <c r="D191" s="11" t="s">
        <v>292</v>
      </c>
      <c r="G191" s="2"/>
      <c r="T191" s="158"/>
    </row>
    <row r="192" spans="1:20" x14ac:dyDescent="0.2">
      <c r="A192" s="12">
        <f>+A189+1</f>
        <v>134</v>
      </c>
      <c r="B192" s="23">
        <v>40</v>
      </c>
      <c r="C192" s="11" t="s">
        <v>293</v>
      </c>
      <c r="E192" s="11" t="s">
        <v>215</v>
      </c>
      <c r="H192" s="2">
        <f>'FUN-2 (Test Year)'!I201</f>
        <v>646391.41</v>
      </c>
      <c r="I192" s="2">
        <f t="shared" ref="I192:I198" si="204">INDEX(AlocTable,MATCH($B192,AlocList),3)*$H192</f>
        <v>22072.250671385245</v>
      </c>
      <c r="J192" s="2">
        <f t="shared" ref="J192:J198" si="205">INDEX(AlocTable,MATCH($B192,AlocList),4)*$H192</f>
        <v>53826.59442929105</v>
      </c>
      <c r="K192" s="2">
        <f t="shared" ref="K192:K198" si="206">INDEX(AlocTable,MATCH($B192,AlocList),5)*$H192</f>
        <v>128650.63872221597</v>
      </c>
      <c r="L192" s="2">
        <f t="shared" ref="L192:L198" si="207">INDEX(AlocTable,MATCH($B192,AlocList),6)*$H192</f>
        <v>163596.67220090926</v>
      </c>
      <c r="M192" s="2">
        <f t="shared" ref="M192:M198" si="208">INDEX(AlocTable,MATCH($B192,AlocList),7)*$H192</f>
        <v>60791.767957316995</v>
      </c>
      <c r="N192" s="2">
        <f t="shared" ref="N192:N198" si="209">INDEX(AlocTable,MATCH($B192,AlocList),8)*$H192</f>
        <v>4674.2718146860379</v>
      </c>
      <c r="O192" s="2">
        <f t="shared" ref="O192:O198" si="210">INDEX(AlocTable,MATCH($B192,AlocList),9)*$H192</f>
        <v>155.19012968135411</v>
      </c>
      <c r="P192" s="2">
        <f t="shared" ref="P192:P198" si="211">INDEX(AlocTable,MATCH($B192,AlocList),10)*$H192</f>
        <v>193107.73450553123</v>
      </c>
      <c r="Q192" s="2">
        <f t="shared" ref="Q192:Q198" si="212">INDEX(AlocTable,MATCH($B192,AlocList),11)*$H192</f>
        <v>4899.8371669904782</v>
      </c>
      <c r="R192" s="2">
        <f t="shared" ref="R192:R198" si="213">INDEX(AlocTable,MATCH($B192,AlocList),12)*$H192</f>
        <v>5001.1986950770815</v>
      </c>
      <c r="S192" s="2">
        <f t="shared" ref="S192:S198" si="214">INDEX(AlocTable,MATCH($B192,AlocList),13)*$H192</f>
        <v>9615.2537069154569</v>
      </c>
      <c r="T192" s="158">
        <f t="shared" ref="T192:T194" si="215">SUM(I192:S192)-H192</f>
        <v>0</v>
      </c>
    </row>
    <row r="193" spans="1:20" x14ac:dyDescent="0.2">
      <c r="A193" s="12">
        <f>+A192+1</f>
        <v>135</v>
      </c>
      <c r="B193" s="23">
        <v>1.1000000000000001</v>
      </c>
      <c r="C193" s="11" t="s">
        <v>293</v>
      </c>
      <c r="E193" s="11" t="s">
        <v>294</v>
      </c>
      <c r="H193" s="2">
        <f>'FUN-2 (Test Year)'!I202</f>
        <v>0</v>
      </c>
      <c r="I193" s="2">
        <f t="shared" si="204"/>
        <v>0</v>
      </c>
      <c r="J193" s="2">
        <f t="shared" si="205"/>
        <v>0</v>
      </c>
      <c r="K193" s="2">
        <f t="shared" si="206"/>
        <v>0</v>
      </c>
      <c r="L193" s="2">
        <f t="shared" si="207"/>
        <v>0</v>
      </c>
      <c r="M193" s="2">
        <f t="shared" si="208"/>
        <v>0</v>
      </c>
      <c r="N193" s="2">
        <f t="shared" si="209"/>
        <v>0</v>
      </c>
      <c r="O193" s="2">
        <f t="shared" si="210"/>
        <v>0</v>
      </c>
      <c r="P193" s="2">
        <f t="shared" si="211"/>
        <v>0</v>
      </c>
      <c r="Q193" s="2">
        <f t="shared" si="212"/>
        <v>0</v>
      </c>
      <c r="R193" s="2">
        <f t="shared" si="213"/>
        <v>0</v>
      </c>
      <c r="S193" s="2">
        <f t="shared" si="214"/>
        <v>0</v>
      </c>
      <c r="T193" s="158">
        <f t="shared" si="215"/>
        <v>0</v>
      </c>
    </row>
    <row r="194" spans="1:20" x14ac:dyDescent="0.2">
      <c r="A194" s="12">
        <f>+A193+1</f>
        <v>136</v>
      </c>
      <c r="B194" s="23">
        <v>1.1000000000000001</v>
      </c>
      <c r="C194" s="11" t="s">
        <v>293</v>
      </c>
      <c r="E194" s="11" t="s">
        <v>213</v>
      </c>
      <c r="H194" s="2">
        <f>'FUN-2 (Test Year)'!I203</f>
        <v>183540.49307264271</v>
      </c>
      <c r="I194" s="2">
        <f t="shared" si="204"/>
        <v>183540.49307264271</v>
      </c>
      <c r="J194" s="2">
        <f t="shared" si="205"/>
        <v>0</v>
      </c>
      <c r="K194" s="2">
        <f t="shared" si="206"/>
        <v>0</v>
      </c>
      <c r="L194" s="2">
        <f t="shared" si="207"/>
        <v>0</v>
      </c>
      <c r="M194" s="2">
        <f t="shared" si="208"/>
        <v>0</v>
      </c>
      <c r="N194" s="2">
        <f t="shared" si="209"/>
        <v>0</v>
      </c>
      <c r="O194" s="2">
        <f t="shared" si="210"/>
        <v>0</v>
      </c>
      <c r="P194" s="2">
        <f t="shared" si="211"/>
        <v>0</v>
      </c>
      <c r="Q194" s="2">
        <f t="shared" si="212"/>
        <v>0</v>
      </c>
      <c r="R194" s="2">
        <f t="shared" si="213"/>
        <v>0</v>
      </c>
      <c r="S194" s="2">
        <f t="shared" si="214"/>
        <v>0</v>
      </c>
      <c r="T194" s="158">
        <f t="shared" si="215"/>
        <v>0</v>
      </c>
    </row>
    <row r="195" spans="1:20" x14ac:dyDescent="0.2">
      <c r="A195" s="12">
        <f t="shared" ref="A195:A199" si="216">+A194+1</f>
        <v>137</v>
      </c>
      <c r="B195" s="23">
        <v>44</v>
      </c>
      <c r="C195" s="12" t="s">
        <v>293</v>
      </c>
      <c r="E195" s="11" t="s">
        <v>214</v>
      </c>
      <c r="H195" s="2">
        <f>'FUN-2 (Test Year)'!I204</f>
        <v>6630919.4003351592</v>
      </c>
      <c r="I195" s="2">
        <f t="shared" si="204"/>
        <v>0</v>
      </c>
      <c r="J195" s="2">
        <f t="shared" si="205"/>
        <v>1005242.749940469</v>
      </c>
      <c r="K195" s="2">
        <f t="shared" si="206"/>
        <v>2402625.0076178485</v>
      </c>
      <c r="L195" s="2">
        <f t="shared" si="207"/>
        <v>2207026.7839568458</v>
      </c>
      <c r="M195" s="2">
        <f t="shared" si="208"/>
        <v>867490.05600354087</v>
      </c>
      <c r="N195" s="2">
        <f t="shared" si="209"/>
        <v>139901.27102353395</v>
      </c>
      <c r="O195" s="2">
        <f t="shared" si="210"/>
        <v>8633.5317929212415</v>
      </c>
      <c r="P195" s="2">
        <f t="shared" si="211"/>
        <v>0</v>
      </c>
      <c r="Q195" s="2">
        <f t="shared" si="212"/>
        <v>0</v>
      </c>
      <c r="R195" s="2">
        <f t="shared" si="213"/>
        <v>0</v>
      </c>
      <c r="S195" s="2">
        <f t="shared" si="214"/>
        <v>0</v>
      </c>
      <c r="T195" s="158"/>
    </row>
    <row r="196" spans="1:20" x14ac:dyDescent="0.2">
      <c r="A196" s="12">
        <f t="shared" si="216"/>
        <v>138</v>
      </c>
      <c r="B196" s="23">
        <v>40</v>
      </c>
      <c r="C196" s="12" t="s">
        <v>293</v>
      </c>
      <c r="E196" s="11" t="s">
        <v>216</v>
      </c>
      <c r="H196" s="2">
        <f>'FUN-2 (Test Year)'!I205</f>
        <v>575126.60020817583</v>
      </c>
      <c r="I196" s="2">
        <f t="shared" si="204"/>
        <v>19638.779679291256</v>
      </c>
      <c r="J196" s="2">
        <f t="shared" si="205"/>
        <v>47892.199333067394</v>
      </c>
      <c r="K196" s="2">
        <f t="shared" si="206"/>
        <v>114466.87458751713</v>
      </c>
      <c r="L196" s="2">
        <f t="shared" si="207"/>
        <v>145560.09939593772</v>
      </c>
      <c r="M196" s="2">
        <f t="shared" si="208"/>
        <v>54089.460789610501</v>
      </c>
      <c r="N196" s="2">
        <f t="shared" si="209"/>
        <v>4158.932212959453</v>
      </c>
      <c r="O196" s="2">
        <f t="shared" si="210"/>
        <v>138.08038022891284</v>
      </c>
      <c r="P196" s="2">
        <f t="shared" si="211"/>
        <v>171817.55992096063</v>
      </c>
      <c r="Q196" s="2">
        <f t="shared" si="212"/>
        <v>4359.6289304415322</v>
      </c>
      <c r="R196" s="2">
        <f t="shared" si="213"/>
        <v>4449.8153254623958</v>
      </c>
      <c r="S196" s="2">
        <f t="shared" si="214"/>
        <v>8555.1696526990454</v>
      </c>
      <c r="T196" s="158"/>
    </row>
    <row r="197" spans="1:20" x14ac:dyDescent="0.2">
      <c r="A197" s="12">
        <f t="shared" si="216"/>
        <v>139</v>
      </c>
      <c r="B197" s="23">
        <v>47</v>
      </c>
      <c r="C197" s="166" t="s">
        <v>293</v>
      </c>
      <c r="E197" s="11" t="s">
        <v>295</v>
      </c>
      <c r="H197" s="2">
        <f>'FUN-2 (Test Year)'!I206</f>
        <v>0</v>
      </c>
      <c r="I197" s="2">
        <f t="shared" si="204"/>
        <v>0</v>
      </c>
      <c r="J197" s="2">
        <f t="shared" si="205"/>
        <v>0</v>
      </c>
      <c r="K197" s="2">
        <f t="shared" si="206"/>
        <v>0</v>
      </c>
      <c r="L197" s="2">
        <f t="shared" si="207"/>
        <v>0</v>
      </c>
      <c r="M197" s="2">
        <f t="shared" si="208"/>
        <v>0</v>
      </c>
      <c r="N197" s="2">
        <f t="shared" si="209"/>
        <v>0</v>
      </c>
      <c r="O197" s="2">
        <f t="shared" si="210"/>
        <v>0</v>
      </c>
      <c r="P197" s="2">
        <f t="shared" si="211"/>
        <v>0</v>
      </c>
      <c r="Q197" s="2">
        <f t="shared" si="212"/>
        <v>0</v>
      </c>
      <c r="R197" s="2">
        <f t="shared" si="213"/>
        <v>0</v>
      </c>
      <c r="S197" s="2">
        <f t="shared" si="214"/>
        <v>0</v>
      </c>
      <c r="T197" s="158">
        <f t="shared" ref="T197:T199" si="217">SUM(I197:S197)-H197</f>
        <v>0</v>
      </c>
    </row>
    <row r="198" spans="1:20" x14ac:dyDescent="0.2">
      <c r="A198" s="111">
        <f t="shared" si="216"/>
        <v>140</v>
      </c>
      <c r="B198" s="28">
        <v>47</v>
      </c>
      <c r="C198" s="111">
        <v>407</v>
      </c>
      <c r="D198" s="24"/>
      <c r="E198" s="24" t="s">
        <v>296</v>
      </c>
      <c r="F198" s="24"/>
      <c r="G198" s="24"/>
      <c r="H198" s="36">
        <f>'FUN-2 (Test Year)'!I207</f>
        <v>0</v>
      </c>
      <c r="I198" s="36">
        <f t="shared" si="204"/>
        <v>0</v>
      </c>
      <c r="J198" s="36">
        <f t="shared" si="205"/>
        <v>0</v>
      </c>
      <c r="K198" s="36">
        <f t="shared" si="206"/>
        <v>0</v>
      </c>
      <c r="L198" s="36">
        <f t="shared" si="207"/>
        <v>0</v>
      </c>
      <c r="M198" s="36">
        <f t="shared" si="208"/>
        <v>0</v>
      </c>
      <c r="N198" s="36">
        <f t="shared" si="209"/>
        <v>0</v>
      </c>
      <c r="O198" s="36">
        <f t="shared" si="210"/>
        <v>0</v>
      </c>
      <c r="P198" s="36">
        <f t="shared" si="211"/>
        <v>0</v>
      </c>
      <c r="Q198" s="36">
        <f t="shared" si="212"/>
        <v>0</v>
      </c>
      <c r="R198" s="36">
        <f t="shared" si="213"/>
        <v>0</v>
      </c>
      <c r="S198" s="36">
        <f t="shared" si="214"/>
        <v>0</v>
      </c>
      <c r="T198" s="161">
        <f t="shared" si="217"/>
        <v>0</v>
      </c>
    </row>
    <row r="199" spans="1:20" x14ac:dyDescent="0.2">
      <c r="A199" s="12">
        <f t="shared" si="216"/>
        <v>141</v>
      </c>
      <c r="D199" s="11" t="s">
        <v>297</v>
      </c>
      <c r="H199" s="74">
        <f t="shared" ref="H199:S199" si="218">SUM(H192:H198)</f>
        <v>8035977.9036159776</v>
      </c>
      <c r="I199" s="2">
        <f t="shared" si="218"/>
        <v>225251.52342331922</v>
      </c>
      <c r="J199" s="2">
        <f t="shared" si="218"/>
        <v>1106961.5437028273</v>
      </c>
      <c r="K199" s="2">
        <f t="shared" si="218"/>
        <v>2645742.5209275815</v>
      </c>
      <c r="L199" s="2">
        <f t="shared" si="218"/>
        <v>2516183.5555536929</v>
      </c>
      <c r="M199" s="2">
        <f t="shared" si="218"/>
        <v>982371.28475046833</v>
      </c>
      <c r="N199" s="2">
        <f t="shared" si="218"/>
        <v>148734.47505117944</v>
      </c>
      <c r="O199" s="2">
        <f t="shared" si="218"/>
        <v>8926.8023028315074</v>
      </c>
      <c r="P199" s="2">
        <f t="shared" si="218"/>
        <v>364925.29442649183</v>
      </c>
      <c r="Q199" s="2">
        <f t="shared" si="218"/>
        <v>9259.4660974320104</v>
      </c>
      <c r="R199" s="2">
        <f t="shared" si="218"/>
        <v>9451.0140205394782</v>
      </c>
      <c r="S199" s="2">
        <f t="shared" si="218"/>
        <v>18170.423359614502</v>
      </c>
      <c r="T199" s="158">
        <f t="shared" si="217"/>
        <v>0</v>
      </c>
    </row>
    <row r="200" spans="1:20" x14ac:dyDescent="0.2">
      <c r="A200" s="12"/>
      <c r="H200" s="158"/>
      <c r="T200" s="158"/>
    </row>
    <row r="201" spans="1:20" x14ac:dyDescent="0.2">
      <c r="A201" s="12"/>
      <c r="D201" s="11" t="s">
        <v>298</v>
      </c>
      <c r="H201" s="2"/>
      <c r="T201" s="158"/>
    </row>
    <row r="202" spans="1:20" x14ac:dyDescent="0.2">
      <c r="A202" s="12">
        <f>+A199+1</f>
        <v>142</v>
      </c>
      <c r="B202" s="23">
        <v>58.1</v>
      </c>
      <c r="C202" s="12" t="s">
        <v>366</v>
      </c>
      <c r="E202" s="11" t="s">
        <v>300</v>
      </c>
      <c r="H202" s="2">
        <f>'FUN-2 (Test Year)'!I211</f>
        <v>551858</v>
      </c>
      <c r="I202" s="2">
        <f t="shared" ref="I202:I205" si="219">INDEX(AlocTable,MATCH($B202,AlocList),3)*$H202</f>
        <v>16894.884769228014</v>
      </c>
      <c r="J202" s="2">
        <f t="shared" ref="J202:J205" si="220">INDEX(AlocTable,MATCH($B202,AlocList),4)*$H202</f>
        <v>48352.280602168634</v>
      </c>
      <c r="K202" s="2">
        <f t="shared" ref="K202:K205" si="221">INDEX(AlocTable,MATCH($B202,AlocList),5)*$H202</f>
        <v>115566.5122250377</v>
      </c>
      <c r="L202" s="2">
        <f t="shared" ref="L202:L205" si="222">INDEX(AlocTable,MATCH($B202,AlocList),6)*$H202</f>
        <v>139675.26390832002</v>
      </c>
      <c r="M202" s="2">
        <f t="shared" ref="M202:M205" si="223">INDEX(AlocTable,MATCH($B202,AlocList),7)*$H202</f>
        <v>83472.324921590713</v>
      </c>
      <c r="N202" s="2">
        <f t="shared" ref="N202:N205" si="224">INDEX(AlocTable,MATCH($B202,AlocList),8)*$H202</f>
        <v>7741.5466226248463</v>
      </c>
      <c r="O202" s="2">
        <f t="shared" ref="O202:O205" si="225">INDEX(AlocTable,MATCH($B202,AlocList),9)*$H202</f>
        <v>146.78782855350326</v>
      </c>
      <c r="P202" s="2">
        <f t="shared" ref="P202:P205" si="226">INDEX(AlocTable,MATCH($B202,AlocList),10)*$H202</f>
        <v>116898.57788814974</v>
      </c>
      <c r="Q202" s="2">
        <f>INDEX(AlocTable,MATCH($B202,AlocList),11)*$H202</f>
        <v>520.17016800614226</v>
      </c>
      <c r="R202" s="2">
        <f>INDEX(AlocTable,MATCH($B202,AlocList),12)*$H202</f>
        <v>530.93077928713956</v>
      </c>
      <c r="S202" s="2">
        <f>INDEX(AlocTable,MATCH($B202,AlocList),13)*$H202</f>
        <v>22058.720287033564</v>
      </c>
      <c r="T202" s="158">
        <f t="shared" ref="T202:T206" si="227">SUM(I202:S202)-H202</f>
        <v>0</v>
      </c>
    </row>
    <row r="203" spans="1:20" x14ac:dyDescent="0.2">
      <c r="A203" s="12">
        <f>+A202+1</f>
        <v>143</v>
      </c>
      <c r="B203" s="23">
        <v>46</v>
      </c>
      <c r="C203" s="12" t="s">
        <v>367</v>
      </c>
      <c r="E203" s="11" t="s">
        <v>302</v>
      </c>
      <c r="H203" s="2">
        <f>'FUN-2 (Test Year)'!I212</f>
        <v>1277900</v>
      </c>
      <c r="I203" s="2">
        <f t="shared" si="219"/>
        <v>31917.60888241441</v>
      </c>
      <c r="J203" s="2">
        <f t="shared" si="220"/>
        <v>182153.06917872009</v>
      </c>
      <c r="K203" s="2">
        <f t="shared" si="221"/>
        <v>435363.01977711776</v>
      </c>
      <c r="L203" s="2">
        <f t="shared" si="222"/>
        <v>407416.1677301501</v>
      </c>
      <c r="M203" s="2">
        <f t="shared" si="223"/>
        <v>159558.77502146616</v>
      </c>
      <c r="N203" s="2">
        <f t="shared" si="224"/>
        <v>24885.637464650368</v>
      </c>
      <c r="O203" s="2">
        <f t="shared" si="225"/>
        <v>1513.7379410419442</v>
      </c>
      <c r="P203" s="2">
        <f t="shared" si="226"/>
        <v>31870.968296728133</v>
      </c>
      <c r="Q203" s="2">
        <f>INDEX(AlocTable,MATCH($B203,AlocList),11)*$H203</f>
        <v>808.68099565328748</v>
      </c>
      <c r="R203" s="2">
        <f>INDEX(AlocTable,MATCH($B203,AlocList),12)*$H203</f>
        <v>825.40994779198877</v>
      </c>
      <c r="S203" s="2">
        <f>INDEX(AlocTable,MATCH($B203,AlocList),13)*$H203</f>
        <v>1586.9247642658379</v>
      </c>
      <c r="T203" s="158">
        <f t="shared" si="227"/>
        <v>0</v>
      </c>
    </row>
    <row r="204" spans="1:20" x14ac:dyDescent="0.2">
      <c r="A204" s="12">
        <f t="shared" ref="A204:A206" si="228">+A203+1</f>
        <v>144</v>
      </c>
      <c r="B204" s="23">
        <v>39</v>
      </c>
      <c r="C204" s="12" t="s">
        <v>303</v>
      </c>
      <c r="E204" s="11" t="s">
        <v>304</v>
      </c>
      <c r="H204" s="2">
        <f>'FUN-2 (Test Year)'!I213</f>
        <v>0</v>
      </c>
      <c r="I204" s="2">
        <f t="shared" si="219"/>
        <v>0</v>
      </c>
      <c r="J204" s="2">
        <f t="shared" si="220"/>
        <v>0</v>
      </c>
      <c r="K204" s="2">
        <f t="shared" si="221"/>
        <v>0</v>
      </c>
      <c r="L204" s="2">
        <f t="shared" si="222"/>
        <v>0</v>
      </c>
      <c r="M204" s="2">
        <f t="shared" si="223"/>
        <v>0</v>
      </c>
      <c r="N204" s="2">
        <f t="shared" si="224"/>
        <v>0</v>
      </c>
      <c r="O204" s="2">
        <f t="shared" si="225"/>
        <v>0</v>
      </c>
      <c r="P204" s="2">
        <f t="shared" si="226"/>
        <v>0</v>
      </c>
      <c r="Q204" s="2">
        <f>INDEX(AlocTable,MATCH($B204,AlocList),11)*$H204</f>
        <v>0</v>
      </c>
      <c r="R204" s="2">
        <f>INDEX(AlocTable,MATCH($B204,AlocList),12)*$H204</f>
        <v>0</v>
      </c>
      <c r="S204" s="2">
        <f>INDEX(AlocTable,MATCH($B204,AlocList),13)*$H204</f>
        <v>0</v>
      </c>
      <c r="T204" s="158">
        <f t="shared" si="227"/>
        <v>0</v>
      </c>
    </row>
    <row r="205" spans="1:20" x14ac:dyDescent="0.2">
      <c r="A205" s="111">
        <f t="shared" si="228"/>
        <v>145</v>
      </c>
      <c r="B205" s="28">
        <v>39</v>
      </c>
      <c r="C205" s="111">
        <v>408181</v>
      </c>
      <c r="D205" s="24"/>
      <c r="E205" s="24" t="s">
        <v>305</v>
      </c>
      <c r="F205" s="24"/>
      <c r="G205" s="24"/>
      <c r="H205" s="36">
        <f>'FUN-2 (Test Year)'!I214</f>
        <v>872</v>
      </c>
      <c r="I205" s="36">
        <f t="shared" si="219"/>
        <v>21.990004522695941</v>
      </c>
      <c r="J205" s="36">
        <f t="shared" si="220"/>
        <v>122.93585379004725</v>
      </c>
      <c r="K205" s="36">
        <f t="shared" si="221"/>
        <v>293.82828840726359</v>
      </c>
      <c r="L205" s="36">
        <f t="shared" si="222"/>
        <v>276.50039513400236</v>
      </c>
      <c r="M205" s="36">
        <f t="shared" si="223"/>
        <v>108.17109266118587</v>
      </c>
      <c r="N205" s="36">
        <f t="shared" si="224"/>
        <v>16.700309805786954</v>
      </c>
      <c r="O205" s="36">
        <f t="shared" si="225"/>
        <v>1.0112589785993</v>
      </c>
      <c r="P205" s="36">
        <f t="shared" si="226"/>
        <v>28.029968754772703</v>
      </c>
      <c r="Q205" s="36">
        <f>INDEX(AlocTable,MATCH($B205,AlocList),11)*$H205</f>
        <v>0.71122103444428941</v>
      </c>
      <c r="R205" s="36">
        <f>INDEX(AlocTable,MATCH($B205,AlocList),12)*$H205</f>
        <v>0.72593386027945606</v>
      </c>
      <c r="S205" s="36">
        <f>INDEX(AlocTable,MATCH($B205,AlocList),13)*$H205</f>
        <v>1.3956730509224262</v>
      </c>
      <c r="T205" s="161">
        <f t="shared" si="227"/>
        <v>0</v>
      </c>
    </row>
    <row r="206" spans="1:20" x14ac:dyDescent="0.2">
      <c r="A206" s="12">
        <f t="shared" si="228"/>
        <v>146</v>
      </c>
      <c r="C206" s="12"/>
      <c r="D206" s="11" t="s">
        <v>306</v>
      </c>
      <c r="H206" s="74">
        <f t="shared" ref="H206:S206" si="229">SUM(H202:H205)</f>
        <v>1830630</v>
      </c>
      <c r="I206" s="2">
        <f t="shared" si="229"/>
        <v>48834.483656165117</v>
      </c>
      <c r="J206" s="2">
        <f t="shared" si="229"/>
        <v>230628.28563467879</v>
      </c>
      <c r="K206" s="2">
        <f t="shared" si="229"/>
        <v>551223.36029056273</v>
      </c>
      <c r="L206" s="2">
        <f t="shared" si="229"/>
        <v>547367.93203360413</v>
      </c>
      <c r="M206" s="2">
        <f t="shared" si="229"/>
        <v>243139.27103571806</v>
      </c>
      <c r="N206" s="2">
        <f t="shared" si="229"/>
        <v>32643.884397081001</v>
      </c>
      <c r="O206" s="2">
        <f t="shared" si="229"/>
        <v>1661.5370285740466</v>
      </c>
      <c r="P206" s="2">
        <f t="shared" si="229"/>
        <v>148797.57615363263</v>
      </c>
      <c r="Q206" s="2">
        <f t="shared" si="229"/>
        <v>1329.562384693874</v>
      </c>
      <c r="R206" s="2">
        <f t="shared" si="229"/>
        <v>1357.0666609394077</v>
      </c>
      <c r="S206" s="2">
        <f t="shared" si="229"/>
        <v>23647.040724350325</v>
      </c>
      <c r="T206" s="158">
        <f t="shared" si="227"/>
        <v>0</v>
      </c>
    </row>
    <row r="207" spans="1:20" x14ac:dyDescent="0.2">
      <c r="A207" s="12"/>
      <c r="C207" s="12"/>
      <c r="H207" s="158"/>
      <c r="T207" s="158"/>
    </row>
    <row r="208" spans="1:20" x14ac:dyDescent="0.2">
      <c r="A208" s="12">
        <f>+A206+1</f>
        <v>147</v>
      </c>
      <c r="B208" s="17"/>
      <c r="C208" s="8"/>
      <c r="D208" s="11" t="s">
        <v>243</v>
      </c>
      <c r="H208" s="74">
        <f t="shared" ref="H208:S208" si="230">H199+H206</f>
        <v>9866607.9036159776</v>
      </c>
      <c r="I208" s="74">
        <f t="shared" si="230"/>
        <v>274086.00707948435</v>
      </c>
      <c r="J208" s="74">
        <f t="shared" si="230"/>
        <v>1337589.8293375061</v>
      </c>
      <c r="K208" s="74">
        <f t="shared" si="230"/>
        <v>3196965.8812181442</v>
      </c>
      <c r="L208" s="74">
        <f t="shared" si="230"/>
        <v>3063551.4875872969</v>
      </c>
      <c r="M208" s="74">
        <f t="shared" si="230"/>
        <v>1225510.5557861864</v>
      </c>
      <c r="N208" s="74">
        <f t="shared" si="230"/>
        <v>181378.35944826045</v>
      </c>
      <c r="O208" s="74">
        <f t="shared" si="230"/>
        <v>10588.339331405554</v>
      </c>
      <c r="P208" s="74">
        <f t="shared" si="230"/>
        <v>513722.87058012444</v>
      </c>
      <c r="Q208" s="74">
        <f t="shared" ref="Q208:R208" si="231">Q199+Q206</f>
        <v>10589.028482125885</v>
      </c>
      <c r="R208" s="74">
        <f t="shared" si="231"/>
        <v>10808.080681478887</v>
      </c>
      <c r="S208" s="74">
        <f t="shared" si="230"/>
        <v>41817.464083964827</v>
      </c>
      <c r="T208" s="158">
        <f>SUM(I208:S208)-H208</f>
        <v>0</v>
      </c>
    </row>
    <row r="209" spans="1:20" x14ac:dyDescent="0.2">
      <c r="A209" s="12"/>
      <c r="H209" s="158"/>
      <c r="T209" s="158"/>
    </row>
    <row r="210" spans="1:20" ht="18" x14ac:dyDescent="0.25">
      <c r="A210" s="10" t="s">
        <v>368</v>
      </c>
      <c r="B210" s="11"/>
      <c r="C210" s="10"/>
      <c r="H210" s="158"/>
      <c r="T210" s="158"/>
    </row>
    <row r="211" spans="1:20" x14ac:dyDescent="0.2">
      <c r="A211" s="12"/>
      <c r="C211" s="12"/>
      <c r="H211" s="74"/>
      <c r="I211" s="74"/>
      <c r="T211" s="158"/>
    </row>
    <row r="212" spans="1:20" x14ac:dyDescent="0.2">
      <c r="A212" s="12">
        <f>+A208+1</f>
        <v>148</v>
      </c>
      <c r="C212" s="12" t="s">
        <v>369</v>
      </c>
      <c r="D212" s="11" t="s">
        <v>308</v>
      </c>
      <c r="H212" s="74">
        <f>'FUN-2 (Test Year)'!$I$224</f>
        <v>30043002.670000006</v>
      </c>
      <c r="I212" s="74">
        <f>(I$238*I$255+I$86*$H$261+I$245+I$246+I$249+I$250)/(1-'FUN-3 (Functional COS)'!I$255)-I$224+I$231</f>
        <v>955487.28557690769</v>
      </c>
      <c r="J212" s="74">
        <f>(J$238*J$255+J$86*$H$261+J$245+J$246+J$249+J$250)/(1-'FUN-3 (Functional COS)'!J$255)-J$224+J$231</f>
        <v>3399039.8177911257</v>
      </c>
      <c r="K212" s="74">
        <f>(K$238*K$255+K$86*$H$261+K$245+K$246+K$249+K$250)/(1-'FUN-3 (Functional COS)'!K$255)-K$224+K$231</f>
        <v>8124025.8321658149</v>
      </c>
      <c r="L212" s="74">
        <f>(L$238*L$255+L$86*$H$261+L$245+L$246+L$249+L$250)/(1-'FUN-3 (Functional COS)'!L$255)-L$224+L$231</f>
        <v>8532658.1292778067</v>
      </c>
      <c r="M212" s="74">
        <f>(M$238*M$255+M$86*$H$261+M$245+M$246+M$249+M$250)/(1-'FUN-3 (Functional COS)'!M$255)-M$224+M$231</f>
        <v>3357890.4816987822</v>
      </c>
      <c r="N212" s="74">
        <f>(N$238*N$255+N$86*$H$261+N$245+N$246+N$249+N$250)/(1-'FUN-3 (Functional COS)'!N$255)-N$224+N$231</f>
        <v>415992.88090382505</v>
      </c>
      <c r="O212" s="74">
        <f>(O$238*O$255+O$86*$H$261+O$245+O$246+O$249+O$250)/(1-'FUN-3 (Functional COS)'!O$255)-O$224+O$231</f>
        <v>21996.000462379354</v>
      </c>
      <c r="P212" s="74">
        <f>(P$238*P$255+P$86*$H$261+P$245+P$246+P$249+P$250)/(1-'FUN-3 (Functional COS)'!P$255)-P$224+P$231</f>
        <v>4848540.6009081593</v>
      </c>
      <c r="Q212" s="74">
        <f>(Q$238*Q$255+Q$86*$H$261+Q$245+Q$246+Q$249+Q$250)/(1-'FUN-3 (Functional COS)'!Q$255)-Q$224+Q$231</f>
        <v>84331.298516054143</v>
      </c>
      <c r="R212" s="74">
        <f>(R$238*R$255+R$86*$H$261+R$245+R$246+R$249+R$250)/(1-'FUN-3 (Functional COS)'!R$255)-R$224+R$231</f>
        <v>86075.835934705756</v>
      </c>
      <c r="S212" s="74">
        <f>(S$238*S$255+S$86*$H$261+S$245+S$246+S$249+S$250)/(1-'FUN-3 (Functional COS)'!S$255)-S$224+S$231</f>
        <v>216964.22579288483</v>
      </c>
      <c r="T212" s="158">
        <f>SUM(I212:S212)-H212</f>
        <v>-0.28097156062722206</v>
      </c>
    </row>
    <row r="213" spans="1:20" x14ac:dyDescent="0.2">
      <c r="A213" s="12"/>
      <c r="C213" s="12"/>
      <c r="K213" s="2"/>
      <c r="T213" s="158"/>
    </row>
    <row r="214" spans="1:20" x14ac:dyDescent="0.2">
      <c r="A214" s="12"/>
      <c r="C214" s="12"/>
      <c r="D214" s="11" t="s">
        <v>60</v>
      </c>
      <c r="H214" s="2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</row>
    <row r="215" spans="1:20" x14ac:dyDescent="0.2">
      <c r="A215" s="12">
        <f>+A212+1</f>
        <v>149</v>
      </c>
      <c r="B215" s="23">
        <v>1.9</v>
      </c>
      <c r="C215" s="12">
        <v>481</v>
      </c>
      <c r="E215" s="11" t="s">
        <v>313</v>
      </c>
      <c r="H215" s="2">
        <f>'FUN-2 (Test Year)'!I227</f>
        <v>0</v>
      </c>
      <c r="I215" s="2">
        <f t="shared" ref="I215:I223" si="232">INDEX(AlocTable,MATCH($B215,AlocList),3)*$H215</f>
        <v>0</v>
      </c>
      <c r="J215" s="2">
        <f t="shared" ref="J215:J223" si="233">INDEX(AlocTable,MATCH($B215,AlocList),4)*$H215</f>
        <v>0</v>
      </c>
      <c r="K215" s="2">
        <f t="shared" ref="K215:K223" si="234">INDEX(AlocTable,MATCH($B215,AlocList),5)*$H215</f>
        <v>0</v>
      </c>
      <c r="L215" s="2">
        <f t="shared" ref="L215:L223" si="235">INDEX(AlocTable,MATCH($B215,AlocList),6)*$H215</f>
        <v>0</v>
      </c>
      <c r="M215" s="2">
        <f t="shared" ref="M215:M223" si="236">INDEX(AlocTable,MATCH($B215,AlocList),7)*$H215</f>
        <v>0</v>
      </c>
      <c r="N215" s="2">
        <f t="shared" ref="N215:N223" si="237">INDEX(AlocTable,MATCH($B215,AlocList),8)*$H215</f>
        <v>0</v>
      </c>
      <c r="O215" s="2">
        <f t="shared" ref="O215:O223" si="238">INDEX(AlocTable,MATCH($B215,AlocList),9)*$H215</f>
        <v>0</v>
      </c>
      <c r="P215" s="2">
        <f t="shared" ref="P215:P223" si="239">INDEX(AlocTable,MATCH($B215,AlocList),10)*$H215</f>
        <v>0</v>
      </c>
      <c r="Q215" s="2">
        <f t="shared" ref="Q215:Q223" si="240">INDEX(AlocTable,MATCH($B215,AlocList),11)*$H215</f>
        <v>0</v>
      </c>
      <c r="R215" s="2">
        <f t="shared" ref="R215:R223" si="241">INDEX(AlocTable,MATCH($B215,AlocList),12)*$H215</f>
        <v>0</v>
      </c>
      <c r="S215" s="2">
        <f t="shared" ref="S215:S223" si="242">INDEX(AlocTable,MATCH($B215,AlocList),13)*$H215</f>
        <v>0</v>
      </c>
      <c r="T215" s="158">
        <f t="shared" ref="T215:T223" si="243">SUM(I215:S215)-H215</f>
        <v>0</v>
      </c>
    </row>
    <row r="216" spans="1:20" x14ac:dyDescent="0.2">
      <c r="A216" s="12">
        <f>+A215+1</f>
        <v>150</v>
      </c>
      <c r="B216" s="23">
        <v>1.9</v>
      </c>
      <c r="C216" s="12">
        <v>483</v>
      </c>
      <c r="E216" s="11" t="s">
        <v>314</v>
      </c>
      <c r="H216" s="2">
        <f>'FUN-2 (Test Year)'!I228</f>
        <v>19206044.539999999</v>
      </c>
      <c r="I216" s="2">
        <f t="shared" si="232"/>
        <v>0</v>
      </c>
      <c r="J216" s="2">
        <f t="shared" si="233"/>
        <v>0</v>
      </c>
      <c r="K216" s="2">
        <f t="shared" si="234"/>
        <v>0</v>
      </c>
      <c r="L216" s="2">
        <f t="shared" si="235"/>
        <v>0</v>
      </c>
      <c r="M216" s="2">
        <f t="shared" si="236"/>
        <v>0</v>
      </c>
      <c r="N216" s="2">
        <f t="shared" si="237"/>
        <v>0</v>
      </c>
      <c r="O216" s="2">
        <f t="shared" si="238"/>
        <v>0</v>
      </c>
      <c r="P216" s="2">
        <f t="shared" si="239"/>
        <v>0</v>
      </c>
      <c r="Q216" s="2">
        <f t="shared" si="240"/>
        <v>0</v>
      </c>
      <c r="R216" s="2">
        <f t="shared" si="241"/>
        <v>0</v>
      </c>
      <c r="S216" s="2">
        <f t="shared" si="242"/>
        <v>19206044.539999999</v>
      </c>
      <c r="T216" s="158">
        <f t="shared" si="243"/>
        <v>0</v>
      </c>
    </row>
    <row r="217" spans="1:20" x14ac:dyDescent="0.2">
      <c r="A217" s="12">
        <f t="shared" ref="A217:A224" si="244">+A216+1</f>
        <v>151</v>
      </c>
      <c r="B217" s="23">
        <v>1.9</v>
      </c>
      <c r="C217" s="12">
        <v>484</v>
      </c>
      <c r="E217" s="11" t="s">
        <v>315</v>
      </c>
      <c r="H217" s="2">
        <f>'FUN-2 (Test Year)'!I229</f>
        <v>0</v>
      </c>
      <c r="I217" s="2">
        <f t="shared" si="232"/>
        <v>0</v>
      </c>
      <c r="J217" s="2">
        <f t="shared" si="233"/>
        <v>0</v>
      </c>
      <c r="K217" s="2">
        <f t="shared" si="234"/>
        <v>0</v>
      </c>
      <c r="L217" s="2">
        <f t="shared" si="235"/>
        <v>0</v>
      </c>
      <c r="M217" s="2">
        <f t="shared" si="236"/>
        <v>0</v>
      </c>
      <c r="N217" s="2">
        <f t="shared" si="237"/>
        <v>0</v>
      </c>
      <c r="O217" s="2">
        <f t="shared" si="238"/>
        <v>0</v>
      </c>
      <c r="P217" s="2">
        <f t="shared" si="239"/>
        <v>0</v>
      </c>
      <c r="Q217" s="2">
        <f t="shared" si="240"/>
        <v>0</v>
      </c>
      <c r="R217" s="2">
        <f t="shared" si="241"/>
        <v>0</v>
      </c>
      <c r="S217" s="2">
        <f t="shared" si="242"/>
        <v>0</v>
      </c>
      <c r="T217" s="158">
        <f t="shared" si="243"/>
        <v>0</v>
      </c>
    </row>
    <row r="218" spans="1:20" x14ac:dyDescent="0.2">
      <c r="A218" s="12">
        <f t="shared" si="244"/>
        <v>152</v>
      </c>
      <c r="B218" s="23">
        <v>1.7</v>
      </c>
      <c r="C218" s="12">
        <v>487011</v>
      </c>
      <c r="E218" s="11" t="s">
        <v>316</v>
      </c>
      <c r="H218" s="2">
        <f>'FUN-2 (Test Year)'!I230</f>
        <v>0</v>
      </c>
      <c r="I218" s="2">
        <f t="shared" si="232"/>
        <v>0</v>
      </c>
      <c r="J218" s="2">
        <f t="shared" si="233"/>
        <v>0</v>
      </c>
      <c r="K218" s="2">
        <f t="shared" si="234"/>
        <v>0</v>
      </c>
      <c r="L218" s="2">
        <f t="shared" si="235"/>
        <v>0</v>
      </c>
      <c r="M218" s="2">
        <f t="shared" si="236"/>
        <v>0</v>
      </c>
      <c r="N218" s="2">
        <f t="shared" si="237"/>
        <v>0</v>
      </c>
      <c r="O218" s="2">
        <f t="shared" si="238"/>
        <v>0</v>
      </c>
      <c r="P218" s="2">
        <f t="shared" si="239"/>
        <v>0</v>
      </c>
      <c r="Q218" s="2">
        <f t="shared" si="240"/>
        <v>0</v>
      </c>
      <c r="R218" s="2">
        <f t="shared" si="241"/>
        <v>0</v>
      </c>
      <c r="S218" s="2">
        <f t="shared" si="242"/>
        <v>0</v>
      </c>
      <c r="T218" s="158">
        <f t="shared" si="243"/>
        <v>0</v>
      </c>
    </row>
    <row r="219" spans="1:20" x14ac:dyDescent="0.2">
      <c r="A219" s="12">
        <f t="shared" si="244"/>
        <v>153</v>
      </c>
      <c r="B219" s="23">
        <v>1.7</v>
      </c>
      <c r="C219" s="12">
        <v>488</v>
      </c>
      <c r="E219" s="11" t="s">
        <v>317</v>
      </c>
      <c r="H219" s="2">
        <f>'FUN-2 (Test Year)'!I231</f>
        <v>74126.98000000001</v>
      </c>
      <c r="I219" s="2">
        <f t="shared" si="232"/>
        <v>0</v>
      </c>
      <c r="J219" s="2">
        <f t="shared" si="233"/>
        <v>0</v>
      </c>
      <c r="K219" s="2">
        <f t="shared" si="234"/>
        <v>0</v>
      </c>
      <c r="L219" s="2">
        <f t="shared" si="235"/>
        <v>0</v>
      </c>
      <c r="M219" s="2">
        <f t="shared" si="236"/>
        <v>0</v>
      </c>
      <c r="N219" s="2">
        <f t="shared" si="237"/>
        <v>0</v>
      </c>
      <c r="O219" s="2">
        <f t="shared" si="238"/>
        <v>0</v>
      </c>
      <c r="P219" s="2">
        <f t="shared" si="239"/>
        <v>74126.98000000001</v>
      </c>
      <c r="Q219" s="2">
        <f t="shared" si="240"/>
        <v>0</v>
      </c>
      <c r="R219" s="2">
        <f t="shared" si="241"/>
        <v>0</v>
      </c>
      <c r="S219" s="2">
        <f t="shared" si="242"/>
        <v>0</v>
      </c>
      <c r="T219" s="158">
        <f t="shared" si="243"/>
        <v>0</v>
      </c>
    </row>
    <row r="220" spans="1:20" x14ac:dyDescent="0.2">
      <c r="A220" s="12">
        <f t="shared" si="244"/>
        <v>154</v>
      </c>
      <c r="B220" s="23">
        <v>1.8</v>
      </c>
      <c r="C220" s="12">
        <v>489</v>
      </c>
      <c r="E220" s="11" t="s">
        <v>318</v>
      </c>
      <c r="H220" s="2">
        <f>'FUN-2 (Test Year)'!I232</f>
        <v>49210.840000000317</v>
      </c>
      <c r="I220" s="2">
        <f t="shared" si="232"/>
        <v>0</v>
      </c>
      <c r="J220" s="2">
        <f t="shared" si="233"/>
        <v>0</v>
      </c>
      <c r="K220" s="2">
        <f t="shared" si="234"/>
        <v>0</v>
      </c>
      <c r="L220" s="2">
        <f t="shared" si="235"/>
        <v>0</v>
      </c>
      <c r="M220" s="2">
        <f t="shared" si="236"/>
        <v>0</v>
      </c>
      <c r="N220" s="2">
        <f t="shared" si="237"/>
        <v>0</v>
      </c>
      <c r="O220" s="2">
        <f t="shared" si="238"/>
        <v>0</v>
      </c>
      <c r="P220" s="2">
        <f t="shared" si="239"/>
        <v>0</v>
      </c>
      <c r="Q220" s="2">
        <f t="shared" si="240"/>
        <v>24353.522824274565</v>
      </c>
      <c r="R220" s="2">
        <f t="shared" si="241"/>
        <v>24857.317175725755</v>
      </c>
      <c r="S220" s="2">
        <f t="shared" si="242"/>
        <v>0</v>
      </c>
      <c r="T220" s="158">
        <f t="shared" si="243"/>
        <v>0</v>
      </c>
    </row>
    <row r="221" spans="1:20" x14ac:dyDescent="0.2">
      <c r="A221" s="12">
        <f t="shared" si="244"/>
        <v>155</v>
      </c>
      <c r="B221" s="23">
        <v>47</v>
      </c>
      <c r="C221" s="12">
        <v>493001</v>
      </c>
      <c r="E221" s="11" t="s">
        <v>319</v>
      </c>
      <c r="H221" s="2">
        <f>'FUN-2 (Test Year)'!I233</f>
        <v>0</v>
      </c>
      <c r="I221" s="2">
        <f t="shared" si="232"/>
        <v>0</v>
      </c>
      <c r="J221" s="2">
        <f t="shared" si="233"/>
        <v>0</v>
      </c>
      <c r="K221" s="2">
        <f t="shared" si="234"/>
        <v>0</v>
      </c>
      <c r="L221" s="2">
        <f t="shared" si="235"/>
        <v>0</v>
      </c>
      <c r="M221" s="2">
        <f t="shared" si="236"/>
        <v>0</v>
      </c>
      <c r="N221" s="2">
        <f t="shared" si="237"/>
        <v>0</v>
      </c>
      <c r="O221" s="2">
        <f t="shared" si="238"/>
        <v>0</v>
      </c>
      <c r="P221" s="2">
        <f t="shared" si="239"/>
        <v>0</v>
      </c>
      <c r="Q221" s="2">
        <f t="shared" si="240"/>
        <v>0</v>
      </c>
      <c r="R221" s="2">
        <f t="shared" si="241"/>
        <v>0</v>
      </c>
      <c r="S221" s="2">
        <f t="shared" si="242"/>
        <v>0</v>
      </c>
      <c r="T221" s="158">
        <f t="shared" si="243"/>
        <v>0</v>
      </c>
    </row>
    <row r="222" spans="1:20" x14ac:dyDescent="0.2">
      <c r="A222" s="12">
        <f t="shared" si="244"/>
        <v>156</v>
      </c>
      <c r="B222" s="23">
        <v>39</v>
      </c>
      <c r="C222" s="12">
        <v>495051</v>
      </c>
      <c r="E222" s="11" t="s">
        <v>320</v>
      </c>
      <c r="H222" s="2">
        <f>'FUN-2 (Test Year)'!I234</f>
        <v>0</v>
      </c>
      <c r="I222" s="2">
        <f t="shared" si="232"/>
        <v>0</v>
      </c>
      <c r="J222" s="2">
        <f t="shared" si="233"/>
        <v>0</v>
      </c>
      <c r="K222" s="2">
        <f t="shared" si="234"/>
        <v>0</v>
      </c>
      <c r="L222" s="2">
        <f t="shared" si="235"/>
        <v>0</v>
      </c>
      <c r="M222" s="2">
        <f t="shared" si="236"/>
        <v>0</v>
      </c>
      <c r="N222" s="2">
        <f t="shared" si="237"/>
        <v>0</v>
      </c>
      <c r="O222" s="2">
        <f t="shared" si="238"/>
        <v>0</v>
      </c>
      <c r="P222" s="2">
        <f t="shared" si="239"/>
        <v>0</v>
      </c>
      <c r="Q222" s="2">
        <f t="shared" si="240"/>
        <v>0</v>
      </c>
      <c r="R222" s="2">
        <f t="shared" si="241"/>
        <v>0</v>
      </c>
      <c r="S222" s="2">
        <f t="shared" si="242"/>
        <v>0</v>
      </c>
      <c r="T222" s="158">
        <f t="shared" si="243"/>
        <v>0</v>
      </c>
    </row>
    <row r="223" spans="1:20" x14ac:dyDescent="0.2">
      <c r="A223" s="111">
        <f t="shared" si="244"/>
        <v>157</v>
      </c>
      <c r="B223" s="28">
        <v>39</v>
      </c>
      <c r="C223" s="111">
        <v>495061</v>
      </c>
      <c r="D223" s="24"/>
      <c r="E223" s="24" t="s">
        <v>321</v>
      </c>
      <c r="F223" s="24"/>
      <c r="G223" s="24"/>
      <c r="H223" s="36">
        <f>'FUN-2 (Test Year)'!I235</f>
        <v>840</v>
      </c>
      <c r="I223" s="36">
        <f t="shared" si="232"/>
        <v>21.183031879661225</v>
      </c>
      <c r="J223" s="36">
        <f t="shared" si="233"/>
        <v>118.42444631151341</v>
      </c>
      <c r="K223" s="36">
        <f t="shared" si="234"/>
        <v>283.04559892442819</v>
      </c>
      <c r="L223" s="36">
        <f t="shared" si="235"/>
        <v>266.35359164284631</v>
      </c>
      <c r="M223" s="36">
        <f t="shared" si="236"/>
        <v>104.20151127912401</v>
      </c>
      <c r="N223" s="36">
        <f t="shared" si="237"/>
        <v>16.087454400070001</v>
      </c>
      <c r="O223" s="36">
        <f t="shared" si="238"/>
        <v>0.97414855736629824</v>
      </c>
      <c r="P223" s="36">
        <f t="shared" si="239"/>
        <v>27.001346048175538</v>
      </c>
      <c r="Q223" s="36">
        <f t="shared" si="240"/>
        <v>0.68512117996926958</v>
      </c>
      <c r="R223" s="36">
        <f t="shared" si="241"/>
        <v>0.69929408559030171</v>
      </c>
      <c r="S223" s="36">
        <f t="shared" si="242"/>
        <v>1.3444556912555483</v>
      </c>
      <c r="T223" s="161">
        <f t="shared" si="243"/>
        <v>0</v>
      </c>
    </row>
    <row r="224" spans="1:20" x14ac:dyDescent="0.2">
      <c r="A224" s="12">
        <f t="shared" si="244"/>
        <v>158</v>
      </c>
      <c r="C224" s="12"/>
      <c r="D224" s="11" t="s">
        <v>322</v>
      </c>
      <c r="H224" s="74">
        <f t="shared" ref="H224:S224" si="245">SUM(H215:H223)</f>
        <v>19330222.359999999</v>
      </c>
      <c r="I224" s="2">
        <f t="shared" si="245"/>
        <v>21.183031879661225</v>
      </c>
      <c r="J224" s="2">
        <f t="shared" si="245"/>
        <v>118.42444631151341</v>
      </c>
      <c r="K224" s="2">
        <f t="shared" si="245"/>
        <v>283.04559892442819</v>
      </c>
      <c r="L224" s="2">
        <f t="shared" si="245"/>
        <v>266.35359164284631</v>
      </c>
      <c r="M224" s="2">
        <f t="shared" si="245"/>
        <v>104.20151127912401</v>
      </c>
      <c r="N224" s="2">
        <f t="shared" si="245"/>
        <v>16.087454400070001</v>
      </c>
      <c r="O224" s="2">
        <f t="shared" si="245"/>
        <v>0.97414855736629824</v>
      </c>
      <c r="P224" s="2">
        <f t="shared" si="245"/>
        <v>74153.981346048182</v>
      </c>
      <c r="Q224" s="2">
        <f t="shared" si="245"/>
        <v>24354.207945454535</v>
      </c>
      <c r="R224" s="2">
        <f t="shared" si="245"/>
        <v>24858.016469811344</v>
      </c>
      <c r="S224" s="2">
        <f t="shared" si="245"/>
        <v>19206045.884455692</v>
      </c>
      <c r="T224" s="158">
        <f>SUM(I224:S224)-H224</f>
        <v>0</v>
      </c>
    </row>
    <row r="225" spans="1:20" x14ac:dyDescent="0.2">
      <c r="A225" s="12"/>
      <c r="C225" s="12"/>
      <c r="H225" s="74"/>
      <c r="I225" s="74"/>
      <c r="T225" s="158"/>
    </row>
    <row r="226" spans="1:20" x14ac:dyDescent="0.2">
      <c r="A226" s="12">
        <f>+A224+1</f>
        <v>159</v>
      </c>
      <c r="B226" s="17"/>
      <c r="C226" s="8"/>
      <c r="D226" s="16" t="s">
        <v>39</v>
      </c>
      <c r="E226" s="16"/>
      <c r="F226" s="16"/>
      <c r="H226" s="15">
        <f>H212+H224</f>
        <v>49373225.030000001</v>
      </c>
      <c r="I226" s="15">
        <f>I212+I224</f>
        <v>955508.4686087874</v>
      </c>
      <c r="J226" s="15">
        <f t="shared" ref="J226:P226" si="246">J212+J224</f>
        <v>3399158.2422374371</v>
      </c>
      <c r="K226" s="15">
        <f t="shared" si="246"/>
        <v>8124308.8777647391</v>
      </c>
      <c r="L226" s="15">
        <f t="shared" si="246"/>
        <v>8532924.48286945</v>
      </c>
      <c r="M226" s="15">
        <f t="shared" si="246"/>
        <v>3357994.6832100614</v>
      </c>
      <c r="N226" s="15">
        <f t="shared" si="246"/>
        <v>416008.96835822513</v>
      </c>
      <c r="O226" s="15">
        <f t="shared" si="246"/>
        <v>21996.974610936719</v>
      </c>
      <c r="P226" s="15">
        <f t="shared" si="246"/>
        <v>4922694.5822542077</v>
      </c>
      <c r="Q226" s="15">
        <f t="shared" ref="Q226:R226" si="247">Q212+Q224</f>
        <v>108685.50646150867</v>
      </c>
      <c r="R226" s="15">
        <f t="shared" si="247"/>
        <v>110933.85240451709</v>
      </c>
      <c r="S226" s="15">
        <f>S212+S224</f>
        <v>19423010.110248577</v>
      </c>
      <c r="T226" s="158">
        <f>SUM(I226:S226)-H226</f>
        <v>-0.28097155690193176</v>
      </c>
    </row>
    <row r="227" spans="1:20" x14ac:dyDescent="0.2">
      <c r="A227" s="12"/>
      <c r="H227" s="158"/>
      <c r="S227" s="158"/>
      <c r="T227" s="158"/>
    </row>
    <row r="228" spans="1:20" x14ac:dyDescent="0.2">
      <c r="A228" s="12"/>
      <c r="D228" s="11" t="s">
        <v>57</v>
      </c>
      <c r="H228" s="2"/>
      <c r="T228" s="158"/>
    </row>
    <row r="229" spans="1:20" x14ac:dyDescent="0.2">
      <c r="A229" s="12">
        <f>+A226+1</f>
        <v>160</v>
      </c>
      <c r="E229" s="11" t="s">
        <v>42</v>
      </c>
      <c r="H229" s="2">
        <f>'FUN-3 (Functional COS)'!H188</f>
        <v>32827854.489999983</v>
      </c>
      <c r="I229" s="2">
        <f>'FUN-3 (Functional COS)'!I188</f>
        <v>493125.90051269165</v>
      </c>
      <c r="J229" s="2">
        <f>'FUN-3 (Functional COS)'!J188</f>
        <v>1110714.2995003008</v>
      </c>
      <c r="K229" s="2">
        <f>'FUN-3 (Functional COS)'!K188</f>
        <v>2654711.9613209846</v>
      </c>
      <c r="L229" s="2">
        <f>'FUN-3 (Functional COS)'!L188</f>
        <v>3338999.5993526713</v>
      </c>
      <c r="M229" s="2">
        <f>'FUN-3 (Functional COS)'!M188</f>
        <v>1283961.9471248083</v>
      </c>
      <c r="N229" s="2">
        <f>'FUN-3 (Functional COS)'!N188</f>
        <v>102819.10850066064</v>
      </c>
      <c r="O229" s="2">
        <f>'FUN-3 (Functional COS)'!O188</f>
        <v>3396.0690385788125</v>
      </c>
      <c r="P229" s="2">
        <f>'FUN-3 (Functional COS)'!P188</f>
        <v>4235686.7192257009</v>
      </c>
      <c r="Q229" s="2">
        <f>'FUN-3 (Functional COS)'!Q188</f>
        <v>93048.075400990492</v>
      </c>
      <c r="R229" s="2">
        <f>'FUN-3 (Functional COS)'!R188</f>
        <v>94972.934286445001</v>
      </c>
      <c r="S229" s="2">
        <f>'FUN-3 (Functional COS)'!S188</f>
        <v>19416417.875736155</v>
      </c>
      <c r="T229" s="158">
        <f t="shared" ref="T229:T231" si="248">SUM(I229:S229)-H229</f>
        <v>0</v>
      </c>
    </row>
    <row r="230" spans="1:20" x14ac:dyDescent="0.2">
      <c r="A230" s="111">
        <f>+A229+1</f>
        <v>161</v>
      </c>
      <c r="B230" s="28"/>
      <c r="C230" s="24"/>
      <c r="D230" s="24"/>
      <c r="E230" s="24" t="s">
        <v>46</v>
      </c>
      <c r="F230" s="24"/>
      <c r="G230" s="24"/>
      <c r="H230" s="36">
        <f>'FUN-3 (Functional COS)'!H208</f>
        <v>9866607.9036159776</v>
      </c>
      <c r="I230" s="36">
        <f>'FUN-3 (Functional COS)'!I208</f>
        <v>274086.00707948435</v>
      </c>
      <c r="J230" s="36">
        <f>'FUN-3 (Functional COS)'!J208</f>
        <v>1337589.8293375061</v>
      </c>
      <c r="K230" s="36">
        <f>'FUN-3 (Functional COS)'!K208</f>
        <v>3196965.8812181442</v>
      </c>
      <c r="L230" s="36">
        <f>'FUN-3 (Functional COS)'!L208</f>
        <v>3063551.4875872969</v>
      </c>
      <c r="M230" s="36">
        <f>'FUN-3 (Functional COS)'!M208</f>
        <v>1225510.5557861864</v>
      </c>
      <c r="N230" s="36">
        <f>'FUN-3 (Functional COS)'!N208</f>
        <v>181378.35944826045</v>
      </c>
      <c r="O230" s="36">
        <f>'FUN-3 (Functional COS)'!O208</f>
        <v>10588.339331405554</v>
      </c>
      <c r="P230" s="36">
        <f>'FUN-3 (Functional COS)'!P208</f>
        <v>513722.87058012444</v>
      </c>
      <c r="Q230" s="36">
        <f>'FUN-3 (Functional COS)'!Q208</f>
        <v>10589.028482125885</v>
      </c>
      <c r="R230" s="36">
        <f>'FUN-3 (Functional COS)'!R208</f>
        <v>10808.080681478887</v>
      </c>
      <c r="S230" s="36">
        <f>'FUN-3 (Functional COS)'!S208</f>
        <v>41817.464083964827</v>
      </c>
      <c r="T230" s="161">
        <f t="shared" si="248"/>
        <v>0</v>
      </c>
    </row>
    <row r="231" spans="1:20" x14ac:dyDescent="0.2">
      <c r="A231" s="12">
        <f>+A230+1</f>
        <v>162</v>
      </c>
      <c r="D231" s="11" t="s">
        <v>57</v>
      </c>
      <c r="H231" s="74">
        <f t="shared" ref="H231:S231" si="249">SUM(H229:H230)</f>
        <v>42694462.393615961</v>
      </c>
      <c r="I231" s="2">
        <f t="shared" si="249"/>
        <v>767211.90759217599</v>
      </c>
      <c r="J231" s="2">
        <f t="shared" si="249"/>
        <v>2448304.1288378071</v>
      </c>
      <c r="K231" s="2">
        <f t="shared" si="249"/>
        <v>5851677.8425391288</v>
      </c>
      <c r="L231" s="2">
        <f t="shared" si="249"/>
        <v>6402551.0869399682</v>
      </c>
      <c r="M231" s="2">
        <f t="shared" si="249"/>
        <v>2509472.5029109949</v>
      </c>
      <c r="N231" s="2">
        <f t="shared" si="249"/>
        <v>284197.46794892108</v>
      </c>
      <c r="O231" s="2">
        <f t="shared" si="249"/>
        <v>13984.408369984367</v>
      </c>
      <c r="P231" s="2">
        <f t="shared" si="249"/>
        <v>4749409.5898058256</v>
      </c>
      <c r="Q231" s="2">
        <f t="shared" ref="Q231:R231" si="250">SUM(Q229:Q230)</f>
        <v>103637.10388311638</v>
      </c>
      <c r="R231" s="2">
        <f t="shared" si="250"/>
        <v>105781.01496792388</v>
      </c>
      <c r="S231" s="2">
        <f t="shared" si="249"/>
        <v>19458235.33982012</v>
      </c>
      <c r="T231" s="158">
        <f t="shared" si="248"/>
        <v>0</v>
      </c>
    </row>
    <row r="232" spans="1:20" x14ac:dyDescent="0.2">
      <c r="A232" s="12"/>
      <c r="H232" s="158"/>
      <c r="T232" s="158"/>
    </row>
    <row r="233" spans="1:20" x14ac:dyDescent="0.2">
      <c r="A233" s="12">
        <f>+A231+1</f>
        <v>163</v>
      </c>
      <c r="D233" s="11" t="s">
        <v>324</v>
      </c>
      <c r="H233" s="74">
        <f t="shared" ref="H233:S233" si="251">H226-H231</f>
        <v>6678762.6363840401</v>
      </c>
      <c r="I233" s="2">
        <f>I226-I231</f>
        <v>188296.56101661141</v>
      </c>
      <c r="J233" s="2">
        <f t="shared" si="251"/>
        <v>950854.11339962995</v>
      </c>
      <c r="K233" s="2">
        <f t="shared" si="251"/>
        <v>2272631.0352256102</v>
      </c>
      <c r="L233" s="2">
        <f t="shared" si="251"/>
        <v>2130373.3959294818</v>
      </c>
      <c r="M233" s="2">
        <f t="shared" si="251"/>
        <v>848522.18029906647</v>
      </c>
      <c r="N233" s="2">
        <f t="shared" si="251"/>
        <v>131811.50040930405</v>
      </c>
      <c r="O233" s="2">
        <f t="shared" si="251"/>
        <v>8012.566240952352</v>
      </c>
      <c r="P233" s="2">
        <f t="shared" si="251"/>
        <v>173284.99244838208</v>
      </c>
      <c r="Q233" s="2">
        <f t="shared" ref="Q233:R233" si="252">Q226-Q231</f>
        <v>5048.4025783922989</v>
      </c>
      <c r="R233" s="2">
        <f t="shared" si="252"/>
        <v>5152.8374365932104</v>
      </c>
      <c r="S233" s="2">
        <f t="shared" si="251"/>
        <v>-35225.229571543634</v>
      </c>
      <c r="T233" s="158">
        <f>SUM(I233:S233)-H233</f>
        <v>-0.28097156062722206</v>
      </c>
    </row>
    <row r="234" spans="1:20" x14ac:dyDescent="0.2">
      <c r="A234" s="12"/>
      <c r="H234" s="7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58"/>
    </row>
    <row r="235" spans="1:20" x14ac:dyDescent="0.2">
      <c r="A235" s="12"/>
      <c r="D235" s="11" t="s">
        <v>325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58"/>
    </row>
    <row r="236" spans="1:20" x14ac:dyDescent="0.2">
      <c r="A236" s="12">
        <f>+A233+1</f>
        <v>164</v>
      </c>
      <c r="B236" s="23">
        <v>47</v>
      </c>
      <c r="C236" s="12">
        <v>427</v>
      </c>
      <c r="E236" s="11" t="s">
        <v>326</v>
      </c>
      <c r="H236" s="2">
        <f>'FUN-2 (Test Year)'!I248</f>
        <v>-2811787.78</v>
      </c>
      <c r="I236" s="2">
        <f>INDEX(AlocTable,MATCH($B236,AlocList),3)*$H236</f>
        <v>-53766.646074918564</v>
      </c>
      <c r="J236" s="2">
        <f>INDEX(AlocTable,MATCH($B236,AlocList),4)*$H236</f>
        <v>-399718.51410423906</v>
      </c>
      <c r="K236" s="2">
        <f>INDEX(AlocTable,MATCH($B236,AlocList),5)*$H236</f>
        <v>-955364.95841583132</v>
      </c>
      <c r="L236" s="2">
        <f>INDEX(AlocTable,MATCH($B236,AlocList),6)*$H236</f>
        <v>-898056.94911159936</v>
      </c>
      <c r="M236" s="2">
        <f>INDEX(AlocTable,MATCH($B236,AlocList),7)*$H236</f>
        <v>-351406.32318563137</v>
      </c>
      <c r="N236" s="2">
        <f>INDEX(AlocTable,MATCH($B236,AlocList),8)*$H236</f>
        <v>-54360.047666191807</v>
      </c>
      <c r="O236" s="2">
        <f>INDEX(AlocTable,MATCH($B236,AlocList),9)*$H236</f>
        <v>-3294.5886271534996</v>
      </c>
      <c r="P236" s="2">
        <f>INDEX(AlocTable,MATCH($B236,AlocList),10)*$H236</f>
        <v>-87024.669330832563</v>
      </c>
      <c r="Q236" s="2">
        <f>INDEX(AlocTable,MATCH($B236,AlocList),11)*$H236</f>
        <v>-2208.1285885525012</v>
      </c>
      <c r="R236" s="2">
        <f>INDEX(AlocTable,MATCH($B236,AlocList),12)*$H236</f>
        <v>-2253.8075122227065</v>
      </c>
      <c r="S236" s="2">
        <f>INDEX(AlocTable,MATCH($B236,AlocList),13)*$H236</f>
        <v>-4333.1473828274438</v>
      </c>
      <c r="T236" s="158">
        <f t="shared" ref="T236:T238" si="253">SUM(I236:S236)-H236</f>
        <v>0</v>
      </c>
    </row>
    <row r="237" spans="1:20" x14ac:dyDescent="0.2">
      <c r="A237" s="111">
        <f>+A236+1</f>
        <v>165</v>
      </c>
      <c r="B237" s="28">
        <v>47</v>
      </c>
      <c r="C237" s="24"/>
      <c r="D237" s="24"/>
      <c r="E237" s="24" t="s">
        <v>370</v>
      </c>
      <c r="F237" s="24"/>
      <c r="G237" s="24"/>
      <c r="H237" s="89">
        <f>'FUN-2 (Test Year)'!I249</f>
        <v>-54189.470000000008</v>
      </c>
      <c r="I237" s="36">
        <f>INDEX(AlocTable,MATCH($B237,AlocList),3)*$H237</f>
        <v>-1036.2041101399971</v>
      </c>
      <c r="J237" s="36">
        <f>INDEX(AlocTable,MATCH($B237,AlocList),4)*$H237</f>
        <v>-7703.4741322107338</v>
      </c>
      <c r="K237" s="36">
        <f>INDEX(AlocTable,MATCH($B237,AlocList),5)*$H237</f>
        <v>-18412.029926784144</v>
      </c>
      <c r="L237" s="36">
        <f>INDEX(AlocTable,MATCH($B237,AlocList),6)*$H237</f>
        <v>-17307.575788018596</v>
      </c>
      <c r="M237" s="36">
        <f>INDEX(AlocTable,MATCH($B237,AlocList),7)*$H237</f>
        <v>-6772.38963179436</v>
      </c>
      <c r="N237" s="36">
        <f>INDEX(AlocTable,MATCH($B237,AlocList),8)*$H237</f>
        <v>-1047.6402924710312</v>
      </c>
      <c r="O237" s="36">
        <f>INDEX(AlocTable,MATCH($B237,AlocList),9)*$H237</f>
        <v>-63.49412741721062</v>
      </c>
      <c r="P237" s="36">
        <f>INDEX(AlocTable,MATCH($B237,AlocList),10)*$H237</f>
        <v>-1677.1609655274453</v>
      </c>
      <c r="Q237" s="36">
        <f>INDEX(AlocTable,MATCH($B237,AlocList),11)*$H237</f>
        <v>-42.555600659701334</v>
      </c>
      <c r="R237" s="36">
        <f>INDEX(AlocTable,MATCH($B237,AlocList),12)*$H237</f>
        <v>-43.435936181985618</v>
      </c>
      <c r="S237" s="36">
        <f>INDEX(AlocTable,MATCH($B237,AlocList),13)*$H237</f>
        <v>-83.509488794814501</v>
      </c>
      <c r="T237" s="161">
        <f t="shared" si="253"/>
        <v>0</v>
      </c>
    </row>
    <row r="238" spans="1:20" x14ac:dyDescent="0.2">
      <c r="A238" s="12">
        <f>+A237+1</f>
        <v>166</v>
      </c>
      <c r="D238" s="11" t="s">
        <v>328</v>
      </c>
      <c r="H238" s="74">
        <f t="shared" ref="H238:S238" si="254">SUM(H236:H237)</f>
        <v>-2865977.25</v>
      </c>
      <c r="I238" s="2">
        <f t="shared" si="254"/>
        <v>-54802.85018505856</v>
      </c>
      <c r="J238" s="2">
        <f t="shared" si="254"/>
        <v>-407421.98823644978</v>
      </c>
      <c r="K238" s="2">
        <f t="shared" si="254"/>
        <v>-973776.98834261543</v>
      </c>
      <c r="L238" s="2">
        <f t="shared" si="254"/>
        <v>-915364.524899618</v>
      </c>
      <c r="M238" s="2">
        <f t="shared" si="254"/>
        <v>-358178.71281742572</v>
      </c>
      <c r="N238" s="2">
        <f t="shared" si="254"/>
        <v>-55407.687958662842</v>
      </c>
      <c r="O238" s="2">
        <f t="shared" si="254"/>
        <v>-3358.0827545707102</v>
      </c>
      <c r="P238" s="2">
        <f t="shared" si="254"/>
        <v>-88701.830296360014</v>
      </c>
      <c r="Q238" s="2">
        <f t="shared" ref="Q238:R238" si="255">SUM(Q236:Q237)</f>
        <v>-2250.6841892122025</v>
      </c>
      <c r="R238" s="2">
        <f t="shared" si="255"/>
        <v>-2297.2434484046921</v>
      </c>
      <c r="S238" s="2">
        <f t="shared" si="254"/>
        <v>-4416.6568716222582</v>
      </c>
      <c r="T238" s="158">
        <f t="shared" si="253"/>
        <v>0</v>
      </c>
    </row>
    <row r="239" spans="1:20" x14ac:dyDescent="0.2">
      <c r="A239" s="1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58"/>
    </row>
    <row r="240" spans="1:20" x14ac:dyDescent="0.2">
      <c r="A240" s="12">
        <f>+A238+1</f>
        <v>167</v>
      </c>
      <c r="B240" s="17"/>
      <c r="D240" s="16" t="s">
        <v>371</v>
      </c>
      <c r="E240" s="16"/>
      <c r="H240" s="15">
        <f t="shared" ref="H240:S240" si="256">H233+H238</f>
        <v>3812785.3863840401</v>
      </c>
      <c r="I240" s="15">
        <f>I233+I238</f>
        <v>133493.71083155286</v>
      </c>
      <c r="J240" s="15">
        <f t="shared" si="256"/>
        <v>543432.12516318017</v>
      </c>
      <c r="K240" s="15">
        <f t="shared" si="256"/>
        <v>1298854.0468829949</v>
      </c>
      <c r="L240" s="15">
        <f t="shared" si="256"/>
        <v>1215008.8710298638</v>
      </c>
      <c r="M240" s="15">
        <f t="shared" si="256"/>
        <v>490343.46748164075</v>
      </c>
      <c r="N240" s="15">
        <f t="shared" si="256"/>
        <v>76403.812450641213</v>
      </c>
      <c r="O240" s="15">
        <f t="shared" si="256"/>
        <v>4654.4834863816413</v>
      </c>
      <c r="P240" s="15">
        <f t="shared" si="256"/>
        <v>84583.162152022065</v>
      </c>
      <c r="Q240" s="15">
        <f t="shared" ref="Q240:R240" si="257">Q233+Q238</f>
        <v>2797.7183891800964</v>
      </c>
      <c r="R240" s="15">
        <f t="shared" si="257"/>
        <v>2855.5939881885183</v>
      </c>
      <c r="S240" s="15">
        <f t="shared" si="256"/>
        <v>-39641.886443165895</v>
      </c>
      <c r="T240" s="158">
        <f>SUM(I240:S240)-H240</f>
        <v>-0.28097155969589949</v>
      </c>
    </row>
    <row r="241" spans="1:32" x14ac:dyDescent="0.2">
      <c r="A241" s="12"/>
      <c r="H241" s="158"/>
      <c r="T241" s="158"/>
    </row>
    <row r="242" spans="1:32" x14ac:dyDescent="0.2">
      <c r="A242" s="12"/>
      <c r="D242" s="11" t="s">
        <v>44</v>
      </c>
      <c r="H242" s="158"/>
      <c r="T242" s="158"/>
    </row>
    <row r="243" spans="1:32" x14ac:dyDescent="0.2">
      <c r="A243" s="12"/>
      <c r="E243" s="11" t="s">
        <v>331</v>
      </c>
      <c r="H243" s="158"/>
      <c r="T243" s="158"/>
    </row>
    <row r="244" spans="1:32" x14ac:dyDescent="0.2">
      <c r="A244" s="12">
        <f>+A240+1</f>
        <v>168</v>
      </c>
      <c r="B244" s="23">
        <v>47</v>
      </c>
      <c r="C244" s="12">
        <v>409111</v>
      </c>
      <c r="E244" s="62" t="s">
        <v>332</v>
      </c>
      <c r="H244" s="74">
        <f>'FUN-2 (Test Year)'!I258</f>
        <v>800685.15310818295</v>
      </c>
      <c r="I244" s="2">
        <f>I240*I255</f>
        <v>28033.679274626098</v>
      </c>
      <c r="J244" s="2">
        <f t="shared" ref="J244:S244" si="258">J240*J255</f>
        <v>114120.74628426784</v>
      </c>
      <c r="K244" s="2">
        <f t="shared" si="258"/>
        <v>272759.34984542895</v>
      </c>
      <c r="L244" s="2">
        <f t="shared" si="258"/>
        <v>255151.86291627141</v>
      </c>
      <c r="M244" s="2">
        <f t="shared" si="258"/>
        <v>102972.12817114455</v>
      </c>
      <c r="N244" s="2">
        <f t="shared" si="258"/>
        <v>16044.800614634654</v>
      </c>
      <c r="O244" s="2">
        <f t="shared" si="258"/>
        <v>977.44153214014466</v>
      </c>
      <c r="P244" s="2">
        <f t="shared" si="258"/>
        <v>17762.464051924631</v>
      </c>
      <c r="Q244" s="2">
        <f t="shared" si="258"/>
        <v>587.52086172782026</v>
      </c>
      <c r="R244" s="2">
        <f t="shared" si="258"/>
        <v>599.6747375195888</v>
      </c>
      <c r="S244" s="2">
        <f t="shared" si="258"/>
        <v>-8324.7961530648372</v>
      </c>
      <c r="T244" s="158">
        <f t="shared" ref="T244:T253" si="259">SUM(I244:S244)-H244</f>
        <v>-0.28097156214062124</v>
      </c>
    </row>
    <row r="245" spans="1:32" x14ac:dyDescent="0.2">
      <c r="A245" s="12">
        <f t="shared" ref="A245:A251" si="260">+A244+1</f>
        <v>169</v>
      </c>
      <c r="B245" s="23">
        <v>47</v>
      </c>
      <c r="C245" s="12">
        <v>409118</v>
      </c>
      <c r="E245" s="62" t="s">
        <v>333</v>
      </c>
      <c r="H245" s="74">
        <f>'FUN-2 (Test Year)'!I259</f>
        <v>3698.929999999993</v>
      </c>
      <c r="I245" s="2">
        <f>INDEX(AlocTable,MATCH($B245,AlocList),3)*$H245</f>
        <v>70.730466068779265</v>
      </c>
      <c r="J245" s="2">
        <f>INDEX(AlocTable,MATCH($B245,AlocList),4)*$H245</f>
        <v>525.83299987724911</v>
      </c>
      <c r="K245" s="2">
        <f>INDEX(AlocTable,MATCH($B245,AlocList),5)*$H245</f>
        <v>1256.7904771366011</v>
      </c>
      <c r="L245" s="2">
        <f>INDEX(AlocTable,MATCH($B245,AlocList),6)*$H245</f>
        <v>1181.4013185509193</v>
      </c>
      <c r="M245" s="2">
        <f>INDEX(AlocTable,MATCH($B245,AlocList),7)*$H245</f>
        <v>462.27791452348691</v>
      </c>
      <c r="N245" s="2">
        <f>INDEX(AlocTable,MATCH($B245,AlocList),8)*$H245</f>
        <v>71.511090753053381</v>
      </c>
      <c r="O245" s="2">
        <f>INDEX(AlocTable,MATCH($B245,AlocList),9)*$H245</f>
        <v>4.3340584937874906</v>
      </c>
      <c r="P245" s="2">
        <f>INDEX(AlocTable,MATCH($B245,AlocList),10)*$H245</f>
        <v>114.48166978231049</v>
      </c>
      <c r="Q245" s="2">
        <f>INDEX(AlocTable,MATCH($B245,AlocList),11)*$H245</f>
        <v>2.9048113581511079</v>
      </c>
      <c r="R245" s="2">
        <f>INDEX(AlocTable,MATCH($B245,AlocList),12)*$H245</f>
        <v>2.9649023587355945</v>
      </c>
      <c r="S245" s="2">
        <f>INDEX(AlocTable,MATCH($B245,AlocList),13)*$H245</f>
        <v>5.7002910969197993</v>
      </c>
      <c r="T245" s="158">
        <f t="shared" si="259"/>
        <v>0</v>
      </c>
    </row>
    <row r="246" spans="1:32" x14ac:dyDescent="0.2">
      <c r="A246" s="12">
        <f t="shared" si="260"/>
        <v>170</v>
      </c>
      <c r="B246" s="23">
        <v>47</v>
      </c>
      <c r="C246" s="12">
        <v>409119</v>
      </c>
      <c r="E246" s="62" t="s">
        <v>234</v>
      </c>
      <c r="H246" s="74">
        <f>'FUN-2 (Test Year)'!I260</f>
        <v>-2148626.63</v>
      </c>
      <c r="I246" s="2">
        <f>INDEX(AlocTable,MATCH($B246,AlocList),3)*$H246</f>
        <v>-41085.763436369656</v>
      </c>
      <c r="J246" s="2">
        <f>INDEX(AlocTable,MATCH($B246,AlocList),4)*$H246</f>
        <v>-305444.76009793265</v>
      </c>
      <c r="K246" s="2">
        <f>INDEX(AlocTable,MATCH($B246,AlocList),5)*$H246</f>
        <v>-730041.79249299457</v>
      </c>
      <c r="L246" s="2">
        <f>INDEX(AlocTable,MATCH($B246,AlocList),6)*$H246</f>
        <v>-686249.89760704397</v>
      </c>
      <c r="M246" s="2">
        <f>INDEX(AlocTable,MATCH($B246,AlocList),7)*$H246</f>
        <v>-268527.01662535639</v>
      </c>
      <c r="N246" s="2">
        <f>INDEX(AlocTable,MATCH($B246,AlocList),8)*$H246</f>
        <v>-41539.211050859987</v>
      </c>
      <c r="O246" s="2">
        <f>INDEX(AlocTable,MATCH($B246,AlocList),9)*$H246</f>
        <v>-2517.5587252879909</v>
      </c>
      <c r="P246" s="2">
        <f>INDEX(AlocTable,MATCH($B246,AlocList),10)*$H246</f>
        <v>-66499.870054620958</v>
      </c>
      <c r="Q246" s="2">
        <f>INDEX(AlocTable,MATCH($B246,AlocList),11)*$H246</f>
        <v>-1687.340673992195</v>
      </c>
      <c r="R246" s="2">
        <f>INDEX(AlocTable,MATCH($B246,AlocList),12)*$H246</f>
        <v>-1722.2462072353687</v>
      </c>
      <c r="S246" s="2">
        <f>INDEX(AlocTable,MATCH($B246,AlocList),13)*$H246</f>
        <v>-3311.173028306514</v>
      </c>
      <c r="T246" s="158">
        <f t="shared" ref="T246" si="261">SUM(I246:S246)-H246</f>
        <v>0</v>
      </c>
    </row>
    <row r="247" spans="1:32" x14ac:dyDescent="0.2">
      <c r="A247" s="12">
        <f t="shared" si="260"/>
        <v>171</v>
      </c>
      <c r="B247" s="11"/>
      <c r="C247" s="12"/>
      <c r="D247" s="11" t="s">
        <v>334</v>
      </c>
      <c r="H247" s="118"/>
      <c r="I247" s="90"/>
      <c r="J247" s="163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</row>
    <row r="248" spans="1:32" x14ac:dyDescent="0.2">
      <c r="A248" s="12">
        <f t="shared" si="260"/>
        <v>172</v>
      </c>
      <c r="B248" s="23">
        <v>47</v>
      </c>
      <c r="C248" s="12">
        <v>409121</v>
      </c>
      <c r="D248" s="62"/>
      <c r="E248" s="11" t="s">
        <v>332</v>
      </c>
      <c r="H248" s="90">
        <f>'FUN-2 (Test Year)'!I262</f>
        <v>0</v>
      </c>
      <c r="I248" s="74">
        <f>INDEX(AlocTable,MATCH($B248,AlocList),3)*$H248</f>
        <v>0</v>
      </c>
      <c r="J248" s="74">
        <f>INDEX(AlocTable,MATCH($B248,AlocList),4)*$H248</f>
        <v>0</v>
      </c>
      <c r="K248" s="74">
        <f>INDEX(AlocTable,MATCH($B248,AlocList),5)*$H248</f>
        <v>0</v>
      </c>
      <c r="L248" s="74">
        <f>INDEX(AlocTable,MATCH($B248,AlocList),6)*$H248</f>
        <v>0</v>
      </c>
      <c r="M248" s="74">
        <f>INDEX(AlocTable,MATCH($B248,AlocList),7)*$H248</f>
        <v>0</v>
      </c>
      <c r="N248" s="74">
        <f>INDEX(AlocTable,MATCH($B248,AlocList),8)*$H248</f>
        <v>0</v>
      </c>
      <c r="O248" s="74">
        <f>INDEX(AlocTable,MATCH($B248,AlocList),9)*$H248</f>
        <v>0</v>
      </c>
      <c r="P248" s="74">
        <f>INDEX(AlocTable,MATCH($B248,AlocList),10)*$H248</f>
        <v>0</v>
      </c>
      <c r="Q248" s="74">
        <f>INDEX(AlocTable,MATCH($B248,AlocList),11)*$H248</f>
        <v>0</v>
      </c>
      <c r="R248" s="74">
        <f>INDEX(AlocTable,MATCH($B248,AlocList),12)*$H248</f>
        <v>0</v>
      </c>
      <c r="S248" s="74">
        <f>INDEX(AlocTable,MATCH($B248,AlocList),13)*$H248</f>
        <v>0</v>
      </c>
      <c r="T248" s="158">
        <f t="shared" si="259"/>
        <v>0</v>
      </c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</row>
    <row r="249" spans="1:32" x14ac:dyDescent="0.2">
      <c r="A249" s="12">
        <f t="shared" si="260"/>
        <v>173</v>
      </c>
      <c r="B249" s="23">
        <v>47</v>
      </c>
      <c r="C249" s="12" t="s">
        <v>335</v>
      </c>
      <c r="E249" s="11" t="s">
        <v>336</v>
      </c>
      <c r="H249" s="74">
        <f>'FUN-2 (Test Year)'!I263</f>
        <v>1972112</v>
      </c>
      <c r="I249" s="2">
        <f>INDEX(AlocTable,MATCH($B249,AlocList),3)*$H249</f>
        <v>37710.473271955045</v>
      </c>
      <c r="J249" s="2">
        <f>INDEX(AlocTable,MATCH($B249,AlocList),4)*$H249</f>
        <v>280351.76903967455</v>
      </c>
      <c r="K249" s="2">
        <f>INDEX(AlocTable,MATCH($B249,AlocList),5)*$H249</f>
        <v>670067.17657452868</v>
      </c>
      <c r="L249" s="2">
        <f>INDEX(AlocTable,MATCH($B249,AlocList),6)*$H249</f>
        <v>629872.88678890793</v>
      </c>
      <c r="M249" s="2">
        <f>INDEX(AlocTable,MATCH($B249,AlocList),7)*$H249</f>
        <v>246466.90328466464</v>
      </c>
      <c r="N249" s="2">
        <f>INDEX(AlocTable,MATCH($B249,AlocList),8)*$H249</f>
        <v>38126.669119768652</v>
      </c>
      <c r="O249" s="2">
        <f>INDEX(AlocTable,MATCH($B249,AlocList),9)*$H249</f>
        <v>2310.7354733126208</v>
      </c>
      <c r="P249" s="2">
        <f>INDEX(AlocTable,MATCH($B249,AlocList),10)*$H249</f>
        <v>61036.752454826754</v>
      </c>
      <c r="Q249" s="2">
        <f>INDEX(AlocTable,MATCH($B249,AlocList),11)*$H249</f>
        <v>1548.7217484910796</v>
      </c>
      <c r="R249" s="2">
        <f>INDEX(AlocTable,MATCH($B249,AlocList),12)*$H249</f>
        <v>1580.7597117249534</v>
      </c>
      <c r="S249" s="2">
        <f>INDEX(AlocTable,MATCH($B249,AlocList),13)*$H249</f>
        <v>3039.1525321454369</v>
      </c>
      <c r="T249" s="158">
        <f t="shared" si="259"/>
        <v>0</v>
      </c>
    </row>
    <row r="250" spans="1:32" x14ac:dyDescent="0.2">
      <c r="A250" s="111">
        <f t="shared" si="260"/>
        <v>174</v>
      </c>
      <c r="B250" s="28">
        <v>47</v>
      </c>
      <c r="C250" s="111">
        <v>411401</v>
      </c>
      <c r="D250" s="24"/>
      <c r="E250" s="24" t="s">
        <v>337</v>
      </c>
      <c r="F250" s="24"/>
      <c r="G250" s="24"/>
      <c r="H250" s="36">
        <f>'FUN-2 (Test Year)'!I264</f>
        <v>-1696</v>
      </c>
      <c r="I250" s="36">
        <f>INDEX(AlocTable,MATCH($B250,AlocList),3)*$H250</f>
        <v>-32.430694944929982</v>
      </c>
      <c r="J250" s="36">
        <f>INDEX(AlocTable,MATCH($B250,AlocList),4)*$H250</f>
        <v>-241.10020135331462</v>
      </c>
      <c r="K250" s="36">
        <f>INDEX(AlocTable,MATCH($B250,AlocList),5)*$H250</f>
        <v>-576.25222678549733</v>
      </c>
      <c r="L250" s="36">
        <f>INDEX(AlocTable,MATCH($B250,AlocList),6)*$H250</f>
        <v>-541.68547019337029</v>
      </c>
      <c r="M250" s="36">
        <f>INDEX(AlocTable,MATCH($B250,AlocList),7)*$H250</f>
        <v>-211.95949721455537</v>
      </c>
      <c r="N250" s="36">
        <f>INDEX(AlocTable,MATCH($B250,AlocList),8)*$H250</f>
        <v>-32.788619929865867</v>
      </c>
      <c r="O250" s="36">
        <f>INDEX(AlocTable,MATCH($B250,AlocList),9)*$H250</f>
        <v>-1.9872133848068489</v>
      </c>
      <c r="P250" s="36">
        <f>INDEX(AlocTable,MATCH($B250,AlocList),10)*$H250</f>
        <v>-52.491102008093954</v>
      </c>
      <c r="Q250" s="36">
        <f>INDEX(AlocTable,MATCH($B250,AlocList),11)*$H250</f>
        <v>-1.331887887422657</v>
      </c>
      <c r="R250" s="36">
        <f>INDEX(AlocTable,MATCH($B250,AlocList),12)*$H250</f>
        <v>-1.3594402706770816</v>
      </c>
      <c r="S250" s="36">
        <f>INDEX(AlocTable,MATCH($B250,AlocList),13)*$H250</f>
        <v>-2.6136460274663209</v>
      </c>
      <c r="T250" s="161">
        <f t="shared" si="259"/>
        <v>0</v>
      </c>
    </row>
    <row r="251" spans="1:32" x14ac:dyDescent="0.2">
      <c r="A251" s="12">
        <f t="shared" si="260"/>
        <v>175</v>
      </c>
      <c r="D251" s="16"/>
      <c r="E251" s="11" t="s">
        <v>338</v>
      </c>
      <c r="H251" s="74">
        <f>SUM(H244:H250)</f>
        <v>626173.45310818311</v>
      </c>
      <c r="I251" s="158">
        <f>SUM(I244:I250)</f>
        <v>24696.688881335336</v>
      </c>
      <c r="J251" s="158">
        <f t="shared" ref="J251:S251" si="262">SUM(J244:J250)</f>
        <v>89312.488024533668</v>
      </c>
      <c r="K251" s="158">
        <f t="shared" si="262"/>
        <v>213465.27217731418</v>
      </c>
      <c r="L251" s="158">
        <f t="shared" si="262"/>
        <v>199414.56794649296</v>
      </c>
      <c r="M251" s="158">
        <f t="shared" si="262"/>
        <v>81162.333247761708</v>
      </c>
      <c r="N251" s="158">
        <f t="shared" si="262"/>
        <v>12670.981154366506</v>
      </c>
      <c r="O251" s="158">
        <f t="shared" si="262"/>
        <v>772.96512527375512</v>
      </c>
      <c r="P251" s="158">
        <f t="shared" si="262"/>
        <v>12361.337019904644</v>
      </c>
      <c r="Q251" s="158">
        <f t="shared" si="262"/>
        <v>450.4748596974332</v>
      </c>
      <c r="R251" s="158">
        <f t="shared" si="262"/>
        <v>459.79370409723208</v>
      </c>
      <c r="S251" s="158">
        <f t="shared" si="262"/>
        <v>-8593.7300041564595</v>
      </c>
      <c r="T251" s="158">
        <f t="shared" si="259"/>
        <v>-0.28097156214062124</v>
      </c>
    </row>
    <row r="252" spans="1:32" s="145" customFormat="1" x14ac:dyDescent="0.2"/>
    <row r="253" spans="1:32" x14ac:dyDescent="0.2">
      <c r="A253" s="12">
        <f>+A251+1</f>
        <v>176</v>
      </c>
      <c r="D253" s="16" t="s">
        <v>339</v>
      </c>
      <c r="E253" s="16"/>
      <c r="F253" s="16"/>
      <c r="G253" s="16"/>
      <c r="H253" s="15">
        <f t="shared" ref="H253:S253" si="263">SUM(H251:H252)</f>
        <v>626173.45310818311</v>
      </c>
      <c r="I253" s="15">
        <f t="shared" si="263"/>
        <v>24696.688881335336</v>
      </c>
      <c r="J253" s="15">
        <f t="shared" si="263"/>
        <v>89312.488024533668</v>
      </c>
      <c r="K253" s="15">
        <f t="shared" si="263"/>
        <v>213465.27217731418</v>
      </c>
      <c r="L253" s="15">
        <f t="shared" si="263"/>
        <v>199414.56794649296</v>
      </c>
      <c r="M253" s="15">
        <f t="shared" si="263"/>
        <v>81162.333247761708</v>
      </c>
      <c r="N253" s="15">
        <f t="shared" si="263"/>
        <v>12670.981154366506</v>
      </c>
      <c r="O253" s="15">
        <f t="shared" si="263"/>
        <v>772.96512527375512</v>
      </c>
      <c r="P253" s="15">
        <f t="shared" si="263"/>
        <v>12361.337019904644</v>
      </c>
      <c r="Q253" s="15">
        <f t="shared" ref="Q253:R253" si="264">SUM(Q251:Q252)</f>
        <v>450.4748596974332</v>
      </c>
      <c r="R253" s="15">
        <f t="shared" si="264"/>
        <v>459.79370409723208</v>
      </c>
      <c r="S253" s="15">
        <f t="shared" si="263"/>
        <v>-8593.7300041564595</v>
      </c>
      <c r="T253" s="15">
        <f t="shared" si="259"/>
        <v>-0.28097156214062124</v>
      </c>
    </row>
    <row r="254" spans="1:32" x14ac:dyDescent="0.2">
      <c r="A254" s="12"/>
      <c r="H254" s="158"/>
      <c r="I254" s="312"/>
      <c r="J254" s="312"/>
      <c r="K254" s="312"/>
      <c r="L254" s="312"/>
      <c r="M254" s="312"/>
      <c r="N254" s="312"/>
      <c r="O254" s="312"/>
      <c r="P254" s="312"/>
      <c r="Q254" s="312"/>
      <c r="R254" s="312"/>
      <c r="S254" s="312"/>
    </row>
    <row r="255" spans="1:32" x14ac:dyDescent="0.2">
      <c r="A255" s="12">
        <f>+A253+1</f>
        <v>177</v>
      </c>
      <c r="D255" s="11" t="s">
        <v>78</v>
      </c>
      <c r="H255" s="313">
        <f>'FUN-2 (Test Year)'!I271</f>
        <v>0.21</v>
      </c>
      <c r="I255" s="1">
        <f t="shared" ref="I255:T255" si="265">$H$255</f>
        <v>0.21</v>
      </c>
      <c r="J255" s="1">
        <f t="shared" si="265"/>
        <v>0.21</v>
      </c>
      <c r="K255" s="1">
        <f t="shared" si="265"/>
        <v>0.21</v>
      </c>
      <c r="L255" s="1">
        <f t="shared" si="265"/>
        <v>0.21</v>
      </c>
      <c r="M255" s="1">
        <f t="shared" si="265"/>
        <v>0.21</v>
      </c>
      <c r="N255" s="1">
        <f t="shared" si="265"/>
        <v>0.21</v>
      </c>
      <c r="O255" s="1">
        <f t="shared" si="265"/>
        <v>0.21</v>
      </c>
      <c r="P255" s="1">
        <f t="shared" si="265"/>
        <v>0.21</v>
      </c>
      <c r="Q255" s="1">
        <f t="shared" si="265"/>
        <v>0.21</v>
      </c>
      <c r="R255" s="1">
        <f t="shared" si="265"/>
        <v>0.21</v>
      </c>
      <c r="S255" s="1">
        <f t="shared" si="265"/>
        <v>0.21</v>
      </c>
      <c r="T255" s="1">
        <f t="shared" si="265"/>
        <v>0.21</v>
      </c>
    </row>
    <row r="256" spans="1:32" x14ac:dyDescent="0.2">
      <c r="A256" s="12"/>
      <c r="H256" s="314"/>
      <c r="I256" s="315"/>
    </row>
    <row r="257" spans="1:20" x14ac:dyDescent="0.2">
      <c r="A257" s="12">
        <f>+A255+1</f>
        <v>178</v>
      </c>
      <c r="D257" s="11" t="s">
        <v>340</v>
      </c>
      <c r="H257" s="314">
        <f t="shared" ref="H257:S257" si="266">H233-H253</f>
        <v>6052589.183275857</v>
      </c>
      <c r="I257" s="314">
        <f t="shared" si="266"/>
        <v>163599.87213527606</v>
      </c>
      <c r="J257" s="314">
        <f t="shared" si="266"/>
        <v>861541.62537509622</v>
      </c>
      <c r="K257" s="314">
        <f t="shared" si="266"/>
        <v>2059165.7630482961</v>
      </c>
      <c r="L257" s="314">
        <f t="shared" si="266"/>
        <v>1930958.8279829889</v>
      </c>
      <c r="M257" s="314">
        <f t="shared" si="266"/>
        <v>767359.84705130477</v>
      </c>
      <c r="N257" s="314">
        <f t="shared" si="266"/>
        <v>119140.51925493754</v>
      </c>
      <c r="O257" s="314">
        <f t="shared" si="266"/>
        <v>7239.6011156785971</v>
      </c>
      <c r="P257" s="314">
        <f t="shared" si="266"/>
        <v>160923.65542847745</v>
      </c>
      <c r="Q257" s="314">
        <f t="shared" si="266"/>
        <v>4597.9277186948657</v>
      </c>
      <c r="R257" s="314">
        <f>R233-R253</f>
        <v>4693.0437324959785</v>
      </c>
      <c r="S257" s="314">
        <f t="shared" si="266"/>
        <v>-26631.499567387174</v>
      </c>
      <c r="T257" s="314"/>
    </row>
    <row r="258" spans="1:20" x14ac:dyDescent="0.2">
      <c r="A258" s="12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</row>
    <row r="259" spans="1:20" x14ac:dyDescent="0.2">
      <c r="A259" s="12">
        <f>+A257+1</f>
        <v>179</v>
      </c>
      <c r="D259" s="11" t="s">
        <v>350</v>
      </c>
      <c r="H259" s="314">
        <f>H86</f>
        <v>152184860.11532155</v>
      </c>
      <c r="I259" s="314">
        <f t="shared" ref="I259:S259" si="267">I86</f>
        <v>4113516.1997425025</v>
      </c>
      <c r="J259" s="314">
        <f t="shared" si="267"/>
        <v>21662397.326341067</v>
      </c>
      <c r="K259" s="314">
        <f t="shared" si="267"/>
        <v>51775173.254722081</v>
      </c>
      <c r="L259" s="314">
        <f t="shared" si="267"/>
        <v>48551568.630664676</v>
      </c>
      <c r="M259" s="314">
        <f t="shared" si="267"/>
        <v>19294313.135326974</v>
      </c>
      <c r="N259" s="314">
        <f t="shared" si="267"/>
        <v>2995640.8254138529</v>
      </c>
      <c r="O259" s="314">
        <f t="shared" si="267"/>
        <v>182030.80528323023</v>
      </c>
      <c r="P259" s="314">
        <f t="shared" si="267"/>
        <v>4046226.044599006</v>
      </c>
      <c r="Q259" s="314">
        <f t="shared" si="267"/>
        <v>115609.19889018798</v>
      </c>
      <c r="R259" s="314">
        <f t="shared" ref="R259" si="268">R86</f>
        <v>118000.77327541902</v>
      </c>
      <c r="S259" s="314">
        <f t="shared" si="267"/>
        <v>-669616.07893738779</v>
      </c>
      <c r="T259" s="314"/>
    </row>
    <row r="260" spans="1:20" x14ac:dyDescent="0.2">
      <c r="A260" s="12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</row>
    <row r="261" spans="1:20" x14ac:dyDescent="0.2">
      <c r="A261" s="12">
        <f>+A259+1</f>
        <v>180</v>
      </c>
      <c r="D261" s="11" t="s">
        <v>54</v>
      </c>
      <c r="H261" s="316">
        <f>H257/H259</f>
        <v>3.9771296426526069E-2</v>
      </c>
      <c r="I261" s="316">
        <f>I257/I259</f>
        <v>3.9771296426526062E-2</v>
      </c>
      <c r="J261" s="316">
        <f>J257/J259</f>
        <v>3.9771296426526062E-2</v>
      </c>
      <c r="K261" s="316">
        <f t="shared" ref="K261:P261" si="269">K257/K259</f>
        <v>3.9771296426526062E-2</v>
      </c>
      <c r="L261" s="316">
        <f t="shared" si="269"/>
        <v>3.9771296426526062E-2</v>
      </c>
      <c r="M261" s="316">
        <f t="shared" si="269"/>
        <v>3.9771296426526076E-2</v>
      </c>
      <c r="N261" s="316">
        <f t="shared" si="269"/>
        <v>3.9771296426526055E-2</v>
      </c>
      <c r="O261" s="316">
        <f t="shared" si="269"/>
        <v>3.9771296426526069E-2</v>
      </c>
      <c r="P261" s="316">
        <f t="shared" si="269"/>
        <v>3.9771296426526138E-2</v>
      </c>
      <c r="Q261" s="316">
        <f>Q257/Q259</f>
        <v>3.9771296426525993E-2</v>
      </c>
      <c r="R261" s="316">
        <f>R257/R259</f>
        <v>3.9771296426526014E-2</v>
      </c>
      <c r="S261" s="316">
        <f>S257/S259</f>
        <v>3.9771296426526437E-2</v>
      </c>
      <c r="T261" s="316"/>
    </row>
    <row r="262" spans="1:20" x14ac:dyDescent="0.2">
      <c r="H262" s="316"/>
      <c r="I262" s="315"/>
    </row>
    <row r="263" spans="1:20" x14ac:dyDescent="0.2">
      <c r="A263" s="11" t="s">
        <v>342</v>
      </c>
    </row>
    <row r="264" spans="1:20" x14ac:dyDescent="0.2">
      <c r="A264" s="11" t="s">
        <v>372</v>
      </c>
    </row>
    <row r="266" spans="1:20" x14ac:dyDescent="0.2">
      <c r="A266" s="11" t="s">
        <v>373</v>
      </c>
    </row>
    <row r="267" spans="1:20" x14ac:dyDescent="0.2">
      <c r="A267" s="11" t="s">
        <v>374</v>
      </c>
    </row>
    <row r="269" spans="1:20" x14ac:dyDescent="0.2">
      <c r="A269" s="11" t="s">
        <v>375</v>
      </c>
    </row>
    <row r="270" spans="1:20" x14ac:dyDescent="0.2">
      <c r="A270" s="11" t="s">
        <v>376</v>
      </c>
    </row>
    <row r="272" spans="1:20" x14ac:dyDescent="0.2">
      <c r="A272" s="11" t="s">
        <v>83</v>
      </c>
    </row>
    <row r="273" spans="1:1" x14ac:dyDescent="0.2">
      <c r="A273" s="11" t="s">
        <v>377</v>
      </c>
    </row>
    <row r="274" spans="1:1" x14ac:dyDescent="0.2">
      <c r="A274" s="11" t="s">
        <v>378</v>
      </c>
    </row>
    <row r="275" spans="1:1" x14ac:dyDescent="0.2">
      <c r="A275" s="11" t="s">
        <v>379</v>
      </c>
    </row>
    <row r="276" spans="1:1" x14ac:dyDescent="0.2">
      <c r="A276" s="11" t="s">
        <v>380</v>
      </c>
    </row>
    <row r="277" spans="1:1" x14ac:dyDescent="0.2">
      <c r="A277" s="11" t="s">
        <v>381</v>
      </c>
    </row>
    <row r="278" spans="1:1" x14ac:dyDescent="0.2">
      <c r="A278" s="11" t="s">
        <v>382</v>
      </c>
    </row>
  </sheetData>
  <pageMargins left="0.7" right="0.7" top="1.5083333333333333" bottom="0.75" header="0.3" footer="0.3"/>
  <pageSetup scale="80" fitToWidth="2" fitToHeight="6" pageOrder="overThenDown" orientation="landscape" useFirstPageNumber="1" r:id="rId1"/>
  <headerFooter alignWithMargins="0">
    <oddHeader>&amp;CRULE 20:10:13:98
STATEMENT O WORKPAPER - Tab &amp;A
Functional Cost of Service
Test Year Ending December 31, 2021
Utility: MidAmerican Energy Company
Docket No. NG22-___
Individual Responsible: Amanda Hosch</oddHeader>
    <oddFooter>&amp;C20:10:13:98
Statement O Workpaper - Tab &amp;A
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35"/>
  <sheetViews>
    <sheetView view="pageLayout" zoomScale="55" zoomScaleNormal="100" zoomScalePageLayoutView="55" workbookViewId="0">
      <selection activeCell="A4" sqref="A4"/>
    </sheetView>
  </sheetViews>
  <sheetFormatPr defaultColWidth="9.140625" defaultRowHeight="12.75" x14ac:dyDescent="0.2"/>
  <cols>
    <col min="1" max="1" width="7.140625" style="11" customWidth="1"/>
    <col min="2" max="2" width="6.28515625" style="23" customWidth="1"/>
    <col min="3" max="3" width="40.28515625" style="11" customWidth="1"/>
    <col min="4" max="11" width="12.7109375" style="25" customWidth="1"/>
    <col min="12" max="13" width="11.85546875" style="25" customWidth="1"/>
    <col min="14" max="14" width="12.7109375" style="25" customWidth="1"/>
    <col min="15" max="15" width="12.42578125" style="25" customWidth="1"/>
    <col min="16" max="16" width="4.140625" style="25" customWidth="1"/>
    <col min="17" max="17" width="17.5703125" style="25" customWidth="1"/>
    <col min="18" max="18" width="4.28515625" style="11" customWidth="1"/>
    <col min="19" max="19" width="24.42578125" style="11" customWidth="1"/>
    <col min="20" max="16384" width="9.140625" style="11"/>
  </cols>
  <sheetData>
    <row r="1" spans="1:22" ht="18" x14ac:dyDescent="0.25">
      <c r="A1" s="10" t="s">
        <v>383</v>
      </c>
      <c r="B1" s="11"/>
      <c r="D1" s="27"/>
      <c r="E1" s="27"/>
      <c r="F1" s="27"/>
      <c r="L1" s="88" t="s">
        <v>2</v>
      </c>
      <c r="M1" s="88" t="s">
        <v>3</v>
      </c>
      <c r="O1" s="11"/>
      <c r="P1" s="11"/>
      <c r="Q1" s="11"/>
    </row>
    <row r="2" spans="1:22" x14ac:dyDescent="0.2">
      <c r="A2" s="11" t="s">
        <v>10</v>
      </c>
      <c r="D2" s="146"/>
      <c r="E2" s="146" t="s">
        <v>5</v>
      </c>
      <c r="F2" s="146" t="s">
        <v>5</v>
      </c>
      <c r="G2" s="146"/>
      <c r="H2" s="146"/>
      <c r="I2" s="146"/>
      <c r="J2" s="146" t="s">
        <v>6</v>
      </c>
      <c r="K2" s="146" t="s">
        <v>7</v>
      </c>
      <c r="L2" s="146" t="s">
        <v>8</v>
      </c>
      <c r="M2" s="146" t="s">
        <v>8</v>
      </c>
      <c r="N2" s="146"/>
    </row>
    <row r="3" spans="1:22" x14ac:dyDescent="0.2">
      <c r="A3" s="24" t="s">
        <v>1098</v>
      </c>
      <c r="B3" s="28" t="s">
        <v>348</v>
      </c>
      <c r="C3" s="24" t="s">
        <v>384</v>
      </c>
      <c r="D3" s="148" t="s">
        <v>385</v>
      </c>
      <c r="E3" s="148" t="s">
        <v>14</v>
      </c>
      <c r="F3" s="148" t="s">
        <v>15</v>
      </c>
      <c r="G3" s="148" t="s">
        <v>16</v>
      </c>
      <c r="H3" s="148" t="s">
        <v>17</v>
      </c>
      <c r="I3" s="148" t="s">
        <v>18</v>
      </c>
      <c r="J3" s="148" t="s">
        <v>17</v>
      </c>
      <c r="K3" s="148" t="s">
        <v>19</v>
      </c>
      <c r="L3" s="148" t="s">
        <v>20</v>
      </c>
      <c r="M3" s="148" t="s">
        <v>20</v>
      </c>
      <c r="N3" s="148" t="s">
        <v>386</v>
      </c>
      <c r="O3" s="303" t="s">
        <v>387</v>
      </c>
      <c r="P3" s="303"/>
      <c r="Q3" s="303" t="s">
        <v>388</v>
      </c>
      <c r="R3" s="24"/>
      <c r="S3" s="24" t="s">
        <v>11</v>
      </c>
      <c r="T3" s="24"/>
      <c r="U3" s="24"/>
      <c r="V3" s="24"/>
    </row>
    <row r="4" spans="1:22" x14ac:dyDescent="0.2">
      <c r="B4" s="23" t="s">
        <v>24</v>
      </c>
      <c r="C4" s="23" t="s">
        <v>25</v>
      </c>
      <c r="D4" s="23" t="s">
        <v>26</v>
      </c>
      <c r="E4" s="23" t="s">
        <v>27</v>
      </c>
      <c r="F4" s="23" t="s">
        <v>28</v>
      </c>
      <c r="G4" s="23" t="s">
        <v>29</v>
      </c>
      <c r="H4" s="23" t="s">
        <v>30</v>
      </c>
      <c r="I4" s="23" t="s">
        <v>31</v>
      </c>
      <c r="J4" s="23" t="s">
        <v>32</v>
      </c>
      <c r="K4" s="23" t="s">
        <v>33</v>
      </c>
      <c r="L4" s="23" t="s">
        <v>34</v>
      </c>
      <c r="M4" s="23" t="s">
        <v>35</v>
      </c>
      <c r="N4" s="23" t="s">
        <v>36</v>
      </c>
      <c r="O4" s="23" t="s">
        <v>37</v>
      </c>
      <c r="P4" s="23"/>
      <c r="Q4" s="23" t="s">
        <v>38</v>
      </c>
      <c r="R4" s="23"/>
      <c r="S4" s="23" t="s">
        <v>152</v>
      </c>
    </row>
    <row r="5" spans="1:22" x14ac:dyDescent="0.2">
      <c r="B5" s="11"/>
      <c r="D5" s="2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22" x14ac:dyDescent="0.2">
      <c r="A6" s="12">
        <v>1</v>
      </c>
      <c r="B6" s="23">
        <v>1.1000000000000001</v>
      </c>
      <c r="C6" s="11" t="s">
        <v>389</v>
      </c>
      <c r="D6" s="304">
        <v>1</v>
      </c>
      <c r="E6" s="304">
        <v>0</v>
      </c>
      <c r="F6" s="304">
        <v>0</v>
      </c>
      <c r="G6" s="304">
        <v>0</v>
      </c>
      <c r="H6" s="304">
        <v>0</v>
      </c>
      <c r="I6" s="304">
        <v>0</v>
      </c>
      <c r="J6" s="304">
        <v>0</v>
      </c>
      <c r="K6" s="304">
        <v>0</v>
      </c>
      <c r="L6" s="304">
        <v>0</v>
      </c>
      <c r="M6" s="304"/>
      <c r="N6" s="304">
        <v>0</v>
      </c>
      <c r="O6" s="305">
        <f t="shared" ref="O6:O29" si="0">SUM(D6:N6)</f>
        <v>1</v>
      </c>
      <c r="S6" s="11" t="s">
        <v>390</v>
      </c>
    </row>
    <row r="7" spans="1:22" x14ac:dyDescent="0.2">
      <c r="A7" s="12">
        <f>A6+1</f>
        <v>2</v>
      </c>
      <c r="B7" s="23">
        <v>1.2</v>
      </c>
      <c r="C7" s="11" t="s">
        <v>5</v>
      </c>
      <c r="D7" s="304">
        <v>0</v>
      </c>
      <c r="E7" s="306">
        <f>'ALO-1 (Design Day Peak)'!F43</f>
        <v>0.29497704179128992</v>
      </c>
      <c r="F7" s="306">
        <f>1-E7</f>
        <v>0.70502295820871008</v>
      </c>
      <c r="G7" s="304">
        <v>0</v>
      </c>
      <c r="H7" s="304">
        <v>0</v>
      </c>
      <c r="I7" s="304">
        <v>0</v>
      </c>
      <c r="J7" s="304">
        <v>0</v>
      </c>
      <c r="K7" s="304">
        <v>0</v>
      </c>
      <c r="L7" s="304">
        <v>0</v>
      </c>
      <c r="M7" s="304"/>
      <c r="N7" s="304">
        <v>0</v>
      </c>
      <c r="O7" s="305">
        <f t="shared" si="0"/>
        <v>1</v>
      </c>
      <c r="S7" s="11" t="s">
        <v>391</v>
      </c>
    </row>
    <row r="8" spans="1:22" x14ac:dyDescent="0.2">
      <c r="A8" s="12">
        <f t="shared" ref="A8:A29" si="1">A7+1</f>
        <v>3</v>
      </c>
      <c r="B8" s="23">
        <v>1.3</v>
      </c>
      <c r="C8" s="11" t="s">
        <v>16</v>
      </c>
      <c r="D8" s="304">
        <v>0</v>
      </c>
      <c r="E8" s="304">
        <v>0</v>
      </c>
      <c r="F8" s="304">
        <v>0</v>
      </c>
      <c r="G8" s="304">
        <v>1</v>
      </c>
      <c r="H8" s="304">
        <v>0</v>
      </c>
      <c r="I8" s="304">
        <v>0</v>
      </c>
      <c r="J8" s="304">
        <v>0</v>
      </c>
      <c r="K8" s="304">
        <v>0</v>
      </c>
      <c r="L8" s="304">
        <v>0</v>
      </c>
      <c r="M8" s="304"/>
      <c r="N8" s="304">
        <v>0</v>
      </c>
      <c r="O8" s="305">
        <f t="shared" si="0"/>
        <v>1</v>
      </c>
      <c r="S8" s="11" t="s">
        <v>390</v>
      </c>
    </row>
    <row r="9" spans="1:22" x14ac:dyDescent="0.2">
      <c r="A9" s="12">
        <f t="shared" si="1"/>
        <v>4</v>
      </c>
      <c r="B9" s="23">
        <v>1.4</v>
      </c>
      <c r="C9" s="11" t="s">
        <v>17</v>
      </c>
      <c r="D9" s="304">
        <v>0</v>
      </c>
      <c r="E9" s="304">
        <v>0</v>
      </c>
      <c r="F9" s="304">
        <v>0</v>
      </c>
      <c r="G9" s="304">
        <v>0</v>
      </c>
      <c r="H9" s="304">
        <v>1</v>
      </c>
      <c r="I9" s="304">
        <v>0</v>
      </c>
      <c r="J9" s="304">
        <v>0</v>
      </c>
      <c r="K9" s="304">
        <v>0</v>
      </c>
      <c r="L9" s="304">
        <v>0</v>
      </c>
      <c r="M9" s="304"/>
      <c r="N9" s="304">
        <v>0</v>
      </c>
      <c r="O9" s="305">
        <f t="shared" si="0"/>
        <v>1</v>
      </c>
      <c r="S9" s="11" t="s">
        <v>390</v>
      </c>
    </row>
    <row r="10" spans="1:22" x14ac:dyDescent="0.2">
      <c r="A10" s="12">
        <f t="shared" si="1"/>
        <v>5</v>
      </c>
      <c r="B10" s="23">
        <v>1.5</v>
      </c>
      <c r="C10" s="11" t="s">
        <v>18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1</v>
      </c>
      <c r="J10" s="304">
        <f>J8/($F$8+$G$8+$H$8+$J$8+$K$8)</f>
        <v>0</v>
      </c>
      <c r="K10" s="304">
        <f>K8/($F$8+$G$8+$H$8+$J$8+$K$8)</f>
        <v>0</v>
      </c>
      <c r="L10" s="304">
        <f>L8/($F$8+$G$8+$H$8+$J$8+$K$8)</f>
        <v>0</v>
      </c>
      <c r="M10" s="304"/>
      <c r="N10" s="304">
        <v>0</v>
      </c>
      <c r="O10" s="305">
        <f t="shared" si="0"/>
        <v>1</v>
      </c>
      <c r="S10" s="11" t="s">
        <v>390</v>
      </c>
      <c r="U10" s="307"/>
    </row>
    <row r="11" spans="1:22" x14ac:dyDescent="0.2">
      <c r="A11" s="12">
        <f t="shared" si="1"/>
        <v>6</v>
      </c>
      <c r="B11" s="23">
        <v>1.6</v>
      </c>
      <c r="C11" s="11" t="s">
        <v>392</v>
      </c>
      <c r="D11" s="304">
        <v>0</v>
      </c>
      <c r="E11" s="304">
        <v>0</v>
      </c>
      <c r="F11" s="304">
        <v>0</v>
      </c>
      <c r="G11" s="304">
        <v>0</v>
      </c>
      <c r="H11" s="304">
        <v>0</v>
      </c>
      <c r="I11" s="304">
        <v>0</v>
      </c>
      <c r="J11" s="304">
        <v>1</v>
      </c>
      <c r="K11" s="304">
        <v>0</v>
      </c>
      <c r="L11" s="304">
        <v>0</v>
      </c>
      <c r="M11" s="304"/>
      <c r="N11" s="304">
        <v>0</v>
      </c>
      <c r="O11" s="305">
        <f t="shared" si="0"/>
        <v>1</v>
      </c>
      <c r="S11" s="11" t="s">
        <v>390</v>
      </c>
      <c r="U11" s="307"/>
    </row>
    <row r="12" spans="1:22" x14ac:dyDescent="0.2">
      <c r="A12" s="12">
        <f t="shared" si="1"/>
        <v>7</v>
      </c>
      <c r="B12" s="23">
        <v>1.7</v>
      </c>
      <c r="C12" s="11" t="s">
        <v>393</v>
      </c>
      <c r="D12" s="304">
        <v>0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1</v>
      </c>
      <c r="L12" s="304">
        <f>L8/($F$8+$G$8+$J$8+$K$8)</f>
        <v>0</v>
      </c>
      <c r="M12" s="304"/>
      <c r="N12" s="304">
        <v>0</v>
      </c>
      <c r="O12" s="305">
        <f t="shared" si="0"/>
        <v>1</v>
      </c>
      <c r="S12" s="11" t="s">
        <v>390</v>
      </c>
    </row>
    <row r="13" spans="1:22" x14ac:dyDescent="0.2">
      <c r="A13" s="12">
        <f t="shared" si="1"/>
        <v>8</v>
      </c>
      <c r="B13" s="23">
        <v>1.8</v>
      </c>
      <c r="C13" s="11" t="s">
        <v>267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f>'CLS1-1 (Class COS)'!C73/SUM('CLS1-1 (Class COS)'!C73:C74)</f>
        <v>0.49488126649076519</v>
      </c>
      <c r="M13" s="306">
        <f>1-L13</f>
        <v>0.50511873350923486</v>
      </c>
      <c r="N13" s="306">
        <v>0</v>
      </c>
      <c r="O13" s="308">
        <f t="shared" si="0"/>
        <v>1</v>
      </c>
      <c r="P13" s="309"/>
      <c r="Q13" s="309"/>
      <c r="S13" s="11" t="s">
        <v>394</v>
      </c>
    </row>
    <row r="14" spans="1:22" x14ac:dyDescent="0.2">
      <c r="A14" s="12">
        <f t="shared" si="1"/>
        <v>9</v>
      </c>
      <c r="B14" s="23">
        <v>1.9</v>
      </c>
      <c r="C14" s="11" t="s">
        <v>395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  <c r="M14" s="304"/>
      <c r="N14" s="304">
        <v>1</v>
      </c>
      <c r="O14" s="305">
        <f t="shared" si="0"/>
        <v>1</v>
      </c>
      <c r="S14" s="11" t="s">
        <v>390</v>
      </c>
    </row>
    <row r="15" spans="1:22" x14ac:dyDescent="0.2">
      <c r="A15" s="12">
        <f>A14+1</f>
        <v>10</v>
      </c>
      <c r="B15" s="23">
        <v>39</v>
      </c>
      <c r="C15" s="11" t="s">
        <v>396</v>
      </c>
      <c r="D15" s="26">
        <f>'FUN-3 (Functional COS)'!I53/$Q15</f>
        <v>2.5217895094834793E-2</v>
      </c>
      <c r="E15" s="26">
        <f>'FUN-3 (Functional COS)'!J53/$Q15</f>
        <v>0.14098148370418262</v>
      </c>
      <c r="F15" s="26">
        <f>'FUN-3 (Functional COS)'!K53/$Q15</f>
        <v>0.33695904633860502</v>
      </c>
      <c r="G15" s="26">
        <f>'FUN-3 (Functional COS)'!L53/$Q15</f>
        <v>0.31708760909862654</v>
      </c>
      <c r="H15" s="26">
        <f>'FUN-3 (Functional COS)'!M53/$Q15</f>
        <v>0.12404941818943334</v>
      </c>
      <c r="I15" s="26">
        <f>'FUN-3 (Functional COS)'!N53/$Q15</f>
        <v>1.9151731428654763E-2</v>
      </c>
      <c r="J15" s="26">
        <f>'FUN-3 (Functional COS)'!O53/$Q15</f>
        <v>1.1597006635313074E-3</v>
      </c>
      <c r="K15" s="26">
        <f>'FUN-3 (Functional COS)'!P53/$Q15</f>
        <v>3.2144459581161355E-2</v>
      </c>
      <c r="L15" s="26">
        <f>'FUN-3 (Functional COS)'!Q53/$Q15</f>
        <v>8.1562045234436853E-4</v>
      </c>
      <c r="M15" s="26">
        <f>'FUN-3 (Functional COS)'!R53/$Q15</f>
        <v>8.3249295903607343E-4</v>
      </c>
      <c r="N15" s="26">
        <f>'FUN-3 (Functional COS)'!S53/$Q15</f>
        <v>1.6005424895899384E-3</v>
      </c>
      <c r="O15" s="305">
        <f>SUM(D15:N15)</f>
        <v>1.0000000000000002</v>
      </c>
      <c r="Q15" s="2">
        <f>'FUN-3 (Functional COS)'!H53</f>
        <v>272474205.26999998</v>
      </c>
      <c r="S15" s="11" t="s">
        <v>397</v>
      </c>
    </row>
    <row r="16" spans="1:22" x14ac:dyDescent="0.2">
      <c r="A16" s="12">
        <f t="shared" si="1"/>
        <v>11</v>
      </c>
      <c r="B16" s="23">
        <v>40</v>
      </c>
      <c r="C16" s="11" t="s">
        <v>398</v>
      </c>
      <c r="D16" s="26">
        <f>'FUN-3 (Functional COS)'!I189/$Q16</f>
        <v>3.4146881177435889E-2</v>
      </c>
      <c r="E16" s="26">
        <f>'FUN-3 (Functional COS)'!J189/$Q16</f>
        <v>8.3272446998160207E-2</v>
      </c>
      <c r="F16" s="26">
        <f>'FUN-3 (Functional COS)'!K189/$Q16</f>
        <v>0.19902900430285106</v>
      </c>
      <c r="G16" s="26">
        <f>'FUN-3 (Functional COS)'!L189/$Q16</f>
        <v>0.25309227454137928</v>
      </c>
      <c r="H16" s="26">
        <f>'FUN-3 (Functional COS)'!M189/$Q16</f>
        <v>9.4047920527466466E-2</v>
      </c>
      <c r="I16" s="26">
        <f>'FUN-3 (Functional COS)'!N189/$Q16</f>
        <v>7.2313334341587822E-3</v>
      </c>
      <c r="J16" s="26">
        <f>'FUN-3 (Functional COS)'!O189/$Q16</f>
        <v>2.4008693073652402E-4</v>
      </c>
      <c r="K16" s="26">
        <f>'FUN-3 (Functional COS)'!P189/$Q16</f>
        <v>0.29874737120273803</v>
      </c>
      <c r="L16" s="26">
        <f>'FUN-3 (Functional COS)'!Q189/$Q16</f>
        <v>7.5802943714714252E-3</v>
      </c>
      <c r="M16" s="26">
        <f>'FUN-3 (Functional COS)'!R189/$Q16</f>
        <v>7.7371057500239381E-3</v>
      </c>
      <c r="N16" s="26">
        <f>'FUN-3 (Functional COS)'!S189/$Q16</f>
        <v>1.4875280763578613E-2</v>
      </c>
      <c r="O16" s="305">
        <f>SUM(D16:N16)</f>
        <v>1.0000000000000004</v>
      </c>
      <c r="Q16" s="2">
        <f>'FUN-3 (Functional COS)'!H189</f>
        <v>11168787.509999998</v>
      </c>
      <c r="R16" s="16"/>
      <c r="S16" s="11" t="s">
        <v>399</v>
      </c>
    </row>
    <row r="17" spans="1:19" x14ac:dyDescent="0.2">
      <c r="A17" s="12">
        <f t="shared" si="1"/>
        <v>12</v>
      </c>
      <c r="B17" s="23">
        <v>41</v>
      </c>
      <c r="C17" s="11" t="s">
        <v>400</v>
      </c>
      <c r="D17" s="26">
        <f>('FUN-3 (Functional COS)'!I189+'FUN-3 (Functional COS)'!I206)/'FUN-4 (Functional Allocators)'!$Q17</f>
        <v>3.3094847774926585E-2</v>
      </c>
      <c r="E17" s="26">
        <f>('FUN-3 (Functional COS)'!J189+'FUN-3 (Functional COS)'!J206)/'FUN-4 (Functional Allocators)'!$Q17</f>
        <v>8.9287120034570497E-2</v>
      </c>
      <c r="F17" s="26">
        <f>('FUN-3 (Functional COS)'!K189+'FUN-3 (Functional COS)'!K206)/'FUN-4 (Functional Allocators)'!$Q17</f>
        <v>0.21340464028806949</v>
      </c>
      <c r="G17" s="26">
        <f>('FUN-3 (Functional COS)'!L189+'FUN-3 (Functional COS)'!L206)/'FUN-4 (Functional Allocators)'!$Q17</f>
        <v>0.25955791974627113</v>
      </c>
      <c r="H17" s="26">
        <f>('FUN-3 (Functional COS)'!M189+'FUN-3 (Functional COS)'!M206)/'FUN-4 (Functional Allocators)'!$Q17</f>
        <v>9.9507574871665005E-2</v>
      </c>
      <c r="I17" s="26">
        <f>('FUN-3 (Functional COS)'!N189+'FUN-3 (Functional COS)'!N206)/'FUN-4 (Functional Allocators)'!$Q17</f>
        <v>8.7241686675512443E-3</v>
      </c>
      <c r="J17" s="26">
        <f>('FUN-3 (Functional COS)'!O189+'FUN-3 (Functional COS)'!O206)/'FUN-4 (Functional Allocators)'!$Q17</f>
        <v>3.3409319598800787E-4</v>
      </c>
      <c r="K17" s="26">
        <f>('FUN-3 (Functional COS)'!P189+'FUN-3 (Functional COS)'!P206)/'FUN-4 (Functional Allocators)'!$Q17</f>
        <v>0.26812305102185358</v>
      </c>
      <c r="L17" s="26">
        <f>('FUN-3 (Functional COS)'!Q189+'FUN-3 (Functional COS)'!Q206)/'FUN-4 (Functional Allocators)'!$Q17</f>
        <v>6.6150855926241587E-3</v>
      </c>
      <c r="M17" s="26">
        <f>('FUN-3 (Functional COS)'!R189+'FUN-3 (Functional COS)'!R206)/'FUN-4 (Functional Allocators)'!$Q17</f>
        <v>6.7519299736189444E-3</v>
      </c>
      <c r="N17" s="26">
        <f>('FUN-3 (Functional COS)'!S189+'FUN-3 (Functional COS)'!S206)/'FUN-4 (Functional Allocators)'!$Q17</f>
        <v>1.4599568832861525E-2</v>
      </c>
      <c r="O17" s="305">
        <f t="shared" si="0"/>
        <v>1</v>
      </c>
      <c r="Q17" s="2">
        <f>'FUN-3 (Functional COS)'!H189+'FUN-3 (Functional COS)'!H206</f>
        <v>12999417.509999998</v>
      </c>
      <c r="S17" s="11" t="s">
        <v>401</v>
      </c>
    </row>
    <row r="18" spans="1:19" x14ac:dyDescent="0.2">
      <c r="A18" s="12">
        <f t="shared" si="1"/>
        <v>13</v>
      </c>
      <c r="B18" s="23">
        <v>42</v>
      </c>
      <c r="C18" s="11" t="s">
        <v>402</v>
      </c>
      <c r="D18" s="26">
        <f>('FUN-3 (Functional COS)'!I188+'FUN-3 (Functional COS)'!I208)/'FUN-4 (Functional Allocators)'!$Q18</f>
        <v>1.7969822421441149E-2</v>
      </c>
      <c r="E18" s="26">
        <f>('FUN-3 (Functional COS)'!J188+'FUN-3 (Functional COS)'!J208)/'FUN-4 (Functional Allocators)'!$Q18</f>
        <v>5.7344770060950533E-2</v>
      </c>
      <c r="F18" s="26">
        <f>('FUN-3 (Functional COS)'!K188+'FUN-3 (Functional COS)'!K208)/'FUN-4 (Functional Allocators)'!$Q18</f>
        <v>0.13705941038887801</v>
      </c>
      <c r="G18" s="26">
        <f>('FUN-3 (Functional COS)'!L188+'FUN-3 (Functional COS)'!L208)/'FUN-4 (Functional Allocators)'!$Q18</f>
        <v>0.14996209644034145</v>
      </c>
      <c r="H18" s="26">
        <f>('FUN-3 (Functional COS)'!M188+'FUN-3 (Functional COS)'!M208)/'FUN-4 (Functional Allocators)'!$Q18</f>
        <v>5.8777470477909863E-2</v>
      </c>
      <c r="I18" s="26">
        <f>('FUN-3 (Functional COS)'!N188+'FUN-3 (Functional COS)'!N208)/'FUN-4 (Functional Allocators)'!$Q18</f>
        <v>6.6565416687719365E-3</v>
      </c>
      <c r="J18" s="26">
        <f>('FUN-3 (Functional COS)'!O188+'FUN-3 (Functional COS)'!O208)/'FUN-4 (Functional Allocators)'!$Q18</f>
        <v>3.2754618716256362E-4</v>
      </c>
      <c r="K18" s="26">
        <f>('FUN-3 (Functional COS)'!P188+'FUN-3 (Functional COS)'!P208)/'FUN-4 (Functional Allocators)'!$Q18</f>
        <v>0.11124181740524733</v>
      </c>
      <c r="L18" s="26">
        <f>('FUN-3 (Functional COS)'!Q188+'FUN-3 (Functional COS)'!Q208)/'FUN-4 (Functional Allocators)'!$Q18</f>
        <v>2.427413253916814E-3</v>
      </c>
      <c r="M18" s="26">
        <f>('FUN-3 (Functional COS)'!R188+'FUN-3 (Functional COS)'!R208)/'FUN-4 (Functional Allocators)'!$Q18</f>
        <v>2.477628456652991E-3</v>
      </c>
      <c r="N18" s="26">
        <f>('FUN-3 (Functional COS)'!S188+'FUN-3 (Functional COS)'!S208)/'FUN-4 (Functional Allocators)'!$Q18</f>
        <v>0.4557554832387275</v>
      </c>
      <c r="O18" s="305">
        <f t="shared" si="0"/>
        <v>1.0000000000000002</v>
      </c>
      <c r="Q18" s="2">
        <f>'FUN-3 (Functional COS)'!H188+'FUN-3 (Functional COS)'!H208</f>
        <v>42694462.393615961</v>
      </c>
      <c r="S18" s="11" t="s">
        <v>403</v>
      </c>
    </row>
    <row r="19" spans="1:19" x14ac:dyDescent="0.2">
      <c r="A19" s="12">
        <f t="shared" si="1"/>
        <v>14</v>
      </c>
      <c r="B19" s="23">
        <v>44</v>
      </c>
      <c r="C19" s="11" t="s">
        <v>404</v>
      </c>
      <c r="D19" s="26">
        <f>'FUN-3 (Functional COS)'!I43/$Q19</f>
        <v>0</v>
      </c>
      <c r="E19" s="26">
        <f>'FUN-3 (Functional COS)'!J43/$Q19</f>
        <v>0.15159930158247123</v>
      </c>
      <c r="F19" s="26">
        <f>'FUN-3 (Functional COS)'!K43/$Q19</f>
        <v>0.3623366327596152</v>
      </c>
      <c r="G19" s="26">
        <f>'FUN-3 (Functional COS)'!L43/$Q19</f>
        <v>0.33283872879608395</v>
      </c>
      <c r="H19" s="26">
        <f>'FUN-3 (Functional COS)'!M43/$Q19</f>
        <v>0.13082500383878798</v>
      </c>
      <c r="I19" s="26">
        <f>'FUN-3 (Functional COS)'!N43/$Q19</f>
        <v>2.1098321752555559E-2</v>
      </c>
      <c r="J19" s="26">
        <f>'FUN-3 (Functional COS)'!O43/$Q19</f>
        <v>1.30201127048609E-3</v>
      </c>
      <c r="K19" s="26">
        <f>'FUN-3 (Functional COS)'!P43/$Q19</f>
        <v>0</v>
      </c>
      <c r="L19" s="26">
        <f>'FUN-3 (Functional COS)'!Q43/$Q19</f>
        <v>0</v>
      </c>
      <c r="M19" s="26">
        <f>'FUN-3 (Functional COS)'!R43/$Q19</f>
        <v>0</v>
      </c>
      <c r="N19" s="26">
        <f>'FUN-3 (Functional COS)'!S43/$Q19</f>
        <v>0</v>
      </c>
      <c r="O19" s="305">
        <f t="shared" si="0"/>
        <v>0.99999999999999989</v>
      </c>
      <c r="Q19" s="2">
        <f>'FUN-3 (Functional COS)'!H43</f>
        <v>237286548.13</v>
      </c>
      <c r="S19" s="11" t="s">
        <v>405</v>
      </c>
    </row>
    <row r="20" spans="1:19" x14ac:dyDescent="0.2">
      <c r="A20" s="12">
        <f t="shared" si="1"/>
        <v>15</v>
      </c>
      <c r="B20" s="23">
        <v>44.1</v>
      </c>
      <c r="C20" s="11" t="s">
        <v>406</v>
      </c>
      <c r="D20" s="26">
        <f>('FUN-3 (Functional COS)'!I33+'FUN-3 (Functional COS)'!I37)/'FUN-4 (Functional Allocators)'!$Q20</f>
        <v>0</v>
      </c>
      <c r="E20" s="26">
        <f>('FUN-3 (Functional COS)'!J33+'FUN-3 (Functional COS)'!J37)/'FUN-4 (Functional Allocators)'!$Q20</f>
        <v>0.17436395374267696</v>
      </c>
      <c r="F20" s="26">
        <f>('FUN-3 (Functional COS)'!K33+'FUN-3 (Functional COS)'!K37)/'FUN-4 (Functional Allocators)'!$Q20</f>
        <v>0.41674629905471744</v>
      </c>
      <c r="G20" s="26">
        <f>('FUN-3 (Functional COS)'!L33+'FUN-3 (Functional COS)'!L37)/'FUN-4 (Functional Allocators)'!$Q20</f>
        <v>0.40888974720260557</v>
      </c>
      <c r="H20" s="26">
        <f>('FUN-3 (Functional COS)'!M33+'FUN-3 (Functional COS)'!M37)/'FUN-4 (Functional Allocators)'!$Q20</f>
        <v>0</v>
      </c>
      <c r="I20" s="26">
        <f>('FUN-3 (Functional COS)'!N33+'FUN-3 (Functional COS)'!N37)/'FUN-4 (Functional Allocators)'!$Q20</f>
        <v>0</v>
      </c>
      <c r="J20" s="26">
        <f>('FUN-3 (Functional COS)'!O33+'FUN-3 (Functional COS)'!O37)/'FUN-4 (Functional Allocators)'!$Q20</f>
        <v>0</v>
      </c>
      <c r="K20" s="26">
        <f>('FUN-3 (Functional COS)'!P33+'FUN-3 (Functional COS)'!P37)/'FUN-4 (Functional Allocators)'!$Q20</f>
        <v>0</v>
      </c>
      <c r="L20" s="26">
        <f>('FUN-3 (Functional COS)'!Q33+'FUN-3 (Functional COS)'!Q37)/'FUN-4 (Functional Allocators)'!$Q20</f>
        <v>0</v>
      </c>
      <c r="M20" s="26">
        <f>('FUN-3 (Functional COS)'!R33+'FUN-3 (Functional COS)'!R37)/'FUN-4 (Functional Allocators)'!$Q20</f>
        <v>0</v>
      </c>
      <c r="N20" s="26">
        <f>('FUN-3 (Functional COS)'!S33+'FUN-3 (Functional COS)'!S37)/'FUN-4 (Functional Allocators)'!$Q20</f>
        <v>0</v>
      </c>
      <c r="O20" s="305">
        <f t="shared" si="0"/>
        <v>1</v>
      </c>
      <c r="Q20" s="2">
        <f>'FUN-3 (Functional COS)'!H33+'FUN-3 (Functional COS)'!H37</f>
        <v>193152686.22</v>
      </c>
      <c r="S20" s="11" t="s">
        <v>407</v>
      </c>
    </row>
    <row r="21" spans="1:19" x14ac:dyDescent="0.2">
      <c r="A21" s="12">
        <f t="shared" si="1"/>
        <v>16</v>
      </c>
      <c r="B21" s="23">
        <v>44.2</v>
      </c>
      <c r="C21" s="11" t="s">
        <v>408</v>
      </c>
      <c r="D21" s="26">
        <f>('FUN-3 (Functional COS)'!I37+'FUN-3 (Functional COS)'!I38+'FUN-3 (Functional COS)'!I39)/'FUN-4 (Functional Allocators)'!$Q21</f>
        <v>0</v>
      </c>
      <c r="E21" s="26">
        <f>('FUN-3 (Functional COS)'!J37+'FUN-3 (Functional COS)'!J38+'FUN-3 (Functional COS)'!J39)/'FUN-4 (Functional Allocators)'!$Q21</f>
        <v>0</v>
      </c>
      <c r="F21" s="26">
        <f>('FUN-3 (Functional COS)'!K37+'FUN-3 (Functional COS)'!K38+'FUN-3 (Functional COS)'!K39)/'FUN-4 (Functional Allocators)'!$Q21</f>
        <v>0</v>
      </c>
      <c r="G21" s="26">
        <f>('FUN-3 (Functional COS)'!L37+'FUN-3 (Functional COS)'!L38+'FUN-3 (Functional COS)'!L39)/'FUN-4 (Functional Allocators)'!$Q21</f>
        <v>0.71784507902883432</v>
      </c>
      <c r="H21" s="26">
        <f>('FUN-3 (Functional COS)'!M37+'FUN-3 (Functional COS)'!M38+'FUN-3 (Functional COS)'!M39)/'FUN-4 (Functional Allocators)'!$Q21</f>
        <v>0.28215492097116568</v>
      </c>
      <c r="I21" s="26">
        <f>('FUN-3 (Functional COS)'!N37+'FUN-3 (Functional COS)'!N38+'FUN-3 (Functional COS)'!N39)/'FUN-4 (Functional Allocators)'!$Q21</f>
        <v>0</v>
      </c>
      <c r="J21" s="26">
        <f>('FUN-3 (Functional COS)'!O37+'FUN-3 (Functional COS)'!O38+'FUN-3 (Functional COS)'!O39)/'FUN-4 (Functional Allocators)'!$Q21</f>
        <v>0</v>
      </c>
      <c r="K21" s="26">
        <f>('FUN-3 (Functional COS)'!P37+'FUN-3 (Functional COS)'!P38+'FUN-3 (Functional COS)'!P39)/'FUN-4 (Functional Allocators)'!$Q21</f>
        <v>0</v>
      </c>
      <c r="L21" s="26">
        <f>('FUN-3 (Functional COS)'!Q37+'FUN-3 (Functional COS)'!Q38+'FUN-3 (Functional COS)'!Q39)/'FUN-4 (Functional Allocators)'!$Q21</f>
        <v>0</v>
      </c>
      <c r="M21" s="26">
        <f>('FUN-3 (Functional COS)'!R37+'FUN-3 (Functional COS)'!R38+'FUN-3 (Functional COS)'!R39)/'FUN-4 (Functional Allocators)'!$Q21</f>
        <v>0</v>
      </c>
      <c r="N21" s="26">
        <f>('FUN-3 (Functional COS)'!S37+'FUN-3 (Functional COS)'!S38+'FUN-3 (Functional COS)'!S39)/'FUN-4 (Functional Allocators)'!$Q21</f>
        <v>0</v>
      </c>
      <c r="O21" s="305">
        <f t="shared" si="0"/>
        <v>1</v>
      </c>
      <c r="Q21" s="2">
        <f>'FUN-3 (Functional COS)'!H37+'FUN-3 (Functional COS)'!H38+'FUN-3 (Functional COS)'!H39</f>
        <v>110021166.60999998</v>
      </c>
      <c r="S21" s="11" t="s">
        <v>409</v>
      </c>
    </row>
    <row r="22" spans="1:19" x14ac:dyDescent="0.2">
      <c r="A22" s="12">
        <f t="shared" si="1"/>
        <v>17</v>
      </c>
      <c r="B22" s="23">
        <v>44.3</v>
      </c>
      <c r="C22" s="11" t="s">
        <v>410</v>
      </c>
      <c r="D22" s="26">
        <f>('FUN-3 (Functional COS)'!I38+'FUN-3 (Functional COS)'!I39+'FUN-3 (Functional COS)'!I40+'FUN-3 (Functional COS)'!I41)/$Q22</f>
        <v>0</v>
      </c>
      <c r="E22" s="26">
        <f>('FUN-3 (Functional COS)'!J38+'FUN-3 (Functional COS)'!J39+'FUN-3 (Functional COS)'!J40+'FUN-3 (Functional COS)'!J41)/$Q22</f>
        <v>0</v>
      </c>
      <c r="F22" s="26">
        <f>('FUN-3 (Functional COS)'!K38+'FUN-3 (Functional COS)'!K39+'FUN-3 (Functional COS)'!K40+'FUN-3 (Functional COS)'!K41)/$Q22</f>
        <v>0</v>
      </c>
      <c r="G22" s="26">
        <f>('FUN-3 (Functional COS)'!L38+'FUN-3 (Functional COS)'!L39+'FUN-3 (Functional COS)'!L40+'FUN-3 (Functional COS)'!L41)/$Q22</f>
        <v>0</v>
      </c>
      <c r="H22" s="26">
        <f>('FUN-3 (Functional COS)'!M38+'FUN-3 (Functional COS)'!M39+'FUN-3 (Functional COS)'!M40+'FUN-3 (Functional COS)'!M41)/$Q22</f>
        <v>0.86112519805347321</v>
      </c>
      <c r="I22" s="26">
        <f>('FUN-3 (Functional COS)'!N38+'FUN-3 (Functional COS)'!N39+'FUN-3 (Functional COS)'!N40+'FUN-3 (Functional COS)'!N41)/$Q22</f>
        <v>0.13887480194652693</v>
      </c>
      <c r="J22" s="26">
        <f>('FUN-3 (Functional COS)'!O38+'FUN-3 (Functional COS)'!O39+'FUN-3 (Functional COS)'!O40+'FUN-3 (Functional COS)'!O41)/$Q22</f>
        <v>0</v>
      </c>
      <c r="K22" s="26">
        <f>('FUN-3 (Functional COS)'!P38+'FUN-3 (Functional COS)'!P39+'FUN-3 (Functional COS)'!P40+'FUN-3 (Functional COS)'!P41)/$Q22</f>
        <v>0</v>
      </c>
      <c r="L22" s="26">
        <f>('FUN-3 (Functional COS)'!Q38+'FUN-3 (Functional COS)'!Q39+'FUN-3 (Functional COS)'!Q40+'FUN-3 (Functional COS)'!Q41)/$Q22</f>
        <v>0</v>
      </c>
      <c r="M22" s="26">
        <f>('FUN-3 (Functional COS)'!R38+'FUN-3 (Functional COS)'!R39+'FUN-3 (Functional COS)'!R40+'FUN-3 (Functional COS)'!R41)/$Q22</f>
        <v>0</v>
      </c>
      <c r="N22" s="26">
        <f>('FUN-3 (Functional COS)'!S38+'FUN-3 (Functional COS)'!S39+'FUN-3 (Functional COS)'!S40+'FUN-3 (Functional COS)'!S41)/$Q22</f>
        <v>0</v>
      </c>
      <c r="O22" s="305">
        <f t="shared" si="0"/>
        <v>1.0000000000000002</v>
      </c>
      <c r="Q22" s="2">
        <f>'FUN-3 (Functional COS)'!H38+'FUN-3 (Functional COS)'!H39+'FUN-3 (Functional COS)'!H40+'FUN-3 (Functional COS)'!H41</f>
        <v>36049361.509999998</v>
      </c>
      <c r="S22" s="11" t="s">
        <v>411</v>
      </c>
    </row>
    <row r="23" spans="1:19" x14ac:dyDescent="0.2">
      <c r="A23" s="12">
        <f t="shared" si="1"/>
        <v>18</v>
      </c>
      <c r="B23" s="23">
        <v>44.4</v>
      </c>
      <c r="C23" s="11" t="s">
        <v>412</v>
      </c>
      <c r="D23" s="26">
        <f>('FUN-3 (Functional COS)'!I32+'FUN-3 (Functional COS)'!I34+'FUN-3 (Functional COS)'!I35+'FUN-3 (Functional COS)'!I36)/$Q23</f>
        <v>0</v>
      </c>
      <c r="E23" s="26">
        <f>('FUN-3 (Functional COS)'!J32+'FUN-3 (Functional COS)'!J34+'FUN-3 (Functional COS)'!J35+'FUN-3 (Functional COS)'!J36)/$Q23</f>
        <v>0.29497704179128992</v>
      </c>
      <c r="F23" s="26">
        <f>('FUN-3 (Functional COS)'!K32+'FUN-3 (Functional COS)'!K34+'FUN-3 (Functional COS)'!K35+'FUN-3 (Functional COS)'!K36)/$Q23</f>
        <v>0.70502295820870997</v>
      </c>
      <c r="G23" s="26">
        <f>('FUN-3 (Functional COS)'!L32+'FUN-3 (Functional COS)'!L34+'FUN-3 (Functional COS)'!L35+'FUN-3 (Functional COS)'!L36)/$Q23</f>
        <v>0</v>
      </c>
      <c r="H23" s="26">
        <f>('FUN-3 (Functional COS)'!M32+'FUN-3 (Functional COS)'!M34+'FUN-3 (Functional COS)'!M35+'FUN-3 (Functional COS)'!M36)/$Q23</f>
        <v>0</v>
      </c>
      <c r="I23" s="26">
        <f>('FUN-3 (Functional COS)'!N32+'FUN-3 (Functional COS)'!N34+'FUN-3 (Functional COS)'!N35+'FUN-3 (Functional COS)'!N36)/$Q23</f>
        <v>0</v>
      </c>
      <c r="J23" s="26">
        <f>('FUN-3 (Functional COS)'!O32+'FUN-3 (Functional COS)'!O34+'FUN-3 (Functional COS)'!O35+'FUN-3 (Functional COS)'!O36)/$Q23</f>
        <v>0</v>
      </c>
      <c r="K23" s="26">
        <f>('FUN-3 (Functional COS)'!P32+'FUN-3 (Functional COS)'!P34+'FUN-3 (Functional COS)'!P35+'FUN-3 (Functional COS)'!P36)/$Q23</f>
        <v>0</v>
      </c>
      <c r="L23" s="26">
        <f>('FUN-3 (Functional COS)'!Q32+'FUN-3 (Functional COS)'!Q34+'FUN-3 (Functional COS)'!Q35+'FUN-3 (Functional COS)'!Q36)/$Q23</f>
        <v>0</v>
      </c>
      <c r="M23" s="26">
        <f>('FUN-3 (Functional COS)'!R32+'FUN-3 (Functional COS)'!R34+'FUN-3 (Functional COS)'!R35+'FUN-3 (Functional COS)'!R36)/$Q23</f>
        <v>0</v>
      </c>
      <c r="N23" s="26">
        <f>('FUN-3 (Functional COS)'!S32+'FUN-3 (Functional COS)'!S34+'FUN-3 (Functional COS)'!S35+'FUN-3 (Functional COS)'!S36)/$Q23</f>
        <v>0</v>
      </c>
      <c r="O23" s="305">
        <f t="shared" si="0"/>
        <v>0.99999999999999989</v>
      </c>
      <c r="Q23" s="2">
        <f>'FUN-3 (Functional COS)'!H32+'FUN-3 (Functional COS)'!H34+'FUN-3 (Functional COS)'!H35+'FUN-3 (Functional COS)'!H36</f>
        <v>7408539.0099999998</v>
      </c>
      <c r="S23" s="11" t="s">
        <v>413</v>
      </c>
    </row>
    <row r="24" spans="1:19" x14ac:dyDescent="0.2">
      <c r="A24" s="12">
        <f t="shared" si="1"/>
        <v>19</v>
      </c>
      <c r="B24" s="23">
        <v>46</v>
      </c>
      <c r="C24" s="11" t="s">
        <v>414</v>
      </c>
      <c r="D24" s="26">
        <f>('FUN-3 (Functional COS)'!I53-'FUN-3 (Functional COS)'!I51)/$Q$24</f>
        <v>2.4976609188836693E-2</v>
      </c>
      <c r="E24" s="26">
        <f>('FUN-3 (Functional COS)'!J53-'FUN-3 (Functional COS)'!J51)/$Q$24</f>
        <v>0.14254094152806956</v>
      </c>
      <c r="F24" s="26">
        <f>('FUN-3 (Functional COS)'!K53-'FUN-3 (Functional COS)'!K51)/$Q$24</f>
        <v>0.34068629765796837</v>
      </c>
      <c r="G24" s="26">
        <f>('FUN-3 (Functional COS)'!L53-'FUN-3 (Functional COS)'!L51)/$Q$24</f>
        <v>0.31881694008150097</v>
      </c>
      <c r="H24" s="26">
        <f>('FUN-3 (Functional COS)'!M53-'FUN-3 (Functional COS)'!M51)/$Q$24</f>
        <v>0.12486014165542386</v>
      </c>
      <c r="I24" s="26">
        <f>('FUN-3 (Functional COS)'!N53-'FUN-3 (Functional COS)'!N51)/$Q$24</f>
        <v>1.9473853560255393E-2</v>
      </c>
      <c r="J24" s="26">
        <f>('FUN-3 (Functional COS)'!O53-'FUN-3 (Functional COS)'!O51)/$Q$24</f>
        <v>1.1845511707034542E-3</v>
      </c>
      <c r="K24" s="26">
        <f>('FUN-3 (Functional COS)'!P53-'FUN-3 (Functional COS)'!P51)/$Q$24</f>
        <v>2.4940111352005738E-2</v>
      </c>
      <c r="L24" s="26">
        <f>('FUN-3 (Functional COS)'!Q53-'FUN-3 (Functional COS)'!Q51)/$Q$24</f>
        <v>6.3282024857444833E-4</v>
      </c>
      <c r="M24" s="26">
        <f>('FUN-3 (Functional COS)'!R53-'FUN-3 (Functional COS)'!R51)/$Q$24</f>
        <v>6.4591121980748785E-4</v>
      </c>
      <c r="N24" s="26">
        <f>('FUN-3 (Functional COS)'!S53-'FUN-3 (Functional COS)'!S51)/$Q$24</f>
        <v>1.241822336854087E-3</v>
      </c>
      <c r="O24" s="305">
        <f t="shared" si="0"/>
        <v>1</v>
      </c>
      <c r="Q24" s="2">
        <f>('FUN-3 (Functional COS)'!$H$53-'FUN-3 (Functional COS)'!$H$51)</f>
        <v>265304932.03999999</v>
      </c>
      <c r="S24" s="11" t="s">
        <v>415</v>
      </c>
    </row>
    <row r="25" spans="1:19" x14ac:dyDescent="0.2">
      <c r="A25" s="12">
        <f t="shared" si="1"/>
        <v>20</v>
      </c>
      <c r="B25" s="23">
        <v>47</v>
      </c>
      <c r="C25" s="11" t="s">
        <v>416</v>
      </c>
      <c r="D25" s="26">
        <f>('FUN-3 (Functional COS)'!I53+'FUN-3 (Functional COS)'!I74)/$Q$25</f>
        <v>1.9121872019416262E-2</v>
      </c>
      <c r="E25" s="26">
        <f>('FUN-3 (Functional COS)'!J53+'FUN-3 (Functional COS)'!J74)/$Q$25</f>
        <v>0.14215813759039778</v>
      </c>
      <c r="F25" s="26">
        <f>('FUN-3 (Functional COS)'!K53+'FUN-3 (Functional COS)'!K74)/$Q$25</f>
        <v>0.33977136013295833</v>
      </c>
      <c r="G25" s="26">
        <f>('FUN-3 (Functional COS)'!L53+'FUN-3 (Functional COS)'!L74)/$Q$25</f>
        <v>0.31939001780269471</v>
      </c>
      <c r="H25" s="26">
        <f>('FUN-3 (Functional COS)'!M53+'FUN-3 (Functional COS)'!M74)/$Q$25</f>
        <v>0.12497611864065765</v>
      </c>
      <c r="I25" s="26">
        <f>('FUN-3 (Functional COS)'!N53+'FUN-3 (Functional COS)'!N74)/$Q$25</f>
        <v>1.9332912694496385E-2</v>
      </c>
      <c r="J25" s="26">
        <f>('FUN-3 (Functional COS)'!O53+'FUN-3 (Functional COS)'!O74)/$Q$25</f>
        <v>1.1717060051927176E-3</v>
      </c>
      <c r="K25" s="26">
        <f>('FUN-3 (Functional COS)'!P53+'FUN-3 (Functional COS)'!P74)/$Q$25</f>
        <v>3.0949942221753509E-2</v>
      </c>
      <c r="L25" s="26">
        <f>('FUN-3 (Functional COS)'!Q53+'FUN-3 (Functional COS)'!Q74)/$Q$25</f>
        <v>7.8531125437656659E-4</v>
      </c>
      <c r="M25" s="26">
        <f>('FUN-3 (Functional COS)'!R53+'FUN-3 (Functional COS)'!R74)/$Q$25</f>
        <v>8.0155676337092076E-4</v>
      </c>
      <c r="N25" s="26">
        <f>('FUN-3 (Functional COS)'!S53+'FUN-3 (Functional COS)'!S74)/$Q$25</f>
        <v>1.5410648746853307E-3</v>
      </c>
      <c r="O25" s="305">
        <f t="shared" si="0"/>
        <v>1</v>
      </c>
      <c r="Q25" s="2">
        <f>'FUN-3 (Functional COS)'!H53+'FUN-3 (Functional COS)'!H74</f>
        <v>182348093.45999998</v>
      </c>
      <c r="S25" s="11" t="s">
        <v>417</v>
      </c>
    </row>
    <row r="26" spans="1:19" x14ac:dyDescent="0.2">
      <c r="A26" s="12">
        <f t="shared" si="1"/>
        <v>21</v>
      </c>
      <c r="B26" s="23">
        <v>58.1</v>
      </c>
      <c r="C26" s="11" t="s">
        <v>418</v>
      </c>
      <c r="D26" s="26">
        <f>'FUN-5 (Payroll)'!F82</f>
        <v>3.0614550788840636E-2</v>
      </c>
      <c r="E26" s="26">
        <f>'FUN-5 (Payroll)'!G82</f>
        <v>8.7617250456038756E-2</v>
      </c>
      <c r="F26" s="26">
        <f>'FUN-5 (Payroll)'!H82</f>
        <v>0.20941349445878776</v>
      </c>
      <c r="G26" s="26">
        <f>'FUN-5 (Payroll)'!I82</f>
        <v>0.25310000744452382</v>
      </c>
      <c r="H26" s="26">
        <f>'FUN-5 (Payroll)'!J82</f>
        <v>0.15125689021739416</v>
      </c>
      <c r="I26" s="26">
        <f>'FUN-5 (Payroll)'!K82</f>
        <v>1.4028149673692954E-2</v>
      </c>
      <c r="J26" s="26">
        <f>'FUN-5 (Payroll)'!L82</f>
        <v>2.6598840381674864E-4</v>
      </c>
      <c r="K26" s="26">
        <f>'FUN-5 (Payroll)'!M82</f>
        <v>0.21182727782898814</v>
      </c>
      <c r="L26" s="26">
        <f>'FUN-5 (Payroll)'!N82</f>
        <v>9.4257973610266084E-4</v>
      </c>
      <c r="M26" s="26">
        <f>'FUN-5 (Payroll)'!O82</f>
        <v>9.6207861313442875E-4</v>
      </c>
      <c r="N26" s="26">
        <f>'FUN-5 (Payroll)'!P82</f>
        <v>3.9971732378679958E-2</v>
      </c>
      <c r="O26" s="308">
        <f t="shared" si="0"/>
        <v>1.0000000000000002</v>
      </c>
      <c r="Q26" s="2">
        <f>'FUN-5 (Payroll)'!E81</f>
        <v>7234464.4199999999</v>
      </c>
      <c r="S26" s="11" t="s">
        <v>419</v>
      </c>
    </row>
    <row r="27" spans="1:19" x14ac:dyDescent="0.2">
      <c r="A27" s="12">
        <f t="shared" si="1"/>
        <v>22</v>
      </c>
      <c r="B27" s="23">
        <v>58.2</v>
      </c>
      <c r="C27" s="11" t="s">
        <v>420</v>
      </c>
      <c r="D27" s="26">
        <f>'FUN-5 (Payroll)'!F84</f>
        <v>3.0616394910556399E-2</v>
      </c>
      <c r="E27" s="26">
        <f>'FUN-5 (Payroll)'!G84</f>
        <v>8.7608498794534986E-2</v>
      </c>
      <c r="F27" s="26">
        <f>'FUN-5 (Payroll)'!H84</f>
        <v>0.20939257716215631</v>
      </c>
      <c r="G27" s="26">
        <f>'FUN-5 (Payroll)'!I84</f>
        <v>0.25308937051208252</v>
      </c>
      <c r="H27" s="26">
        <f>'FUN-5 (Payroll)'!J84</f>
        <v>0.15126110724482039</v>
      </c>
      <c r="I27" s="26">
        <f>'FUN-5 (Payroll)'!K84</f>
        <v>1.4027298468427419E-2</v>
      </c>
      <c r="J27" s="26">
        <f>'FUN-5 (Payroll)'!L84</f>
        <v>2.6584307185972144E-4</v>
      </c>
      <c r="K27" s="26">
        <f>'FUN-5 (Payroll)'!M84</f>
        <v>0.21185630150825163</v>
      </c>
      <c r="L27" s="26">
        <f>'FUN-5 (Payroll)'!N84</f>
        <v>9.4260497149191804E-4</v>
      </c>
      <c r="M27" s="26">
        <f>'FUN-5 (Payroll)'!O84</f>
        <v>9.6210437056095559E-4</v>
      </c>
      <c r="N27" s="26">
        <f>'FUN-5 (Payroll)'!P84</f>
        <v>3.9977898985257686E-2</v>
      </c>
      <c r="O27" s="308">
        <f t="shared" si="0"/>
        <v>1</v>
      </c>
      <c r="Q27" s="2">
        <f>'FUN-5 (Payroll)'!E81-'FUN-5 (Payroll)'!E69</f>
        <v>7219311.7199999997</v>
      </c>
      <c r="S27" s="11" t="s">
        <v>421</v>
      </c>
    </row>
    <row r="28" spans="1:19" x14ac:dyDescent="0.2">
      <c r="A28" s="12">
        <f t="shared" si="1"/>
        <v>23</v>
      </c>
      <c r="B28" s="23">
        <v>59</v>
      </c>
      <c r="C28" s="11" t="s">
        <v>422</v>
      </c>
      <c r="D28" s="310">
        <f>(SUM('FUN-3 (Functional COS)'!I130:I138)+SUM('FUN-3 (Functional COS)'!I141:I148))/(SUM('FUN-3 (Functional COS)'!$H130:$H138)+SUM('FUN-3 (Functional COS)'!$H141:$H148))</f>
        <v>0</v>
      </c>
      <c r="E28" s="310">
        <f>(SUM('FUN-3 (Functional COS)'!J130:J138)+SUM('FUN-3 (Functional COS)'!J141:J148))/(SUM('FUN-3 (Functional COS)'!$H130:$H138)+SUM('FUN-3 (Functional COS)'!$H141:$H148))</f>
        <v>0.1368479763034918</v>
      </c>
      <c r="F28" s="310">
        <f>(SUM('FUN-3 (Functional COS)'!K130:K138)+SUM('FUN-3 (Functional COS)'!K141:K148))/(SUM('FUN-3 (Functional COS)'!$H130:$H138)+SUM('FUN-3 (Functional COS)'!$H141:$H148))</f>
        <v>0.3270795736931556</v>
      </c>
      <c r="G28" s="310">
        <f>(SUM('FUN-3 (Functional COS)'!L130:L138)+SUM('FUN-3 (Functional COS)'!L141:L148))/(SUM('FUN-3 (Functional COS)'!$H130:$H138)+SUM('FUN-3 (Functional COS)'!$H141:$H148))</f>
        <v>0.41591627889823046</v>
      </c>
      <c r="H28" s="310">
        <f>(SUM('FUN-3 (Functional COS)'!M130:M138)+SUM('FUN-3 (Functional COS)'!M141:M148))/(SUM('FUN-3 (Functional COS)'!$H130:$H138)+SUM('FUN-3 (Functional COS)'!$H141:$H148))</f>
        <v>0.10787715481777009</v>
      </c>
      <c r="I28" s="310">
        <f>(SUM('FUN-3 (Functional COS)'!N130:N138)+SUM('FUN-3 (Functional COS)'!N141:N148))/(SUM('FUN-3 (Functional COS)'!$H130:$H138)+SUM('FUN-3 (Functional COS)'!$H141:$H148))</f>
        <v>1.1884398185233708E-2</v>
      </c>
      <c r="J28" s="310">
        <f>(SUM('FUN-3 (Functional COS)'!O130:O138)+SUM('FUN-3 (Functional COS)'!O141:O148))/(SUM('FUN-3 (Functional COS)'!$H130:$H138)+SUM('FUN-3 (Functional COS)'!$H141:$H148))</f>
        <v>3.9461810211836374E-4</v>
      </c>
      <c r="K28" s="310">
        <f>(SUM('FUN-3 (Functional COS)'!P130:P138)+SUM('FUN-3 (Functional COS)'!P141:P148))/(SUM('FUN-3 (Functional COS)'!$H130:$H138)+SUM('FUN-3 (Functional COS)'!$H141:$H148))</f>
        <v>0</v>
      </c>
      <c r="L28" s="310">
        <f>(SUM('FUN-3 (Functional COS)'!Q130:Q138)+SUM('FUN-3 (Functional COS)'!Q141:Q148))/(SUM('FUN-3 (Functional COS)'!$H130:$H138)+SUM('FUN-3 (Functional COS)'!$H141:$H148))</f>
        <v>0</v>
      </c>
      <c r="M28" s="310">
        <f>(SUM('FUN-3 (Functional COS)'!R130:R138)+SUM('FUN-3 (Functional COS)'!R141:R148))/(SUM('FUN-3 (Functional COS)'!$H130:$H138)+SUM('FUN-3 (Functional COS)'!$H141:$H148))</f>
        <v>0</v>
      </c>
      <c r="N28" s="310">
        <f>(SUM('FUN-3 (Functional COS)'!S130:S138)+SUM('FUN-3 (Functional COS)'!S141:S148))/(SUM('FUN-3 (Functional COS)'!$H130:$H138)+SUM('FUN-3 (Functional COS)'!$H141:$H148))</f>
        <v>0</v>
      </c>
      <c r="O28" s="308">
        <f t="shared" si="0"/>
        <v>1</v>
      </c>
      <c r="P28" s="309"/>
      <c r="Q28" s="74">
        <f>SUM('FUN-3 (Functional COS)'!$H130:$H138)+SUM('FUN-3 (Functional COS)'!$H141:$H148)</f>
        <v>5761882.6699999999</v>
      </c>
      <c r="S28" s="11" t="s">
        <v>423</v>
      </c>
    </row>
    <row r="29" spans="1:19" x14ac:dyDescent="0.2">
      <c r="A29" s="12">
        <f t="shared" si="1"/>
        <v>24</v>
      </c>
      <c r="B29" s="23">
        <v>59.1</v>
      </c>
      <c r="C29" s="11" t="s">
        <v>424</v>
      </c>
      <c r="D29" s="26">
        <f>SUM('FUN-3 (Functional COS)'!I153:I157)/SUM('FUN-3 (Functional COS)'!$H153:$H157)</f>
        <v>0</v>
      </c>
      <c r="E29" s="26">
        <f>SUM('FUN-3 (Functional COS)'!J153:J157)/SUM('FUN-3 (Functional COS)'!$H153:$H157)</f>
        <v>0</v>
      </c>
      <c r="F29" s="26">
        <f>SUM('FUN-3 (Functional COS)'!K153:K157)/SUM('FUN-3 (Functional COS)'!$H153:$H157)</f>
        <v>0</v>
      </c>
      <c r="G29" s="26">
        <f>SUM('FUN-3 (Functional COS)'!L153:L157)/SUM('FUN-3 (Functional COS)'!$H153:$H157)</f>
        <v>0</v>
      </c>
      <c r="H29" s="26">
        <f>SUM('FUN-3 (Functional COS)'!M153:M157)/SUM('FUN-3 (Functional COS)'!$H153:$H157)</f>
        <v>0.10131634987760957</v>
      </c>
      <c r="I29" s="26">
        <f>SUM('FUN-3 (Functional COS)'!N153:N157)/SUM('FUN-3 (Functional COS)'!$H153:$H157)</f>
        <v>0</v>
      </c>
      <c r="J29" s="26">
        <f>SUM('FUN-3 (Functional COS)'!O153:O157)/SUM('FUN-3 (Functional COS)'!$H153:$H157)</f>
        <v>0</v>
      </c>
      <c r="K29" s="26">
        <f>SUM('FUN-3 (Functional COS)'!P153:P157)/SUM('FUN-3 (Functional COS)'!$H153:$H157)</f>
        <v>0.84404847009903572</v>
      </c>
      <c r="L29" s="26">
        <f>SUM('FUN-3 (Functional COS)'!Q153:Q157)/SUM('FUN-3 (Functional COS)'!$H153:$H157)</f>
        <v>2.7037927084908611E-2</v>
      </c>
      <c r="M29" s="26">
        <f>SUM('FUN-3 (Functional COS)'!R153:R157)/SUM('FUN-3 (Functional COS)'!$H153:$H157)</f>
        <v>2.7597252938445855E-2</v>
      </c>
      <c r="N29" s="26">
        <f>SUM('FUN-3 (Functional COS)'!S153:S157)/SUM('FUN-3 (Functional COS)'!$H153:$H157)</f>
        <v>0</v>
      </c>
      <c r="O29" s="308">
        <f t="shared" si="0"/>
        <v>0.99999999999999978</v>
      </c>
      <c r="Q29" s="2">
        <f>SUM('FUN-3 (Functional COS)'!$H153:$H157)</f>
        <v>3003707.5000000005</v>
      </c>
      <c r="S29" s="11" t="s">
        <v>425</v>
      </c>
    </row>
    <row r="30" spans="1:19" x14ac:dyDescent="0.2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73"/>
    </row>
    <row r="31" spans="1:19" x14ac:dyDescent="0.2">
      <c r="A31" s="11" t="s">
        <v>83</v>
      </c>
      <c r="B31" s="12"/>
      <c r="D31" s="11"/>
      <c r="O31" s="309"/>
    </row>
    <row r="32" spans="1:19" x14ac:dyDescent="0.2">
      <c r="A32" s="11" t="s">
        <v>426</v>
      </c>
      <c r="D32" s="26"/>
      <c r="E32" s="9"/>
      <c r="F32" s="9"/>
      <c r="G32" s="9"/>
      <c r="H32" s="9"/>
      <c r="I32" s="9"/>
      <c r="J32" s="9"/>
      <c r="K32" s="9"/>
      <c r="L32" s="9"/>
      <c r="M32" s="9"/>
      <c r="N32" s="9"/>
      <c r="O32" s="73"/>
      <c r="Q32" s="2"/>
    </row>
    <row r="33" spans="1:15" x14ac:dyDescent="0.2">
      <c r="A33" s="11" t="s">
        <v>427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308"/>
    </row>
    <row r="34" spans="1:15" x14ac:dyDescent="0.2">
      <c r="A34" s="11" t="s">
        <v>428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308"/>
    </row>
    <row r="35" spans="1:15" x14ac:dyDescent="0.2">
      <c r="D35" s="26"/>
      <c r="E35" s="26"/>
    </row>
  </sheetData>
  <printOptions verticalCentered="1"/>
  <pageMargins left="0.7" right="0.7" top="1.2476041666666666" bottom="0.75" header="0.3" footer="0.3"/>
  <pageSetup scale="59" fitToWidth="2" orientation="landscape" useFirstPageNumber="1" r:id="rId1"/>
  <headerFooter alignWithMargins="0">
    <oddHeader>&amp;CRULE 20:10:13:98
STATEMENT O WORKPAPER - Tab &amp;A
Functional Cost of Service Allocators
Test Year Ending December 31, 2021
Utility: MidAmerican Energy Company
Docket No. NG22-___
Individual Responsible: Amanda Hosch</oddHeader>
    <oddFooter>&amp;C20:10:13:98
Statement O Workpaper - Tab &amp;A
&amp;P of &amp;N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S98"/>
  <sheetViews>
    <sheetView view="pageLayout" zoomScale="55" zoomScaleNormal="100" zoomScalePageLayoutView="55" workbookViewId="0">
      <selection activeCell="A4" sqref="A4"/>
    </sheetView>
  </sheetViews>
  <sheetFormatPr defaultColWidth="9.140625" defaultRowHeight="12.75" x14ac:dyDescent="0.2"/>
  <cols>
    <col min="1" max="1" width="6.85546875" style="11" customWidth="1"/>
    <col min="2" max="2" width="6.140625" style="11" bestFit="1" customWidth="1"/>
    <col min="3" max="3" width="9.5703125" style="11" customWidth="1"/>
    <col min="4" max="4" width="39.5703125" style="11" customWidth="1"/>
    <col min="5" max="5" width="16.5703125" style="11" customWidth="1"/>
    <col min="6" max="6" width="16.7109375" style="11" customWidth="1"/>
    <col min="7" max="7" width="16.28515625" style="11" customWidth="1"/>
    <col min="8" max="8" width="15.140625" style="11" customWidth="1"/>
    <col min="9" max="9" width="17.5703125" style="11" customWidth="1"/>
    <col min="10" max="10" width="17" style="11" customWidth="1"/>
    <col min="11" max="16" width="15.140625" style="11" customWidth="1"/>
    <col min="17" max="17" width="14.5703125" style="11" bestFit="1" customWidth="1"/>
    <col min="18" max="18" width="10.28515625" style="11" bestFit="1" customWidth="1"/>
    <col min="19" max="16384" width="9.140625" style="11"/>
  </cols>
  <sheetData>
    <row r="1" spans="1:18" ht="18" x14ac:dyDescent="0.25">
      <c r="A1" s="112" t="s">
        <v>429</v>
      </c>
      <c r="N1" s="88" t="s">
        <v>2</v>
      </c>
      <c r="O1" s="88" t="s">
        <v>3</v>
      </c>
    </row>
    <row r="2" spans="1:18" x14ac:dyDescent="0.2">
      <c r="A2" s="11" t="s">
        <v>10</v>
      </c>
      <c r="F2" s="146"/>
      <c r="G2" s="146" t="s">
        <v>5</v>
      </c>
      <c r="H2" s="146" t="s">
        <v>5</v>
      </c>
      <c r="I2" s="146"/>
      <c r="J2" s="146"/>
      <c r="K2" s="146"/>
      <c r="L2" s="146" t="s">
        <v>6</v>
      </c>
      <c r="M2" s="146" t="s">
        <v>7</v>
      </c>
      <c r="N2" s="146" t="s">
        <v>8</v>
      </c>
      <c r="O2" s="146" t="s">
        <v>8</v>
      </c>
      <c r="P2" s="146" t="s">
        <v>9</v>
      </c>
    </row>
    <row r="3" spans="1:18" x14ac:dyDescent="0.2">
      <c r="A3" s="24" t="s">
        <v>1098</v>
      </c>
      <c r="B3" s="28" t="s">
        <v>348</v>
      </c>
      <c r="C3" s="296" t="s">
        <v>133</v>
      </c>
      <c r="D3" s="297" t="s">
        <v>11</v>
      </c>
      <c r="E3" s="35" t="s">
        <v>387</v>
      </c>
      <c r="F3" s="148" t="s">
        <v>13</v>
      </c>
      <c r="G3" s="148" t="s">
        <v>14</v>
      </c>
      <c r="H3" s="148" t="s">
        <v>15</v>
      </c>
      <c r="I3" s="148" t="s">
        <v>16</v>
      </c>
      <c r="J3" s="148" t="s">
        <v>17</v>
      </c>
      <c r="K3" s="148" t="s">
        <v>18</v>
      </c>
      <c r="L3" s="148" t="s">
        <v>17</v>
      </c>
      <c r="M3" s="148" t="s">
        <v>19</v>
      </c>
      <c r="N3" s="148" t="s">
        <v>20</v>
      </c>
      <c r="O3" s="148" t="s">
        <v>20</v>
      </c>
      <c r="P3" s="148" t="s">
        <v>21</v>
      </c>
      <c r="Q3" s="29"/>
    </row>
    <row r="4" spans="1:18" x14ac:dyDescent="0.2">
      <c r="B4" s="23" t="s">
        <v>24</v>
      </c>
      <c r="C4" s="23" t="s">
        <v>25</v>
      </c>
      <c r="D4" s="23" t="s">
        <v>26</v>
      </c>
      <c r="E4" s="23" t="s">
        <v>27</v>
      </c>
      <c r="F4" s="23" t="s">
        <v>28</v>
      </c>
      <c r="G4" s="23" t="s">
        <v>29</v>
      </c>
      <c r="H4" s="23" t="s">
        <v>30</v>
      </c>
      <c r="I4" s="23" t="s">
        <v>31</v>
      </c>
      <c r="J4" s="23" t="s">
        <v>32</v>
      </c>
      <c r="K4" s="23" t="s">
        <v>33</v>
      </c>
      <c r="L4" s="23" t="s">
        <v>34</v>
      </c>
      <c r="M4" s="23" t="s">
        <v>35</v>
      </c>
      <c r="N4" s="23" t="s">
        <v>36</v>
      </c>
      <c r="O4" s="23" t="s">
        <v>37</v>
      </c>
      <c r="P4" s="23" t="s">
        <v>38</v>
      </c>
      <c r="Q4" s="29"/>
    </row>
    <row r="5" spans="1:18" x14ac:dyDescent="0.2">
      <c r="B5" s="23"/>
      <c r="C5" s="298"/>
      <c r="D5" s="47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9"/>
    </row>
    <row r="6" spans="1:18" x14ac:dyDescent="0.2">
      <c r="C6" s="113"/>
      <c r="D6" s="11" t="s">
        <v>227</v>
      </c>
      <c r="E6" s="90"/>
      <c r="F6" s="16"/>
      <c r="G6" s="16"/>
      <c r="H6" s="16"/>
      <c r="I6" s="16"/>
    </row>
    <row r="7" spans="1:18" x14ac:dyDescent="0.2">
      <c r="A7" s="12">
        <v>1</v>
      </c>
      <c r="B7" s="23">
        <v>1.1000000000000001</v>
      </c>
      <c r="C7" s="48" t="s">
        <v>430</v>
      </c>
      <c r="D7" s="50" t="s">
        <v>230</v>
      </c>
      <c r="E7" s="118">
        <v>0</v>
      </c>
      <c r="F7" s="74">
        <f>INDEX(AlocTable,MATCH($B7,AlocList),3)*$E7</f>
        <v>0</v>
      </c>
      <c r="G7" s="74">
        <f>INDEX(AlocTable,MATCH($B7,AlocList),4)*$E7</f>
        <v>0</v>
      </c>
      <c r="H7" s="74">
        <f>INDEX(AlocTable,MATCH($B7,AlocList),5)*$E7</f>
        <v>0</v>
      </c>
      <c r="I7" s="74">
        <f>INDEX(AlocTable,MATCH($B7,AlocList),6)*$E7</f>
        <v>0</v>
      </c>
      <c r="J7" s="74">
        <f>INDEX(AlocTable,MATCH($B7,AlocList),7)*$E7</f>
        <v>0</v>
      </c>
      <c r="K7" s="74">
        <f>INDEX(AlocTable,MATCH($B7,AlocList),8)*$E7</f>
        <v>0</v>
      </c>
      <c r="L7" s="74">
        <f>INDEX(AlocTable,MATCH($B7,AlocList),9)*$E7</f>
        <v>0</v>
      </c>
      <c r="M7" s="74">
        <f t="shared" ref="M7:M8" si="0">INDEX(AlocTable,MATCH($B7,AlocList),10)*$E7</f>
        <v>0</v>
      </c>
      <c r="N7" s="74">
        <f>INDEX(AlocTable,MATCH($B7,AlocList),11)*$E7</f>
        <v>0</v>
      </c>
      <c r="O7" s="74">
        <f>INDEX(AlocTable,MATCH($B7,AlocList),12)*$E7</f>
        <v>0</v>
      </c>
      <c r="P7" s="74">
        <f>INDEX(AlocTable,MATCH($B7,AlocList),13)*$E7</f>
        <v>0</v>
      </c>
      <c r="Q7" s="158"/>
      <c r="R7" s="158"/>
    </row>
    <row r="8" spans="1:18" x14ac:dyDescent="0.2">
      <c r="A8" s="111">
        <f>+A7+1</f>
        <v>2</v>
      </c>
      <c r="B8" s="28">
        <v>1.1000000000000001</v>
      </c>
      <c r="C8" s="49" t="s">
        <v>431</v>
      </c>
      <c r="D8" s="51" t="s">
        <v>234</v>
      </c>
      <c r="E8" s="109">
        <v>0</v>
      </c>
      <c r="F8" s="89">
        <f>INDEX(AlocTable,MATCH($B8,AlocList),3)*$E8</f>
        <v>0</v>
      </c>
      <c r="G8" s="89">
        <f>INDEX(AlocTable,MATCH($B8,AlocList),4)*$E8</f>
        <v>0</v>
      </c>
      <c r="H8" s="89">
        <f>INDEX(AlocTable,MATCH($B8,AlocList),5)*$E8</f>
        <v>0</v>
      </c>
      <c r="I8" s="89">
        <f>INDEX(AlocTable,MATCH($B8,AlocList),6)*$E8</f>
        <v>0</v>
      </c>
      <c r="J8" s="89">
        <f>INDEX(AlocTable,MATCH($B8,AlocList),7)*$E8</f>
        <v>0</v>
      </c>
      <c r="K8" s="89">
        <f>INDEX(AlocTable,MATCH($B8,AlocList),8)*$E8</f>
        <v>0</v>
      </c>
      <c r="L8" s="89">
        <f>INDEX(AlocTable,MATCH($B8,AlocList),9)*$E8</f>
        <v>0</v>
      </c>
      <c r="M8" s="89">
        <f t="shared" si="0"/>
        <v>0</v>
      </c>
      <c r="N8" s="89">
        <f>INDEX(AlocTable,MATCH($B8,AlocList),11)*$E8</f>
        <v>0</v>
      </c>
      <c r="O8" s="89">
        <f>INDEX(AlocTable,MATCH($B8,AlocList),12)*$E8</f>
        <v>0</v>
      </c>
      <c r="P8" s="89">
        <f>INDEX(AlocTable,MATCH($B8,AlocList),13)*$E8</f>
        <v>0</v>
      </c>
      <c r="Q8" s="158"/>
      <c r="R8" s="158"/>
    </row>
    <row r="9" spans="1:18" x14ac:dyDescent="0.2">
      <c r="A9" s="12">
        <f>+A8+1</f>
        <v>3</v>
      </c>
      <c r="B9" s="23"/>
      <c r="C9" s="48"/>
      <c r="D9" s="50" t="s">
        <v>432</v>
      </c>
      <c r="E9" s="90">
        <f t="shared" ref="E9:P9" si="1">SUM(E7:E8)</f>
        <v>0</v>
      </c>
      <c r="F9" s="74">
        <f t="shared" si="1"/>
        <v>0</v>
      </c>
      <c r="G9" s="74">
        <f t="shared" si="1"/>
        <v>0</v>
      </c>
      <c r="H9" s="74">
        <f t="shared" si="1"/>
        <v>0</v>
      </c>
      <c r="I9" s="74">
        <f t="shared" si="1"/>
        <v>0</v>
      </c>
      <c r="J9" s="74">
        <f t="shared" si="1"/>
        <v>0</v>
      </c>
      <c r="K9" s="74">
        <f t="shared" si="1"/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74">
        <f t="shared" si="1"/>
        <v>0</v>
      </c>
      <c r="Q9" s="158"/>
      <c r="R9" s="158"/>
    </row>
    <row r="10" spans="1:18" x14ac:dyDescent="0.2">
      <c r="A10" s="12"/>
      <c r="B10" s="23"/>
      <c r="C10" s="48"/>
      <c r="D10" s="50"/>
      <c r="E10" s="90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158"/>
      <c r="R10" s="158"/>
    </row>
    <row r="11" spans="1:18" x14ac:dyDescent="0.2">
      <c r="A11" s="111">
        <f>+A9+1</f>
        <v>4</v>
      </c>
      <c r="B11" s="28">
        <v>1.1000000000000001</v>
      </c>
      <c r="C11" s="49" t="s">
        <v>433</v>
      </c>
      <c r="D11" s="51" t="s">
        <v>237</v>
      </c>
      <c r="E11" s="109">
        <v>0</v>
      </c>
      <c r="F11" s="89">
        <f>INDEX(AlocTable,MATCH($B11,AlocList),3)*$E11</f>
        <v>0</v>
      </c>
      <c r="G11" s="89">
        <f>INDEX(AlocTable,MATCH($B11,AlocList),4)*$E11</f>
        <v>0</v>
      </c>
      <c r="H11" s="89">
        <f>INDEX(AlocTable,MATCH($B11,AlocList),5)*$E11</f>
        <v>0</v>
      </c>
      <c r="I11" s="89">
        <f>INDEX(AlocTable,MATCH($B11,AlocList),6)*$E11</f>
        <v>0</v>
      </c>
      <c r="J11" s="89">
        <f>INDEX(AlocTable,MATCH($B11,AlocList),7)*$E11</f>
        <v>0</v>
      </c>
      <c r="K11" s="89">
        <f>INDEX(AlocTable,MATCH($B11,AlocList),8)*$E11</f>
        <v>0</v>
      </c>
      <c r="L11" s="89">
        <f>INDEX(AlocTable,MATCH($B11,AlocList),9)*$E11</f>
        <v>0</v>
      </c>
      <c r="M11" s="89">
        <f t="shared" ref="M11" si="2">INDEX(AlocTable,MATCH($B11,AlocList),10)*$E11</f>
        <v>0</v>
      </c>
      <c r="N11" s="89">
        <f>INDEX(AlocTable,MATCH($B11,AlocList),11)*$E11</f>
        <v>0</v>
      </c>
      <c r="O11" s="89">
        <f>INDEX(AlocTable,MATCH($B11,AlocList),12)*$E11</f>
        <v>0</v>
      </c>
      <c r="P11" s="89">
        <f>INDEX(AlocTable,MATCH($B11,AlocList),13)*$E11</f>
        <v>0</v>
      </c>
      <c r="Q11" s="158"/>
      <c r="R11" s="158"/>
    </row>
    <row r="12" spans="1:18" x14ac:dyDescent="0.2">
      <c r="A12" s="12">
        <f>+A11+1</f>
        <v>5</v>
      </c>
      <c r="B12" s="23"/>
      <c r="C12" s="48"/>
      <c r="D12" s="50" t="s">
        <v>434</v>
      </c>
      <c r="E12" s="90">
        <f t="shared" ref="E12:P12" si="3">SUM(E11:E11)</f>
        <v>0</v>
      </c>
      <c r="F12" s="74">
        <f t="shared" si="3"/>
        <v>0</v>
      </c>
      <c r="G12" s="74">
        <f t="shared" si="3"/>
        <v>0</v>
      </c>
      <c r="H12" s="74">
        <f t="shared" si="3"/>
        <v>0</v>
      </c>
      <c r="I12" s="74">
        <f t="shared" si="3"/>
        <v>0</v>
      </c>
      <c r="J12" s="74">
        <f t="shared" si="3"/>
        <v>0</v>
      </c>
      <c r="K12" s="74">
        <f t="shared" si="3"/>
        <v>0</v>
      </c>
      <c r="L12" s="74">
        <f t="shared" si="3"/>
        <v>0</v>
      </c>
      <c r="M12" s="74">
        <f t="shared" si="3"/>
        <v>0</v>
      </c>
      <c r="N12" s="74">
        <f t="shared" si="3"/>
        <v>0</v>
      </c>
      <c r="O12" s="74">
        <f t="shared" si="3"/>
        <v>0</v>
      </c>
      <c r="P12" s="74">
        <f t="shared" si="3"/>
        <v>0</v>
      </c>
      <c r="Q12" s="158"/>
      <c r="R12" s="158"/>
    </row>
    <row r="13" spans="1:18" x14ac:dyDescent="0.2">
      <c r="A13" s="12"/>
      <c r="B13" s="23"/>
      <c r="C13" s="48"/>
      <c r="D13" s="50"/>
      <c r="E13" s="9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58"/>
      <c r="R13" s="158"/>
    </row>
    <row r="14" spans="1:18" x14ac:dyDescent="0.2">
      <c r="A14" s="12"/>
      <c r="B14" s="23"/>
      <c r="C14" s="48"/>
      <c r="D14" s="47" t="s">
        <v>364</v>
      </c>
      <c r="E14" s="9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58"/>
      <c r="R14" s="158"/>
    </row>
    <row r="15" spans="1:18" x14ac:dyDescent="0.2">
      <c r="A15" s="111">
        <f>+A12+1</f>
        <v>6</v>
      </c>
      <c r="B15" s="28">
        <v>1.9</v>
      </c>
      <c r="C15" s="49" t="s">
        <v>435</v>
      </c>
      <c r="D15" s="51" t="s">
        <v>243</v>
      </c>
      <c r="E15" s="109">
        <v>200663.94</v>
      </c>
      <c r="F15" s="36">
        <f>INDEX(AlocTable,MATCH($B15,AlocList),3)*$E15</f>
        <v>0</v>
      </c>
      <c r="G15" s="36">
        <f>INDEX(AlocTable,MATCH($B15,AlocList),4)*$E15</f>
        <v>0</v>
      </c>
      <c r="H15" s="36">
        <f>INDEX(AlocTable,MATCH($B15,AlocList),5)*$E15</f>
        <v>0</v>
      </c>
      <c r="I15" s="36">
        <f>INDEX(AlocTable,MATCH($B15,AlocList),6)*$E15</f>
        <v>0</v>
      </c>
      <c r="J15" s="36">
        <f>INDEX(AlocTable,MATCH($B15,AlocList),7)*$E15</f>
        <v>0</v>
      </c>
      <c r="K15" s="36">
        <f>INDEX(AlocTable,MATCH($B15,AlocList),8)*$E15</f>
        <v>0</v>
      </c>
      <c r="L15" s="36">
        <f>INDEX(AlocTable,MATCH($B15,AlocList),9)*$E15</f>
        <v>0</v>
      </c>
      <c r="M15" s="36">
        <f t="shared" ref="M15" si="4">INDEX(AlocTable,MATCH($B15,AlocList),10)*$E15</f>
        <v>0</v>
      </c>
      <c r="N15" s="36">
        <f>INDEX(AlocTable,MATCH($B15,AlocList),11)*$E15</f>
        <v>0</v>
      </c>
      <c r="O15" s="89">
        <f>INDEX(AlocTable,MATCH($B15,AlocList),12)*$E15</f>
        <v>0</v>
      </c>
      <c r="P15" s="89">
        <f>INDEX(AlocTable,MATCH($B15,AlocList),13)*$E15</f>
        <v>200663.94</v>
      </c>
      <c r="Q15" s="158"/>
      <c r="R15" s="158"/>
    </row>
    <row r="16" spans="1:18" x14ac:dyDescent="0.2">
      <c r="A16" s="12">
        <f>+A15+1</f>
        <v>7</v>
      </c>
      <c r="B16" s="23"/>
      <c r="C16" s="48"/>
      <c r="D16" s="50" t="s">
        <v>436</v>
      </c>
      <c r="E16" s="90">
        <f>SUM(E15:E15)</f>
        <v>200663.94</v>
      </c>
      <c r="F16" s="299">
        <f t="shared" ref="F16:P16" si="5">SUM(F15:F15)</f>
        <v>0</v>
      </c>
      <c r="G16" s="299">
        <f t="shared" si="5"/>
        <v>0</v>
      </c>
      <c r="H16" s="299">
        <f t="shared" si="5"/>
        <v>0</v>
      </c>
      <c r="I16" s="299">
        <f t="shared" si="5"/>
        <v>0</v>
      </c>
      <c r="J16" s="299">
        <f t="shared" si="5"/>
        <v>0</v>
      </c>
      <c r="K16" s="299">
        <f t="shared" si="5"/>
        <v>0</v>
      </c>
      <c r="L16" s="299">
        <f t="shared" si="5"/>
        <v>0</v>
      </c>
      <c r="M16" s="299">
        <f t="shared" si="5"/>
        <v>0</v>
      </c>
      <c r="N16" s="299">
        <f t="shared" si="5"/>
        <v>0</v>
      </c>
      <c r="O16" s="299">
        <f t="shared" si="5"/>
        <v>0</v>
      </c>
      <c r="P16" s="299">
        <f t="shared" si="5"/>
        <v>200663.94</v>
      </c>
      <c r="Q16" s="158"/>
      <c r="R16" s="158"/>
    </row>
    <row r="17" spans="1:19" x14ac:dyDescent="0.2">
      <c r="A17" s="12"/>
      <c r="B17" s="23"/>
      <c r="C17" s="48"/>
      <c r="D17" s="50"/>
      <c r="E17" s="9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58"/>
      <c r="R17" s="158"/>
    </row>
    <row r="18" spans="1:19" x14ac:dyDescent="0.2">
      <c r="A18" s="12"/>
      <c r="B18" s="23"/>
      <c r="C18" s="48"/>
      <c r="D18" s="47" t="s">
        <v>245</v>
      </c>
      <c r="E18" s="9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58"/>
      <c r="R18" s="158"/>
    </row>
    <row r="19" spans="1:19" x14ac:dyDescent="0.2">
      <c r="A19" s="12">
        <f>+A16+1</f>
        <v>8</v>
      </c>
      <c r="B19" s="23">
        <v>1.1000000000000001</v>
      </c>
      <c r="C19" s="48">
        <v>840</v>
      </c>
      <c r="D19" s="50" t="s">
        <v>229</v>
      </c>
      <c r="E19" s="118">
        <v>56403.9</v>
      </c>
      <c r="F19" s="2">
        <f t="shared" ref="F19:F20" si="6">INDEX(AlocTable,MATCH($B19,AlocList),3)*$E19</f>
        <v>56403.9</v>
      </c>
      <c r="G19" s="2">
        <f t="shared" ref="G19:G20" si="7">INDEX(AlocTable,MATCH($B19,AlocList),4)*$E19</f>
        <v>0</v>
      </c>
      <c r="H19" s="2">
        <f t="shared" ref="H19:H20" si="8">INDEX(AlocTable,MATCH($B19,AlocList),5)*$E19</f>
        <v>0</v>
      </c>
      <c r="I19" s="2">
        <f t="shared" ref="I19:I20" si="9">INDEX(AlocTable,MATCH($B19,AlocList),6)*$E19</f>
        <v>0</v>
      </c>
      <c r="J19" s="2">
        <f t="shared" ref="J19:J20" si="10">INDEX(AlocTable,MATCH($B19,AlocList),7)*$E19</f>
        <v>0</v>
      </c>
      <c r="K19" s="2">
        <f t="shared" ref="K19:K20" si="11">INDEX(AlocTable,MATCH($B19,AlocList),8)*$E19</f>
        <v>0</v>
      </c>
      <c r="L19" s="2">
        <f t="shared" ref="L19:L20" si="12">INDEX(AlocTable,MATCH($B19,AlocList),9)*$E19</f>
        <v>0</v>
      </c>
      <c r="M19" s="2">
        <f t="shared" ref="M19:M20" si="13">INDEX(AlocTable,MATCH($B19,AlocList),10)*$E19</f>
        <v>0</v>
      </c>
      <c r="N19" s="2">
        <f t="shared" ref="N19:N20" si="14">INDEX(AlocTable,MATCH($B19,AlocList),11)*$E19</f>
        <v>0</v>
      </c>
      <c r="O19" s="90">
        <f>INDEX(AlocTable,MATCH($B19,AlocList),12)*$E19</f>
        <v>0</v>
      </c>
      <c r="P19" s="90">
        <f>INDEX(AlocTable,MATCH($B19,AlocList),13)*$E19</f>
        <v>0</v>
      </c>
      <c r="Q19" s="158"/>
      <c r="R19" s="158"/>
    </row>
    <row r="20" spans="1:19" x14ac:dyDescent="0.2">
      <c r="A20" s="111">
        <f>+A19+1</f>
        <v>9</v>
      </c>
      <c r="B20" s="28">
        <v>1.1000000000000001</v>
      </c>
      <c r="C20" s="49" t="s">
        <v>437</v>
      </c>
      <c r="D20" s="51" t="s">
        <v>246</v>
      </c>
      <c r="E20" s="109">
        <v>105910.15</v>
      </c>
      <c r="F20" s="36">
        <f t="shared" si="6"/>
        <v>105910.15</v>
      </c>
      <c r="G20" s="36">
        <f t="shared" si="7"/>
        <v>0</v>
      </c>
      <c r="H20" s="36">
        <f t="shared" si="8"/>
        <v>0</v>
      </c>
      <c r="I20" s="36">
        <f t="shared" si="9"/>
        <v>0</v>
      </c>
      <c r="J20" s="36">
        <f t="shared" si="10"/>
        <v>0</v>
      </c>
      <c r="K20" s="36">
        <f t="shared" si="11"/>
        <v>0</v>
      </c>
      <c r="L20" s="36">
        <f t="shared" si="12"/>
        <v>0</v>
      </c>
      <c r="M20" s="36">
        <f t="shared" si="13"/>
        <v>0</v>
      </c>
      <c r="N20" s="36">
        <f t="shared" si="14"/>
        <v>0</v>
      </c>
      <c r="O20" s="89">
        <f>INDEX(AlocTable,MATCH($B20,AlocList),12)*$E20</f>
        <v>0</v>
      </c>
      <c r="P20" s="89">
        <f>INDEX(AlocTable,MATCH($B20,AlocList),13)*$E20</f>
        <v>0</v>
      </c>
      <c r="Q20" s="158"/>
      <c r="R20" s="158"/>
    </row>
    <row r="21" spans="1:19" x14ac:dyDescent="0.2">
      <c r="A21" s="12">
        <f>+A20+1</f>
        <v>10</v>
      </c>
      <c r="B21" s="23"/>
      <c r="C21" s="48"/>
      <c r="D21" s="50" t="s">
        <v>438</v>
      </c>
      <c r="E21" s="90">
        <f t="shared" ref="E21:P21" si="15">SUM(E19:E20)</f>
        <v>162314.04999999999</v>
      </c>
      <c r="F21" s="2">
        <f t="shared" si="15"/>
        <v>162314.04999999999</v>
      </c>
      <c r="G21" s="2">
        <f t="shared" si="15"/>
        <v>0</v>
      </c>
      <c r="H21" s="2">
        <f t="shared" si="15"/>
        <v>0</v>
      </c>
      <c r="I21" s="2">
        <f t="shared" si="15"/>
        <v>0</v>
      </c>
      <c r="J21" s="2">
        <f t="shared" si="15"/>
        <v>0</v>
      </c>
      <c r="K21" s="2">
        <f t="shared" si="15"/>
        <v>0</v>
      </c>
      <c r="L21" s="2">
        <f t="shared" si="15"/>
        <v>0</v>
      </c>
      <c r="M21" s="2">
        <f t="shared" si="15"/>
        <v>0</v>
      </c>
      <c r="N21" s="2">
        <f t="shared" si="15"/>
        <v>0</v>
      </c>
      <c r="O21" s="2">
        <f t="shared" si="15"/>
        <v>0</v>
      </c>
      <c r="P21" s="2">
        <f t="shared" si="15"/>
        <v>0</v>
      </c>
      <c r="Q21" s="158"/>
      <c r="R21" s="158"/>
    </row>
    <row r="22" spans="1:19" x14ac:dyDescent="0.2">
      <c r="A22" s="12"/>
      <c r="B22" s="23"/>
      <c r="C22" s="48"/>
      <c r="D22" s="50"/>
      <c r="E22" s="9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58"/>
      <c r="R22" s="158"/>
    </row>
    <row r="23" spans="1:19" x14ac:dyDescent="0.2">
      <c r="A23" s="111">
        <f>+A21+1</f>
        <v>11</v>
      </c>
      <c r="B23" s="28">
        <v>1.1000000000000001</v>
      </c>
      <c r="C23" s="49" t="s">
        <v>439</v>
      </c>
      <c r="D23" s="51" t="s">
        <v>235</v>
      </c>
      <c r="E23" s="109">
        <v>39310.35</v>
      </c>
      <c r="F23" s="36">
        <f>INDEX(AlocTable,MATCH($B23,AlocList),3)*$E23</f>
        <v>39310.35</v>
      </c>
      <c r="G23" s="36">
        <f>INDEX(AlocTable,MATCH($B23,AlocList),4)*$E23</f>
        <v>0</v>
      </c>
      <c r="H23" s="36">
        <f>INDEX(AlocTable,MATCH($B23,AlocList),5)*$E23</f>
        <v>0</v>
      </c>
      <c r="I23" s="36">
        <f>INDEX(AlocTable,MATCH($B23,AlocList),6)*$E23</f>
        <v>0</v>
      </c>
      <c r="J23" s="36">
        <f>INDEX(AlocTable,MATCH($B23,AlocList),7)*$E23</f>
        <v>0</v>
      </c>
      <c r="K23" s="36">
        <f>INDEX(AlocTable,MATCH($B23,AlocList),8)*$E23</f>
        <v>0</v>
      </c>
      <c r="L23" s="36">
        <f>INDEX(AlocTable,MATCH($B23,AlocList),9)*$E23</f>
        <v>0</v>
      </c>
      <c r="M23" s="36">
        <f t="shared" ref="M23" si="16">INDEX(AlocTable,MATCH($B23,AlocList),10)*$E23</f>
        <v>0</v>
      </c>
      <c r="N23" s="36">
        <f>INDEX(AlocTable,MATCH($B23,AlocList),11)*$E23</f>
        <v>0</v>
      </c>
      <c r="O23" s="89">
        <f>INDEX(AlocTable,MATCH($B23,AlocList),12)*$E23</f>
        <v>0</v>
      </c>
      <c r="P23" s="89">
        <f>INDEX(AlocTable,MATCH($B23,AlocList),13)*$E23</f>
        <v>0</v>
      </c>
      <c r="Q23" s="158"/>
      <c r="R23" s="158"/>
    </row>
    <row r="24" spans="1:19" x14ac:dyDescent="0.2">
      <c r="A24" s="12">
        <f>+A23+1</f>
        <v>12</v>
      </c>
      <c r="B24" s="23"/>
      <c r="C24" s="48"/>
      <c r="D24" s="50" t="s">
        <v>440</v>
      </c>
      <c r="E24" s="90">
        <f t="shared" ref="E24:P24" si="17">SUM(E23:E23)</f>
        <v>39310.35</v>
      </c>
      <c r="F24" s="2">
        <f t="shared" si="17"/>
        <v>39310.35</v>
      </c>
      <c r="G24" s="2">
        <f t="shared" si="17"/>
        <v>0</v>
      </c>
      <c r="H24" s="2">
        <f t="shared" si="17"/>
        <v>0</v>
      </c>
      <c r="I24" s="2">
        <f t="shared" si="17"/>
        <v>0</v>
      </c>
      <c r="J24" s="2">
        <f t="shared" si="17"/>
        <v>0</v>
      </c>
      <c r="K24" s="2">
        <f t="shared" si="17"/>
        <v>0</v>
      </c>
      <c r="L24" s="2">
        <f t="shared" si="17"/>
        <v>0</v>
      </c>
      <c r="M24" s="2">
        <f t="shared" si="17"/>
        <v>0</v>
      </c>
      <c r="N24" s="2">
        <f t="shared" si="17"/>
        <v>0</v>
      </c>
      <c r="O24" s="2">
        <f t="shared" si="17"/>
        <v>0</v>
      </c>
      <c r="P24" s="2">
        <f t="shared" si="17"/>
        <v>0</v>
      </c>
      <c r="Q24" s="158"/>
      <c r="R24" s="158"/>
    </row>
    <row r="25" spans="1:19" x14ac:dyDescent="0.2">
      <c r="A25" s="12"/>
      <c r="B25" s="23"/>
      <c r="C25" s="48"/>
      <c r="D25" s="50"/>
      <c r="E25" s="9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58"/>
      <c r="R25" s="158"/>
    </row>
    <row r="26" spans="1:19" x14ac:dyDescent="0.2">
      <c r="A26" s="12"/>
      <c r="B26" s="23"/>
      <c r="C26" s="48"/>
      <c r="D26" s="47" t="s">
        <v>214</v>
      </c>
      <c r="E26" s="9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58"/>
      <c r="R26" s="158"/>
      <c r="S26" s="12"/>
    </row>
    <row r="27" spans="1:19" x14ac:dyDescent="0.2">
      <c r="A27" s="12">
        <f>+A24+1</f>
        <v>13</v>
      </c>
      <c r="B27" s="23">
        <v>59</v>
      </c>
      <c r="C27" s="48">
        <v>870</v>
      </c>
      <c r="D27" s="50" t="s">
        <v>229</v>
      </c>
      <c r="E27" s="118">
        <v>834865.13</v>
      </c>
      <c r="F27" s="2">
        <f t="shared" ref="F27:F34" si="18">INDEX(AlocTable,MATCH($B27,AlocList),3)*$E27</f>
        <v>0</v>
      </c>
      <c r="G27" s="2">
        <f t="shared" ref="G27:G34" si="19">INDEX(AlocTable,MATCH($B27,AlocList),4)*$E27</f>
        <v>114249.6035268516</v>
      </c>
      <c r="H27" s="2">
        <f t="shared" ref="H27:H34" si="20">INDEX(AlocTable,MATCH($B27,AlocList),5)*$E27</f>
        <v>273067.33081168093</v>
      </c>
      <c r="I27" s="2">
        <f t="shared" ref="I27:I34" si="21">INDEX(AlocTable,MATCH($B27,AlocList),6)*$E27</f>
        <v>347233.99825148744</v>
      </c>
      <c r="J27" s="2">
        <f t="shared" ref="J27:J34" si="22">INDEX(AlocTable,MATCH($B27,AlocList),7)*$E27</f>
        <v>90062.874880967749</v>
      </c>
      <c r="K27" s="2">
        <f t="shared" ref="K27:K34" si="23">INDEX(AlocTable,MATCH($B27,AlocList),8)*$E27</f>
        <v>9921.8696358869038</v>
      </c>
      <c r="L27" s="2">
        <f t="shared" ref="L27:L34" si="24">INDEX(AlocTable,MATCH($B27,AlocList),9)*$E27</f>
        <v>329.45289312540103</v>
      </c>
      <c r="M27" s="2">
        <f t="shared" ref="M27:M34" si="25">INDEX(AlocTable,MATCH($B27,AlocList),10)*$E27</f>
        <v>0</v>
      </c>
      <c r="N27" s="2">
        <f t="shared" ref="N27:N34" si="26">INDEX(AlocTable,MATCH($B27,AlocList),11)*$E27</f>
        <v>0</v>
      </c>
      <c r="O27" s="90">
        <f t="shared" ref="O27:O34" si="27">INDEX(AlocTable,MATCH($B27,AlocList),12)*$E27</f>
        <v>0</v>
      </c>
      <c r="P27" s="90">
        <f t="shared" ref="P27:P34" si="28">INDEX(AlocTable,MATCH($B27,AlocList),13)*$E27</f>
        <v>0</v>
      </c>
      <c r="Q27" s="158"/>
      <c r="R27" s="158"/>
      <c r="S27" s="12"/>
    </row>
    <row r="28" spans="1:19" x14ac:dyDescent="0.2">
      <c r="A28" s="12">
        <f>+A27+1</f>
        <v>14</v>
      </c>
      <c r="B28" s="23">
        <v>44</v>
      </c>
      <c r="C28" s="48">
        <v>871</v>
      </c>
      <c r="D28" s="50" t="s">
        <v>253</v>
      </c>
      <c r="E28" s="118">
        <v>137384.10999999999</v>
      </c>
      <c r="F28" s="2">
        <f t="shared" si="18"/>
        <v>0</v>
      </c>
      <c r="G28" s="2">
        <f t="shared" si="19"/>
        <v>20827.3351245294</v>
      </c>
      <c r="H28" s="2">
        <f t="shared" si="20"/>
        <v>49779.295812076576</v>
      </c>
      <c r="I28" s="2">
        <f t="shared" si="21"/>
        <v>45726.752529181358</v>
      </c>
      <c r="J28" s="2">
        <f t="shared" si="22"/>
        <v>17973.27671813847</v>
      </c>
      <c r="K28" s="2">
        <f t="shared" si="23"/>
        <v>2898.5741564684854</v>
      </c>
      <c r="L28" s="2">
        <f t="shared" si="24"/>
        <v>178.87565960570072</v>
      </c>
      <c r="M28" s="2">
        <f t="shared" si="25"/>
        <v>0</v>
      </c>
      <c r="N28" s="2">
        <f t="shared" si="26"/>
        <v>0</v>
      </c>
      <c r="O28" s="90">
        <f t="shared" si="27"/>
        <v>0</v>
      </c>
      <c r="P28" s="90">
        <f t="shared" si="28"/>
        <v>0</v>
      </c>
      <c r="Q28" s="158"/>
      <c r="R28" s="158"/>
      <c r="S28" s="12"/>
    </row>
    <row r="29" spans="1:19" x14ac:dyDescent="0.2">
      <c r="A29" s="12">
        <f t="shared" ref="A29:A35" si="29">+A28+1</f>
        <v>15</v>
      </c>
      <c r="B29" s="23">
        <v>44.1</v>
      </c>
      <c r="C29" s="48">
        <v>874</v>
      </c>
      <c r="D29" s="50" t="s">
        <v>254</v>
      </c>
      <c r="E29" s="118">
        <v>533493.76000000001</v>
      </c>
      <c r="F29" s="2">
        <f t="shared" si="18"/>
        <v>0</v>
      </c>
      <c r="G29" s="2">
        <f t="shared" si="19"/>
        <v>93022.081290646805</v>
      </c>
      <c r="H29" s="2">
        <f t="shared" si="20"/>
        <v>222331.55004878566</v>
      </c>
      <c r="I29" s="2">
        <f t="shared" si="21"/>
        <v>218140.12866056754</v>
      </c>
      <c r="J29" s="2">
        <f t="shared" si="22"/>
        <v>0</v>
      </c>
      <c r="K29" s="2">
        <f t="shared" si="23"/>
        <v>0</v>
      </c>
      <c r="L29" s="2">
        <f t="shared" si="24"/>
        <v>0</v>
      </c>
      <c r="M29" s="2">
        <f t="shared" si="25"/>
        <v>0</v>
      </c>
      <c r="N29" s="2">
        <f t="shared" si="26"/>
        <v>0</v>
      </c>
      <c r="O29" s="90">
        <f t="shared" si="27"/>
        <v>0</v>
      </c>
      <c r="P29" s="90">
        <f t="shared" si="28"/>
        <v>0</v>
      </c>
      <c r="Q29" s="158"/>
      <c r="R29" s="158"/>
      <c r="S29" s="12"/>
    </row>
    <row r="30" spans="1:19" x14ac:dyDescent="0.2">
      <c r="A30" s="12">
        <f t="shared" si="29"/>
        <v>16</v>
      </c>
      <c r="B30" s="23">
        <v>1.2</v>
      </c>
      <c r="C30" s="48">
        <v>875</v>
      </c>
      <c r="D30" s="50" t="s">
        <v>255</v>
      </c>
      <c r="E30" s="118">
        <v>106986.12</v>
      </c>
      <c r="F30" s="2">
        <f t="shared" si="18"/>
        <v>0</v>
      </c>
      <c r="G30" s="2">
        <f t="shared" si="19"/>
        <v>31558.449190327956</v>
      </c>
      <c r="H30" s="2">
        <f t="shared" si="20"/>
        <v>75427.670809672039</v>
      </c>
      <c r="I30" s="2">
        <f t="shared" si="21"/>
        <v>0</v>
      </c>
      <c r="J30" s="2">
        <f t="shared" si="22"/>
        <v>0</v>
      </c>
      <c r="K30" s="2">
        <f t="shared" si="23"/>
        <v>0</v>
      </c>
      <c r="L30" s="2">
        <f t="shared" si="24"/>
        <v>0</v>
      </c>
      <c r="M30" s="2">
        <f t="shared" si="25"/>
        <v>0</v>
      </c>
      <c r="N30" s="2">
        <f t="shared" si="26"/>
        <v>0</v>
      </c>
      <c r="O30" s="90">
        <f t="shared" si="27"/>
        <v>0</v>
      </c>
      <c r="P30" s="90">
        <f t="shared" si="28"/>
        <v>0</v>
      </c>
      <c r="Q30" s="158"/>
      <c r="R30" s="158"/>
      <c r="S30" s="12"/>
    </row>
    <row r="31" spans="1:19" x14ac:dyDescent="0.2">
      <c r="A31" s="12">
        <f t="shared" si="29"/>
        <v>17</v>
      </c>
      <c r="B31" s="23">
        <v>1.2</v>
      </c>
      <c r="C31" s="48">
        <v>877</v>
      </c>
      <c r="D31" s="50" t="s">
        <v>257</v>
      </c>
      <c r="E31" s="118">
        <v>44650.239999999998</v>
      </c>
      <c r="F31" s="2">
        <f t="shared" si="18"/>
        <v>0</v>
      </c>
      <c r="G31" s="2">
        <f t="shared" si="19"/>
        <v>13170.795710471124</v>
      </c>
      <c r="H31" s="2">
        <f t="shared" si="20"/>
        <v>31479.444289528874</v>
      </c>
      <c r="I31" s="2">
        <f t="shared" si="21"/>
        <v>0</v>
      </c>
      <c r="J31" s="2">
        <f t="shared" si="22"/>
        <v>0</v>
      </c>
      <c r="K31" s="2">
        <f t="shared" si="23"/>
        <v>0</v>
      </c>
      <c r="L31" s="2">
        <f t="shared" si="24"/>
        <v>0</v>
      </c>
      <c r="M31" s="2">
        <f t="shared" si="25"/>
        <v>0</v>
      </c>
      <c r="N31" s="2">
        <f t="shared" si="26"/>
        <v>0</v>
      </c>
      <c r="O31" s="90">
        <f t="shared" si="27"/>
        <v>0</v>
      </c>
      <c r="P31" s="90">
        <f t="shared" si="28"/>
        <v>0</v>
      </c>
      <c r="Q31" s="158"/>
      <c r="R31" s="158"/>
      <c r="S31" s="12"/>
    </row>
    <row r="32" spans="1:19" x14ac:dyDescent="0.2">
      <c r="A32" s="12">
        <f t="shared" si="29"/>
        <v>18</v>
      </c>
      <c r="B32" s="23">
        <v>44.3</v>
      </c>
      <c r="C32" s="48">
        <v>878</v>
      </c>
      <c r="D32" s="50" t="s">
        <v>258</v>
      </c>
      <c r="E32" s="118">
        <v>458632.47</v>
      </c>
      <c r="F32" s="2">
        <f t="shared" si="18"/>
        <v>0</v>
      </c>
      <c r="G32" s="2">
        <f t="shared" si="19"/>
        <v>0</v>
      </c>
      <c r="H32" s="2">
        <f t="shared" si="20"/>
        <v>0</v>
      </c>
      <c r="I32" s="2">
        <f t="shared" si="21"/>
        <v>0</v>
      </c>
      <c r="J32" s="2">
        <f t="shared" si="22"/>
        <v>394939.97656250361</v>
      </c>
      <c r="K32" s="2">
        <f t="shared" si="23"/>
        <v>63692.49343749645</v>
      </c>
      <c r="L32" s="2">
        <f t="shared" si="24"/>
        <v>0</v>
      </c>
      <c r="M32" s="2">
        <f t="shared" si="25"/>
        <v>0</v>
      </c>
      <c r="N32" s="2">
        <f t="shared" si="26"/>
        <v>0</v>
      </c>
      <c r="O32" s="90">
        <f t="shared" si="27"/>
        <v>0</v>
      </c>
      <c r="P32" s="90">
        <f t="shared" si="28"/>
        <v>0</v>
      </c>
      <c r="Q32" s="158"/>
      <c r="R32" s="158"/>
      <c r="S32" s="12"/>
    </row>
    <row r="33" spans="1:19" x14ac:dyDescent="0.2">
      <c r="A33" s="12">
        <f t="shared" si="29"/>
        <v>19</v>
      </c>
      <c r="B33" s="23">
        <v>44.2</v>
      </c>
      <c r="C33" s="48">
        <v>879</v>
      </c>
      <c r="D33" s="50" t="s">
        <v>259</v>
      </c>
      <c r="E33" s="118">
        <v>588938.23</v>
      </c>
      <c r="F33" s="2">
        <f t="shared" si="18"/>
        <v>0</v>
      </c>
      <c r="G33" s="2">
        <f t="shared" si="19"/>
        <v>0</v>
      </c>
      <c r="H33" s="2">
        <f t="shared" si="20"/>
        <v>0</v>
      </c>
      <c r="I33" s="2">
        <f t="shared" si="21"/>
        <v>422766.41025745182</v>
      </c>
      <c r="J33" s="2">
        <f t="shared" si="22"/>
        <v>166171.81974254819</v>
      </c>
      <c r="K33" s="2">
        <f t="shared" si="23"/>
        <v>0</v>
      </c>
      <c r="L33" s="2">
        <f t="shared" si="24"/>
        <v>0</v>
      </c>
      <c r="M33" s="2">
        <f t="shared" si="25"/>
        <v>0</v>
      </c>
      <c r="N33" s="2">
        <f t="shared" si="26"/>
        <v>0</v>
      </c>
      <c r="O33" s="90">
        <f t="shared" si="27"/>
        <v>0</v>
      </c>
      <c r="P33" s="90">
        <f t="shared" si="28"/>
        <v>0</v>
      </c>
      <c r="Q33" s="158"/>
      <c r="R33" s="158"/>
      <c r="S33" s="12"/>
    </row>
    <row r="34" spans="1:19" x14ac:dyDescent="0.2">
      <c r="A34" s="111">
        <f t="shared" si="29"/>
        <v>20</v>
      </c>
      <c r="B34" s="28">
        <v>44</v>
      </c>
      <c r="C34" s="49">
        <v>880</v>
      </c>
      <c r="D34" s="51" t="s">
        <v>243</v>
      </c>
      <c r="E34" s="109">
        <v>845656.43</v>
      </c>
      <c r="F34" s="36">
        <f t="shared" si="18"/>
        <v>0</v>
      </c>
      <c r="G34" s="36">
        <f t="shared" si="19"/>
        <v>128200.92416672598</v>
      </c>
      <c r="H34" s="36">
        <f t="shared" si="20"/>
        <v>306412.30331771728</v>
      </c>
      <c r="I34" s="36">
        <f t="shared" si="21"/>
        <v>281467.21115943458</v>
      </c>
      <c r="J34" s="36">
        <f t="shared" si="22"/>
        <v>110633.00570104574</v>
      </c>
      <c r="K34" s="36">
        <f t="shared" si="23"/>
        <v>17841.931452257479</v>
      </c>
      <c r="L34" s="36">
        <f t="shared" si="24"/>
        <v>1101.0542028190312</v>
      </c>
      <c r="M34" s="36">
        <f t="shared" si="25"/>
        <v>0</v>
      </c>
      <c r="N34" s="36">
        <f t="shared" si="26"/>
        <v>0</v>
      </c>
      <c r="O34" s="89">
        <f t="shared" si="27"/>
        <v>0</v>
      </c>
      <c r="P34" s="89">
        <f t="shared" si="28"/>
        <v>0</v>
      </c>
      <c r="Q34" s="158"/>
      <c r="R34" s="158"/>
      <c r="S34" s="12"/>
    </row>
    <row r="35" spans="1:19" x14ac:dyDescent="0.2">
      <c r="A35" s="12">
        <f t="shared" si="29"/>
        <v>21</v>
      </c>
      <c r="B35" s="23"/>
      <c r="C35" s="48"/>
      <c r="D35" s="50" t="s">
        <v>441</v>
      </c>
      <c r="E35" s="90">
        <f t="shared" ref="E35:P35" si="30">SUM(E27:E34)</f>
        <v>3550606.49</v>
      </c>
      <c r="F35" s="2">
        <f t="shared" si="30"/>
        <v>0</v>
      </c>
      <c r="G35" s="2">
        <f t="shared" si="30"/>
        <v>401029.18900955282</v>
      </c>
      <c r="H35" s="2">
        <f t="shared" si="30"/>
        <v>958497.59508946131</v>
      </c>
      <c r="I35" s="2">
        <f t="shared" si="30"/>
        <v>1315334.5008581227</v>
      </c>
      <c r="J35" s="2">
        <f t="shared" si="30"/>
        <v>779780.95360520377</v>
      </c>
      <c r="K35" s="2">
        <f t="shared" si="30"/>
        <v>94354.868682109314</v>
      </c>
      <c r="L35" s="2">
        <f t="shared" si="30"/>
        <v>1609.382755550133</v>
      </c>
      <c r="M35" s="2">
        <f t="shared" si="30"/>
        <v>0</v>
      </c>
      <c r="N35" s="2">
        <f t="shared" si="30"/>
        <v>0</v>
      </c>
      <c r="O35" s="2">
        <f t="shared" si="30"/>
        <v>0</v>
      </c>
      <c r="P35" s="2">
        <f t="shared" si="30"/>
        <v>0</v>
      </c>
      <c r="Q35" s="158"/>
      <c r="R35" s="158"/>
      <c r="S35" s="12"/>
    </row>
    <row r="36" spans="1:19" x14ac:dyDescent="0.2">
      <c r="A36" s="12"/>
      <c r="B36" s="23"/>
      <c r="C36" s="48"/>
      <c r="D36" s="50"/>
      <c r="E36" s="9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58"/>
      <c r="R36" s="158"/>
      <c r="S36" s="12"/>
    </row>
    <row r="37" spans="1:19" x14ac:dyDescent="0.2">
      <c r="A37" s="12">
        <f>+A35+1</f>
        <v>22</v>
      </c>
      <c r="B37" s="23">
        <v>59</v>
      </c>
      <c r="C37" s="48" t="s">
        <v>442</v>
      </c>
      <c r="D37" s="50" t="s">
        <v>229</v>
      </c>
      <c r="E37" s="118">
        <v>0</v>
      </c>
      <c r="F37" s="2">
        <f t="shared" ref="F37:F42" si="31">INDEX(AlocTable,MATCH($B37,AlocList),3)*$E37</f>
        <v>0</v>
      </c>
      <c r="G37" s="2">
        <f t="shared" ref="G37:G42" si="32">INDEX(AlocTable,MATCH($B37,AlocList),4)*$E37</f>
        <v>0</v>
      </c>
      <c r="H37" s="2">
        <f t="shared" ref="H37:H42" si="33">INDEX(AlocTable,MATCH($B37,AlocList),5)*$E37</f>
        <v>0</v>
      </c>
      <c r="I37" s="2">
        <f t="shared" ref="I37:I42" si="34">INDEX(AlocTable,MATCH($B37,AlocList),6)*$E37</f>
        <v>0</v>
      </c>
      <c r="J37" s="2">
        <f t="shared" ref="J37:J42" si="35">INDEX(AlocTable,MATCH($B37,AlocList),7)*$E37</f>
        <v>0</v>
      </c>
      <c r="K37" s="2">
        <f t="shared" ref="K37:K42" si="36">INDEX(AlocTable,MATCH($B37,AlocList),8)*$E37</f>
        <v>0</v>
      </c>
      <c r="L37" s="2">
        <f t="shared" ref="L37:L42" si="37">INDEX(AlocTable,MATCH($B37,AlocList),9)*$E37</f>
        <v>0</v>
      </c>
      <c r="M37" s="2">
        <f t="shared" ref="M37:M42" si="38">INDEX(AlocTable,MATCH($B37,AlocList),10)*$E37</f>
        <v>0</v>
      </c>
      <c r="N37" s="2">
        <f t="shared" ref="N37:N42" si="39">INDEX(AlocTable,MATCH($B37,AlocList),11)*$E37</f>
        <v>0</v>
      </c>
      <c r="O37" s="90">
        <f t="shared" ref="O37:O42" si="40">INDEX(AlocTable,MATCH($B37,AlocList),12)*$E37</f>
        <v>0</v>
      </c>
      <c r="P37" s="90">
        <f t="shared" ref="P37:P42" si="41">INDEX(AlocTable,MATCH($B37,AlocList),13)*$E37</f>
        <v>0</v>
      </c>
      <c r="Q37" s="158"/>
      <c r="R37" s="158"/>
      <c r="S37" s="12"/>
    </row>
    <row r="38" spans="1:19" x14ac:dyDescent="0.2">
      <c r="A38" s="12">
        <f>+A37+1</f>
        <v>23</v>
      </c>
      <c r="B38" s="23">
        <v>1.2</v>
      </c>
      <c r="C38" s="48" t="s">
        <v>443</v>
      </c>
      <c r="D38" s="50" t="s">
        <v>5</v>
      </c>
      <c r="E38" s="118">
        <v>482662.32</v>
      </c>
      <c r="F38" s="2">
        <f t="shared" si="31"/>
        <v>0</v>
      </c>
      <c r="G38" s="2">
        <f t="shared" si="32"/>
        <v>142374.30333772095</v>
      </c>
      <c r="H38" s="2">
        <f t="shared" si="33"/>
        <v>340288.01666227909</v>
      </c>
      <c r="I38" s="2">
        <f t="shared" si="34"/>
        <v>0</v>
      </c>
      <c r="J38" s="2">
        <f t="shared" si="35"/>
        <v>0</v>
      </c>
      <c r="K38" s="2">
        <f t="shared" si="36"/>
        <v>0</v>
      </c>
      <c r="L38" s="2">
        <f t="shared" si="37"/>
        <v>0</v>
      </c>
      <c r="M38" s="2">
        <f t="shared" si="38"/>
        <v>0</v>
      </c>
      <c r="N38" s="2">
        <f t="shared" si="39"/>
        <v>0</v>
      </c>
      <c r="O38" s="90">
        <f t="shared" si="40"/>
        <v>0</v>
      </c>
      <c r="P38" s="90">
        <f t="shared" si="41"/>
        <v>0</v>
      </c>
      <c r="Q38" s="158"/>
      <c r="R38" s="158"/>
      <c r="S38" s="12"/>
    </row>
    <row r="39" spans="1:19" x14ac:dyDescent="0.2">
      <c r="A39" s="12">
        <f t="shared" ref="A39:A43" si="42">+A38+1</f>
        <v>24</v>
      </c>
      <c r="B39" s="23">
        <v>1.2</v>
      </c>
      <c r="C39" s="48" t="s">
        <v>444</v>
      </c>
      <c r="D39" s="50" t="s">
        <v>255</v>
      </c>
      <c r="E39" s="118">
        <v>37357.72</v>
      </c>
      <c r="F39" s="2">
        <f t="shared" si="31"/>
        <v>0</v>
      </c>
      <c r="G39" s="2">
        <f t="shared" si="32"/>
        <v>11019.669733667308</v>
      </c>
      <c r="H39" s="2">
        <f t="shared" si="33"/>
        <v>26338.050266332695</v>
      </c>
      <c r="I39" s="2">
        <f t="shared" si="34"/>
        <v>0</v>
      </c>
      <c r="J39" s="2">
        <f t="shared" si="35"/>
        <v>0</v>
      </c>
      <c r="K39" s="2">
        <f t="shared" si="36"/>
        <v>0</v>
      </c>
      <c r="L39" s="2">
        <f t="shared" si="37"/>
        <v>0</v>
      </c>
      <c r="M39" s="2">
        <f t="shared" si="38"/>
        <v>0</v>
      </c>
      <c r="N39" s="2">
        <f t="shared" si="39"/>
        <v>0</v>
      </c>
      <c r="O39" s="90">
        <f t="shared" si="40"/>
        <v>0</v>
      </c>
      <c r="P39" s="90">
        <f t="shared" si="41"/>
        <v>0</v>
      </c>
      <c r="Q39" s="158"/>
      <c r="R39" s="158"/>
      <c r="S39" s="12"/>
    </row>
    <row r="40" spans="1:19" x14ac:dyDescent="0.2">
      <c r="A40" s="12">
        <f t="shared" si="42"/>
        <v>25</v>
      </c>
      <c r="B40" s="23">
        <v>1.2</v>
      </c>
      <c r="C40" s="48" t="s">
        <v>445</v>
      </c>
      <c r="D40" s="50" t="s">
        <v>257</v>
      </c>
      <c r="E40" s="118">
        <v>36503.22</v>
      </c>
      <c r="F40" s="2">
        <f t="shared" si="31"/>
        <v>0</v>
      </c>
      <c r="G40" s="2">
        <f t="shared" si="32"/>
        <v>10767.61185145665</v>
      </c>
      <c r="H40" s="2">
        <f t="shared" si="33"/>
        <v>25735.60814854335</v>
      </c>
      <c r="I40" s="2">
        <f t="shared" si="34"/>
        <v>0</v>
      </c>
      <c r="J40" s="2">
        <f t="shared" si="35"/>
        <v>0</v>
      </c>
      <c r="K40" s="2">
        <f t="shared" si="36"/>
        <v>0</v>
      </c>
      <c r="L40" s="2">
        <f t="shared" si="37"/>
        <v>0</v>
      </c>
      <c r="M40" s="2">
        <f t="shared" si="38"/>
        <v>0</v>
      </c>
      <c r="N40" s="2">
        <f t="shared" si="39"/>
        <v>0</v>
      </c>
      <c r="O40" s="90">
        <f t="shared" si="40"/>
        <v>0</v>
      </c>
      <c r="P40" s="90">
        <f t="shared" si="41"/>
        <v>0</v>
      </c>
      <c r="Q40" s="158"/>
      <c r="R40" s="158"/>
      <c r="S40" s="12"/>
    </row>
    <row r="41" spans="1:19" x14ac:dyDescent="0.2">
      <c r="A41" s="12">
        <f t="shared" si="42"/>
        <v>26</v>
      </c>
      <c r="B41" s="23">
        <v>1.3</v>
      </c>
      <c r="C41" s="48" t="s">
        <v>446</v>
      </c>
      <c r="D41" s="50" t="s">
        <v>16</v>
      </c>
      <c r="E41" s="118">
        <v>324448.63</v>
      </c>
      <c r="F41" s="2">
        <f t="shared" si="31"/>
        <v>0</v>
      </c>
      <c r="G41" s="2">
        <f t="shared" si="32"/>
        <v>0</v>
      </c>
      <c r="H41" s="2">
        <f t="shared" si="33"/>
        <v>0</v>
      </c>
      <c r="I41" s="2">
        <f t="shared" si="34"/>
        <v>324448.63</v>
      </c>
      <c r="J41" s="2">
        <f t="shared" si="35"/>
        <v>0</v>
      </c>
      <c r="K41" s="2">
        <f t="shared" si="36"/>
        <v>0</v>
      </c>
      <c r="L41" s="2">
        <f t="shared" si="37"/>
        <v>0</v>
      </c>
      <c r="M41" s="2">
        <f t="shared" si="38"/>
        <v>0</v>
      </c>
      <c r="N41" s="2">
        <f t="shared" si="39"/>
        <v>0</v>
      </c>
      <c r="O41" s="90">
        <f t="shared" si="40"/>
        <v>0</v>
      </c>
      <c r="P41" s="90">
        <f t="shared" si="41"/>
        <v>0</v>
      </c>
      <c r="Q41" s="158"/>
      <c r="R41" s="158"/>
      <c r="S41" s="12"/>
    </row>
    <row r="42" spans="1:19" x14ac:dyDescent="0.2">
      <c r="A42" s="111">
        <f t="shared" si="42"/>
        <v>27</v>
      </c>
      <c r="B42" s="28">
        <v>44</v>
      </c>
      <c r="C42" s="111">
        <v>893</v>
      </c>
      <c r="D42" s="51" t="s">
        <v>258</v>
      </c>
      <c r="E42" s="109">
        <v>125681.11</v>
      </c>
      <c r="F42" s="36">
        <f t="shared" si="31"/>
        <v>0</v>
      </c>
      <c r="G42" s="36">
        <f t="shared" si="32"/>
        <v>19053.168498109742</v>
      </c>
      <c r="H42" s="36">
        <f t="shared" si="33"/>
        <v>45538.8701988908</v>
      </c>
      <c r="I42" s="36">
        <f t="shared" si="34"/>
        <v>41831.540886080795</v>
      </c>
      <c r="J42" s="36">
        <f t="shared" si="35"/>
        <v>16442.231698213134</v>
      </c>
      <c r="K42" s="36">
        <f t="shared" si="36"/>
        <v>2651.6604969983282</v>
      </c>
      <c r="L42" s="36">
        <f t="shared" si="37"/>
        <v>163.63822170720204</v>
      </c>
      <c r="M42" s="36">
        <f t="shared" si="38"/>
        <v>0</v>
      </c>
      <c r="N42" s="36">
        <f t="shared" si="39"/>
        <v>0</v>
      </c>
      <c r="O42" s="89">
        <f t="shared" si="40"/>
        <v>0</v>
      </c>
      <c r="P42" s="89">
        <f t="shared" si="41"/>
        <v>0</v>
      </c>
      <c r="Q42" s="158"/>
      <c r="R42" s="158"/>
      <c r="S42" s="12"/>
    </row>
    <row r="43" spans="1:19" x14ac:dyDescent="0.2">
      <c r="A43" s="12">
        <f t="shared" si="42"/>
        <v>28</v>
      </c>
      <c r="B43" s="23"/>
      <c r="C43" s="48"/>
      <c r="D43" s="50" t="s">
        <v>447</v>
      </c>
      <c r="E43" s="90">
        <f t="shared" ref="E43:P43" si="43">SUM(E37:E42)</f>
        <v>1006653</v>
      </c>
      <c r="F43" s="299">
        <f t="shared" si="43"/>
        <v>0</v>
      </c>
      <c r="G43" s="299">
        <f t="shared" si="43"/>
        <v>183214.75342095466</v>
      </c>
      <c r="H43" s="299">
        <f t="shared" si="43"/>
        <v>437900.54527604592</v>
      </c>
      <c r="I43" s="299">
        <f t="shared" si="43"/>
        <v>366280.17088608083</v>
      </c>
      <c r="J43" s="299">
        <f t="shared" si="43"/>
        <v>16442.231698213134</v>
      </c>
      <c r="K43" s="299">
        <f t="shared" si="43"/>
        <v>2651.6604969983282</v>
      </c>
      <c r="L43" s="299">
        <f t="shared" si="43"/>
        <v>163.63822170720204</v>
      </c>
      <c r="M43" s="299">
        <f t="shared" si="43"/>
        <v>0</v>
      </c>
      <c r="N43" s="299">
        <f t="shared" si="43"/>
        <v>0</v>
      </c>
      <c r="O43" s="299">
        <f t="shared" si="43"/>
        <v>0</v>
      </c>
      <c r="P43" s="299">
        <f t="shared" si="43"/>
        <v>0</v>
      </c>
      <c r="Q43" s="158"/>
      <c r="R43" s="158"/>
      <c r="S43" s="12"/>
    </row>
    <row r="44" spans="1:19" x14ac:dyDescent="0.2">
      <c r="A44" s="12"/>
      <c r="B44" s="23"/>
      <c r="C44" s="48"/>
      <c r="D44" s="50"/>
      <c r="E44" s="90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158"/>
      <c r="R44" s="158"/>
      <c r="S44" s="12"/>
    </row>
    <row r="45" spans="1:19" x14ac:dyDescent="0.2">
      <c r="A45" s="12"/>
      <c r="B45" s="23"/>
      <c r="C45" s="48"/>
      <c r="D45" s="47" t="s">
        <v>448</v>
      </c>
      <c r="E45" s="9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58"/>
      <c r="R45" s="158"/>
    </row>
    <row r="46" spans="1:19" x14ac:dyDescent="0.2">
      <c r="A46" s="12">
        <f>+A43+1</f>
        <v>29</v>
      </c>
      <c r="B46" s="23">
        <v>59.1</v>
      </c>
      <c r="C46" s="48" t="s">
        <v>449</v>
      </c>
      <c r="D46" s="50" t="s">
        <v>262</v>
      </c>
      <c r="E46" s="118">
        <v>93807.4</v>
      </c>
      <c r="F46" s="2">
        <f>INDEX(AlocTable,MATCH($B46,AlocList),3)*$E46</f>
        <v>0</v>
      </c>
      <c r="G46" s="2">
        <f>INDEX(AlocTable,MATCH($B46,AlocList),4)*$E46</f>
        <v>0</v>
      </c>
      <c r="H46" s="2">
        <f>INDEX(AlocTable,MATCH($B46,AlocList),5)*$E46</f>
        <v>0</v>
      </c>
      <c r="I46" s="2">
        <f>INDEX(AlocTable,MATCH($B46,AlocList),6)*$E46</f>
        <v>0</v>
      </c>
      <c r="J46" s="2">
        <f>INDEX(AlocTable,MATCH($B46,AlocList),7)*$E46</f>
        <v>9504.223359508871</v>
      </c>
      <c r="K46" s="2">
        <f>INDEX(AlocTable,MATCH($B46,AlocList),8)*$E46</f>
        <v>0</v>
      </c>
      <c r="L46" s="2">
        <f>INDEX(AlocTable,MATCH($B46,AlocList),9)*$E46</f>
        <v>0</v>
      </c>
      <c r="M46" s="2">
        <f t="shared" ref="M46:M50" si="44">INDEX(AlocTable,MATCH($B46,AlocList),10)*$E46</f>
        <v>79177.992453968283</v>
      </c>
      <c r="N46" s="2">
        <f>INDEX(AlocTable,MATCH($B46,AlocList),11)*$E46</f>
        <v>2536.3576412248558</v>
      </c>
      <c r="O46" s="90">
        <f>INDEX(AlocTable,MATCH($B46,AlocList),12)*$E46</f>
        <v>2588.8265452979654</v>
      </c>
      <c r="P46" s="90">
        <f>INDEX(AlocTable,MATCH($B46,AlocList),13)*$E46</f>
        <v>0</v>
      </c>
      <c r="Q46" s="158"/>
      <c r="R46" s="158"/>
    </row>
    <row r="47" spans="1:19" x14ac:dyDescent="0.2">
      <c r="A47" s="12">
        <f>+A46+1</f>
        <v>30</v>
      </c>
      <c r="B47" s="23">
        <v>1.4</v>
      </c>
      <c r="C47" s="48" t="s">
        <v>450</v>
      </c>
      <c r="D47" s="50" t="s">
        <v>124</v>
      </c>
      <c r="E47" s="118">
        <v>232075.28</v>
      </c>
      <c r="F47" s="2">
        <f>INDEX(AlocTable,MATCH($B47,AlocList),3)*$E47</f>
        <v>0</v>
      </c>
      <c r="G47" s="2">
        <f>INDEX(AlocTable,MATCH($B47,AlocList),4)*$E47</f>
        <v>0</v>
      </c>
      <c r="H47" s="2">
        <f>INDEX(AlocTable,MATCH($B47,AlocList),5)*$E47</f>
        <v>0</v>
      </c>
      <c r="I47" s="2">
        <f>INDEX(AlocTable,MATCH($B47,AlocList),6)*$E47</f>
        <v>0</v>
      </c>
      <c r="J47" s="2">
        <f>INDEX(AlocTable,MATCH($B47,AlocList),7)*$E47</f>
        <v>232075.28</v>
      </c>
      <c r="K47" s="2">
        <f>INDEX(AlocTable,MATCH($B47,AlocList),8)*$E47</f>
        <v>0</v>
      </c>
      <c r="L47" s="2">
        <f>INDEX(AlocTable,MATCH($B47,AlocList),9)*$E47</f>
        <v>0</v>
      </c>
      <c r="M47" s="2">
        <f t="shared" si="44"/>
        <v>0</v>
      </c>
      <c r="N47" s="2">
        <f>INDEX(AlocTable,MATCH($B47,AlocList),11)*$E47</f>
        <v>0</v>
      </c>
      <c r="O47" s="90">
        <f>INDEX(AlocTable,MATCH($B47,AlocList),12)*$E47</f>
        <v>0</v>
      </c>
      <c r="P47" s="90">
        <f>INDEX(AlocTable,MATCH($B47,AlocList),13)*$E47</f>
        <v>0</v>
      </c>
      <c r="Q47" s="158"/>
      <c r="R47" s="158"/>
    </row>
    <row r="48" spans="1:19" x14ac:dyDescent="0.2">
      <c r="A48" s="12">
        <f t="shared" ref="A48:A51" si="45">+A47+1</f>
        <v>31</v>
      </c>
      <c r="B48" s="23">
        <v>1.7</v>
      </c>
      <c r="C48" s="48" t="s">
        <v>451</v>
      </c>
      <c r="D48" s="50" t="s">
        <v>263</v>
      </c>
      <c r="E48" s="118">
        <v>1277041.92</v>
      </c>
      <c r="F48" s="2">
        <f>INDEX(AlocTable,MATCH($B48,AlocList),3)*$E48</f>
        <v>0</v>
      </c>
      <c r="G48" s="2">
        <f>INDEX(AlocTable,MATCH($B48,AlocList),4)*$E48</f>
        <v>0</v>
      </c>
      <c r="H48" s="2">
        <f>INDEX(AlocTable,MATCH($B48,AlocList),5)*$E48</f>
        <v>0</v>
      </c>
      <c r="I48" s="2">
        <f>INDEX(AlocTable,MATCH($B48,AlocList),6)*$E48</f>
        <v>0</v>
      </c>
      <c r="J48" s="2">
        <f>INDEX(AlocTable,MATCH($B48,AlocList),7)*$E48</f>
        <v>0</v>
      </c>
      <c r="K48" s="2">
        <f>INDEX(AlocTable,MATCH($B48,AlocList),8)*$E48</f>
        <v>0</v>
      </c>
      <c r="L48" s="2">
        <f>INDEX(AlocTable,MATCH($B48,AlocList),9)*$E48</f>
        <v>0</v>
      </c>
      <c r="M48" s="2">
        <f t="shared" si="44"/>
        <v>1277041.92</v>
      </c>
      <c r="N48" s="2">
        <f>INDEX(AlocTable,MATCH($B48,AlocList),11)*$E48</f>
        <v>0</v>
      </c>
      <c r="O48" s="90">
        <f>INDEX(AlocTable,MATCH($B48,AlocList),12)*$E48</f>
        <v>0</v>
      </c>
      <c r="P48" s="90">
        <f>INDEX(AlocTable,MATCH($B48,AlocList),13)*$E48</f>
        <v>0</v>
      </c>
      <c r="Q48" s="158"/>
      <c r="R48" s="158"/>
    </row>
    <row r="49" spans="1:18" x14ac:dyDescent="0.2">
      <c r="A49" s="12">
        <f t="shared" si="45"/>
        <v>32</v>
      </c>
      <c r="B49" s="23">
        <v>1.7</v>
      </c>
      <c r="C49" s="48" t="s">
        <v>452</v>
      </c>
      <c r="D49" s="50" t="s">
        <v>265</v>
      </c>
      <c r="E49" s="118">
        <v>4803.92</v>
      </c>
      <c r="F49" s="2">
        <f>INDEX(AlocTable,MATCH($B49,AlocList),3)*$E49</f>
        <v>0</v>
      </c>
      <c r="G49" s="2">
        <f>INDEX(AlocTable,MATCH($B49,AlocList),4)*$E49</f>
        <v>0</v>
      </c>
      <c r="H49" s="2">
        <f>INDEX(AlocTable,MATCH($B49,AlocList),5)*$E49</f>
        <v>0</v>
      </c>
      <c r="I49" s="2">
        <f>INDEX(AlocTable,MATCH($B49,AlocList),6)*$E49</f>
        <v>0</v>
      </c>
      <c r="J49" s="2">
        <f>INDEX(AlocTable,MATCH($B49,AlocList),7)*$E49</f>
        <v>0</v>
      </c>
      <c r="K49" s="2">
        <f>INDEX(AlocTable,MATCH($B49,AlocList),8)*$E49</f>
        <v>0</v>
      </c>
      <c r="L49" s="2">
        <f>INDEX(AlocTable,MATCH($B49,AlocList),9)*$E49</f>
        <v>0</v>
      </c>
      <c r="M49" s="2">
        <f t="shared" si="44"/>
        <v>4803.92</v>
      </c>
      <c r="N49" s="2">
        <f>INDEX(AlocTable,MATCH($B49,AlocList),11)*$E49</f>
        <v>0</v>
      </c>
      <c r="O49" s="90">
        <f>INDEX(AlocTable,MATCH($B49,AlocList),12)*$E49</f>
        <v>0</v>
      </c>
      <c r="P49" s="90">
        <f>INDEX(AlocTable,MATCH($B49,AlocList),13)*$E49</f>
        <v>0</v>
      </c>
      <c r="Q49" s="158"/>
      <c r="R49" s="158"/>
    </row>
    <row r="50" spans="1:18" x14ac:dyDescent="0.2">
      <c r="A50" s="111">
        <f t="shared" si="45"/>
        <v>33</v>
      </c>
      <c r="B50" s="28">
        <v>1.8</v>
      </c>
      <c r="C50" s="49" t="s">
        <v>453</v>
      </c>
      <c r="D50" s="51" t="s">
        <v>267</v>
      </c>
      <c r="E50" s="109">
        <v>0</v>
      </c>
      <c r="F50" s="89">
        <f>INDEX(AlocTable,MATCH($B50,AlocList),3)*$E50</f>
        <v>0</v>
      </c>
      <c r="G50" s="89">
        <f>INDEX(AlocTable,MATCH($B50,AlocList),4)*$E50</f>
        <v>0</v>
      </c>
      <c r="H50" s="89">
        <f>INDEX(AlocTable,MATCH($B50,AlocList),5)*$E50</f>
        <v>0</v>
      </c>
      <c r="I50" s="89">
        <f>INDEX(AlocTable,MATCH($B50,AlocList),6)*$E50</f>
        <v>0</v>
      </c>
      <c r="J50" s="89">
        <f>INDEX(AlocTable,MATCH($B50,AlocList),7)*$E50</f>
        <v>0</v>
      </c>
      <c r="K50" s="89">
        <f>INDEX(AlocTable,MATCH($B50,AlocList),8)*$E50</f>
        <v>0</v>
      </c>
      <c r="L50" s="89">
        <f>INDEX(AlocTable,MATCH($B50,AlocList),9)*$E50</f>
        <v>0</v>
      </c>
      <c r="M50" s="89">
        <f t="shared" si="44"/>
        <v>0</v>
      </c>
      <c r="N50" s="89">
        <f>INDEX(AlocTable,MATCH($B50,AlocList),11)*$E50</f>
        <v>0</v>
      </c>
      <c r="O50" s="89">
        <f>INDEX(AlocTable,MATCH($B50,AlocList),12)*$E50</f>
        <v>0</v>
      </c>
      <c r="P50" s="89">
        <f>INDEX(AlocTable,MATCH($B50,AlocList),13)*$E50</f>
        <v>0</v>
      </c>
      <c r="Q50" s="158"/>
      <c r="R50" s="158"/>
    </row>
    <row r="51" spans="1:18" x14ac:dyDescent="0.2">
      <c r="A51" s="12">
        <f t="shared" si="45"/>
        <v>34</v>
      </c>
      <c r="B51" s="23"/>
      <c r="C51" s="48"/>
      <c r="D51" s="50" t="s">
        <v>454</v>
      </c>
      <c r="E51" s="90">
        <f t="shared" ref="E51:P51" si="46">SUM(E46:E50)</f>
        <v>1607728.5199999998</v>
      </c>
      <c r="F51" s="2">
        <f t="shared" si="46"/>
        <v>0</v>
      </c>
      <c r="G51" s="2">
        <f t="shared" si="46"/>
        <v>0</v>
      </c>
      <c r="H51" s="2">
        <f t="shared" si="46"/>
        <v>0</v>
      </c>
      <c r="I51" s="2">
        <f t="shared" si="46"/>
        <v>0</v>
      </c>
      <c r="J51" s="2">
        <f t="shared" si="46"/>
        <v>241579.50335950888</v>
      </c>
      <c r="K51" s="2">
        <f t="shared" si="46"/>
        <v>0</v>
      </c>
      <c r="L51" s="2">
        <f t="shared" si="46"/>
        <v>0</v>
      </c>
      <c r="M51" s="2">
        <f t="shared" si="46"/>
        <v>1361023.8324539682</v>
      </c>
      <c r="N51" s="2">
        <f t="shared" ref="N51:O51" si="47">SUM(N46:N50)</f>
        <v>2536.3576412248558</v>
      </c>
      <c r="O51" s="2">
        <f t="shared" si="47"/>
        <v>2588.8265452979654</v>
      </c>
      <c r="P51" s="2">
        <f t="shared" si="46"/>
        <v>0</v>
      </c>
      <c r="Q51" s="158"/>
      <c r="R51" s="158"/>
    </row>
    <row r="52" spans="1:18" x14ac:dyDescent="0.2">
      <c r="A52" s="12"/>
      <c r="B52" s="23"/>
      <c r="C52" s="48"/>
      <c r="D52" s="50"/>
      <c r="E52" s="9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58"/>
      <c r="R52" s="158"/>
    </row>
    <row r="53" spans="1:18" x14ac:dyDescent="0.2">
      <c r="A53" s="12"/>
      <c r="B53" s="23"/>
      <c r="C53" s="48"/>
      <c r="D53" s="47" t="s">
        <v>455</v>
      </c>
      <c r="E53" s="9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58"/>
      <c r="R53" s="158"/>
    </row>
    <row r="54" spans="1:18" x14ac:dyDescent="0.2">
      <c r="A54" s="12">
        <f>+A51+1</f>
        <v>35</v>
      </c>
      <c r="B54" s="23">
        <v>1.9</v>
      </c>
      <c r="C54" s="48" t="s">
        <v>456</v>
      </c>
      <c r="D54" s="50" t="s">
        <v>457</v>
      </c>
      <c r="E54" s="118">
        <v>0</v>
      </c>
      <c r="F54" s="74">
        <f>INDEX(AlocTable,MATCH($B54,AlocList),3)*$E54</f>
        <v>0</v>
      </c>
      <c r="G54" s="74">
        <f>INDEX(AlocTable,MATCH($B54,AlocList),4)*$E54</f>
        <v>0</v>
      </c>
      <c r="H54" s="74">
        <f>INDEX(AlocTable,MATCH($B54,AlocList),5)*$E54</f>
        <v>0</v>
      </c>
      <c r="I54" s="74">
        <f>INDEX(AlocTable,MATCH($B54,AlocList),6)*$E54</f>
        <v>0</v>
      </c>
      <c r="J54" s="74">
        <f>INDEX(AlocTable,MATCH($B54,AlocList),7)*$E54</f>
        <v>0</v>
      </c>
      <c r="K54" s="74">
        <f>INDEX(AlocTable,MATCH($B54,AlocList),8)*$E54</f>
        <v>0</v>
      </c>
      <c r="L54" s="74">
        <f>INDEX(AlocTable,MATCH($B54,AlocList),9)*$E54</f>
        <v>0</v>
      </c>
      <c r="M54" s="74">
        <f t="shared" ref="M54:M56" si="48">INDEX(AlocTable,MATCH($B54,AlocList),10)*$E54</f>
        <v>0</v>
      </c>
      <c r="N54" s="74">
        <f>INDEX(AlocTable,MATCH($B54,AlocList),11)*$E54</f>
        <v>0</v>
      </c>
      <c r="O54" s="90">
        <f>INDEX(AlocTable,MATCH($B54,AlocList),12)*$E54</f>
        <v>0</v>
      </c>
      <c r="P54" s="90">
        <f>INDEX(AlocTable,MATCH($B54,AlocList),13)*$E54</f>
        <v>0</v>
      </c>
      <c r="Q54" s="158"/>
      <c r="R54" s="158"/>
    </row>
    <row r="55" spans="1:18" x14ac:dyDescent="0.2">
      <c r="A55" s="12">
        <f>+A54+1</f>
        <v>36</v>
      </c>
      <c r="B55" s="23">
        <v>1.9</v>
      </c>
      <c r="C55" s="48" t="s">
        <v>458</v>
      </c>
      <c r="D55" s="50" t="s">
        <v>459</v>
      </c>
      <c r="E55" s="118">
        <v>0</v>
      </c>
      <c r="F55" s="74">
        <f>INDEX(AlocTable,MATCH($B55,AlocList),3)*$E55</f>
        <v>0</v>
      </c>
      <c r="G55" s="74">
        <f>INDEX(AlocTable,MATCH($B55,AlocList),4)*$E55</f>
        <v>0</v>
      </c>
      <c r="H55" s="74">
        <f>INDEX(AlocTable,MATCH($B55,AlocList),5)*$E55</f>
        <v>0</v>
      </c>
      <c r="I55" s="74">
        <f>INDEX(AlocTable,MATCH($B55,AlocList),6)*$E55</f>
        <v>0</v>
      </c>
      <c r="J55" s="74">
        <f>INDEX(AlocTable,MATCH($B55,AlocList),7)*$E55</f>
        <v>0</v>
      </c>
      <c r="K55" s="74">
        <f>INDEX(AlocTable,MATCH($B55,AlocList),8)*$E55</f>
        <v>0</v>
      </c>
      <c r="L55" s="74">
        <f>INDEX(AlocTable,MATCH($B55,AlocList),9)*$E55</f>
        <v>0</v>
      </c>
      <c r="M55" s="74">
        <f t="shared" si="48"/>
        <v>0</v>
      </c>
      <c r="N55" s="74">
        <f>INDEX(AlocTable,MATCH($B55,AlocList),11)*$E55</f>
        <v>0</v>
      </c>
      <c r="O55" s="74">
        <f>INDEX(AlocTable,MATCH($B55,AlocList),12)*$E55</f>
        <v>0</v>
      </c>
      <c r="P55" s="74">
        <f>INDEX(AlocTable,MATCH($B55,AlocList),13)*$E55</f>
        <v>0</v>
      </c>
      <c r="Q55" s="158"/>
      <c r="R55" s="158"/>
    </row>
    <row r="56" spans="1:18" x14ac:dyDescent="0.2">
      <c r="A56" s="111">
        <f>+A55+1</f>
        <v>37</v>
      </c>
      <c r="B56" s="28">
        <v>1.9</v>
      </c>
      <c r="C56" s="49" t="s">
        <v>460</v>
      </c>
      <c r="D56" s="51" t="s">
        <v>461</v>
      </c>
      <c r="E56" s="109">
        <v>0</v>
      </c>
      <c r="F56" s="89">
        <f>INDEX(AlocTable,MATCH($B56,AlocList),3)*$E56</f>
        <v>0</v>
      </c>
      <c r="G56" s="89">
        <f>INDEX(AlocTable,MATCH($B56,AlocList),4)*$E56</f>
        <v>0</v>
      </c>
      <c r="H56" s="89">
        <f>INDEX(AlocTable,MATCH($B56,AlocList),5)*$E56</f>
        <v>0</v>
      </c>
      <c r="I56" s="89">
        <f>INDEX(AlocTable,MATCH($B56,AlocList),6)*$E56</f>
        <v>0</v>
      </c>
      <c r="J56" s="89">
        <f>INDEX(AlocTable,MATCH($B56,AlocList),7)*$E56</f>
        <v>0</v>
      </c>
      <c r="K56" s="89">
        <f>INDEX(AlocTable,MATCH($B56,AlocList),8)*$E56</f>
        <v>0</v>
      </c>
      <c r="L56" s="89">
        <f>INDEX(AlocTable,MATCH($B56,AlocList),9)*$E56</f>
        <v>0</v>
      </c>
      <c r="M56" s="89">
        <f t="shared" si="48"/>
        <v>0</v>
      </c>
      <c r="N56" s="89">
        <f>INDEX(AlocTable,MATCH($B56,AlocList),11)*$E56</f>
        <v>0</v>
      </c>
      <c r="O56" s="89">
        <f>INDEX(AlocTable,MATCH($B56,AlocList),12)*$E56</f>
        <v>0</v>
      </c>
      <c r="P56" s="89">
        <f>INDEX(AlocTable,MATCH($B56,AlocList),13)*$E56</f>
        <v>0</v>
      </c>
      <c r="Q56" s="158"/>
      <c r="R56" s="158"/>
    </row>
    <row r="57" spans="1:18" x14ac:dyDescent="0.2">
      <c r="A57" s="12">
        <f>+A56+1</f>
        <v>38</v>
      </c>
      <c r="B57" s="23"/>
      <c r="C57" s="48"/>
      <c r="D57" s="50" t="s">
        <v>462</v>
      </c>
      <c r="E57" s="90">
        <f t="shared" ref="E57:M57" si="49">SUM(E54:E56)</f>
        <v>0</v>
      </c>
      <c r="F57" s="2">
        <f t="shared" si="49"/>
        <v>0</v>
      </c>
      <c r="G57" s="2">
        <f t="shared" si="49"/>
        <v>0</v>
      </c>
      <c r="H57" s="2">
        <f t="shared" si="49"/>
        <v>0</v>
      </c>
      <c r="I57" s="2">
        <f t="shared" si="49"/>
        <v>0</v>
      </c>
      <c r="J57" s="2">
        <f t="shared" si="49"/>
        <v>0</v>
      </c>
      <c r="K57" s="2">
        <f t="shared" si="49"/>
        <v>0</v>
      </c>
      <c r="L57" s="2">
        <f t="shared" si="49"/>
        <v>0</v>
      </c>
      <c r="M57" s="2">
        <f t="shared" si="49"/>
        <v>0</v>
      </c>
      <c r="N57" s="2">
        <f t="shared" ref="N57:P57" si="50">SUM(N54:N56)</f>
        <v>0</v>
      </c>
      <c r="O57" s="2">
        <f t="shared" si="50"/>
        <v>0</v>
      </c>
      <c r="P57" s="2">
        <f t="shared" si="50"/>
        <v>0</v>
      </c>
      <c r="Q57" s="158"/>
      <c r="R57" s="158"/>
    </row>
    <row r="58" spans="1:18" x14ac:dyDescent="0.2">
      <c r="A58" s="12"/>
      <c r="B58" s="23"/>
      <c r="C58" s="48"/>
      <c r="D58" s="50"/>
      <c r="E58" s="9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58"/>
      <c r="R58" s="158"/>
    </row>
    <row r="59" spans="1:18" x14ac:dyDescent="0.2">
      <c r="A59" s="12"/>
      <c r="B59" s="23"/>
      <c r="C59" s="48"/>
      <c r="D59" s="47" t="s">
        <v>273</v>
      </c>
      <c r="E59" s="9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58"/>
      <c r="R59" s="158"/>
    </row>
    <row r="60" spans="1:18" x14ac:dyDescent="0.2">
      <c r="A60" s="12">
        <f>+A57+1</f>
        <v>39</v>
      </c>
      <c r="B60" s="23">
        <v>1.9</v>
      </c>
      <c r="C60" s="48" t="s">
        <v>463</v>
      </c>
      <c r="D60" s="50" t="s">
        <v>464</v>
      </c>
      <c r="E60" s="118">
        <v>73997.97</v>
      </c>
      <c r="F60" s="2">
        <f>INDEX(AlocTable,MATCH($B60,AlocList),3)*$E60</f>
        <v>0</v>
      </c>
      <c r="G60" s="2">
        <f>INDEX(AlocTable,MATCH($B60,AlocList),4)*$E60</f>
        <v>0</v>
      </c>
      <c r="H60" s="2">
        <f>INDEX(AlocTable,MATCH($B60,AlocList),5)*$E60</f>
        <v>0</v>
      </c>
      <c r="I60" s="2">
        <f>INDEX(AlocTable,MATCH($B60,AlocList),6)*$E60</f>
        <v>0</v>
      </c>
      <c r="J60" s="2">
        <f>INDEX(AlocTable,MATCH($B60,AlocList),7)*$E60</f>
        <v>0</v>
      </c>
      <c r="K60" s="2">
        <f>INDEX(AlocTable,MATCH($B60,AlocList),8)*$E60</f>
        <v>0</v>
      </c>
      <c r="L60" s="2">
        <f>INDEX(AlocTable,MATCH($B60,AlocList),9)*$E60</f>
        <v>0</v>
      </c>
      <c r="M60" s="2">
        <f>INDEX(AlocTable,MATCH($B60,AlocList),10)*$E60</f>
        <v>0</v>
      </c>
      <c r="N60" s="2">
        <f>INDEX(AlocTable,MATCH($B60,AlocList),11)*$E60</f>
        <v>0</v>
      </c>
      <c r="O60" s="90">
        <f>INDEX(AlocTable,MATCH($B60,AlocList),12)*$E60</f>
        <v>0</v>
      </c>
      <c r="P60" s="90">
        <f>INDEX(AlocTable,MATCH($B60,AlocList),13)*$E60</f>
        <v>73997.97</v>
      </c>
      <c r="Q60" s="158"/>
      <c r="R60" s="158"/>
    </row>
    <row r="61" spans="1:18" x14ac:dyDescent="0.2">
      <c r="A61" s="111">
        <f>+A60+1</f>
        <v>40</v>
      </c>
      <c r="B61" s="28">
        <v>1.9</v>
      </c>
      <c r="C61" s="49" t="s">
        <v>465</v>
      </c>
      <c r="D61" s="51" t="s">
        <v>466</v>
      </c>
      <c r="E61" s="109">
        <v>5530.21</v>
      </c>
      <c r="F61" s="36">
        <f>INDEX(AlocTable,MATCH($B61,AlocList),3)*$E61</f>
        <v>0</v>
      </c>
      <c r="G61" s="36">
        <f>INDEX(AlocTable,MATCH($B61,AlocList),4)*$E61</f>
        <v>0</v>
      </c>
      <c r="H61" s="36">
        <f>INDEX(AlocTable,MATCH($B61,AlocList),5)*$E61</f>
        <v>0</v>
      </c>
      <c r="I61" s="36">
        <f>INDEX(AlocTable,MATCH($B61,AlocList),6)*$E61</f>
        <v>0</v>
      </c>
      <c r="J61" s="36">
        <f>INDEX(AlocTable,MATCH($B61,AlocList),7)*$E61</f>
        <v>0</v>
      </c>
      <c r="K61" s="36">
        <f>INDEX(AlocTable,MATCH($B61,AlocList),8)*$E61</f>
        <v>0</v>
      </c>
      <c r="L61" s="36">
        <f>INDEX(AlocTable,MATCH($B61,AlocList),9)*$E61</f>
        <v>0</v>
      </c>
      <c r="M61" s="36">
        <f>INDEX(AlocTable,MATCH($B61,AlocList),10)*$E61</f>
        <v>0</v>
      </c>
      <c r="N61" s="36">
        <f>INDEX(AlocTable,MATCH($B61,AlocList),11)*$E61</f>
        <v>0</v>
      </c>
      <c r="O61" s="89">
        <f>INDEX(AlocTable,MATCH($B61,AlocList),12)*$E61</f>
        <v>0</v>
      </c>
      <c r="P61" s="89">
        <f>INDEX(AlocTable,MATCH($B61,AlocList),13)*$E61</f>
        <v>5530.21</v>
      </c>
      <c r="Q61" s="158"/>
      <c r="R61" s="158"/>
    </row>
    <row r="62" spans="1:18" x14ac:dyDescent="0.2">
      <c r="A62" s="12">
        <f>+A61+1</f>
        <v>41</v>
      </c>
      <c r="B62" s="23"/>
      <c r="C62" s="48"/>
      <c r="D62" s="50" t="s">
        <v>467</v>
      </c>
      <c r="E62" s="90">
        <f t="shared" ref="E62:P62" si="51">SUM(E60:E61)</f>
        <v>79528.180000000008</v>
      </c>
      <c r="F62" s="2">
        <f t="shared" si="51"/>
        <v>0</v>
      </c>
      <c r="G62" s="2">
        <f t="shared" si="51"/>
        <v>0</v>
      </c>
      <c r="H62" s="2">
        <f t="shared" si="51"/>
        <v>0</v>
      </c>
      <c r="I62" s="2">
        <f t="shared" si="51"/>
        <v>0</v>
      </c>
      <c r="J62" s="2">
        <f t="shared" si="51"/>
        <v>0</v>
      </c>
      <c r="K62" s="2">
        <f t="shared" si="51"/>
        <v>0</v>
      </c>
      <c r="L62" s="2">
        <f t="shared" si="51"/>
        <v>0</v>
      </c>
      <c r="M62" s="2">
        <f t="shared" si="51"/>
        <v>0</v>
      </c>
      <c r="N62" s="2">
        <f t="shared" ref="N62:O62" si="52">SUM(N60:N61)</f>
        <v>0</v>
      </c>
      <c r="O62" s="2">
        <f t="shared" si="52"/>
        <v>0</v>
      </c>
      <c r="P62" s="2">
        <f t="shared" si="51"/>
        <v>79528.180000000008</v>
      </c>
      <c r="Q62" s="158"/>
      <c r="R62" s="158"/>
    </row>
    <row r="63" spans="1:18" x14ac:dyDescent="0.2">
      <c r="A63" s="12"/>
      <c r="B63" s="23"/>
      <c r="C63" s="48"/>
      <c r="D63" s="50"/>
      <c r="E63" s="9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58"/>
      <c r="R63" s="158"/>
    </row>
    <row r="64" spans="1:18" x14ac:dyDescent="0.2">
      <c r="A64" s="12"/>
      <c r="B64" s="23"/>
      <c r="C64" s="48"/>
      <c r="D64" s="47" t="s">
        <v>468</v>
      </c>
      <c r="E64" s="9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58"/>
      <c r="R64" s="158"/>
    </row>
    <row r="65" spans="1:18" x14ac:dyDescent="0.2">
      <c r="A65" s="12">
        <f>+A62+1</f>
        <v>42</v>
      </c>
      <c r="B65" s="23">
        <v>40</v>
      </c>
      <c r="C65" s="48" t="s">
        <v>469</v>
      </c>
      <c r="D65" s="50" t="s">
        <v>470</v>
      </c>
      <c r="E65" s="118">
        <v>581688.99</v>
      </c>
      <c r="F65" s="2">
        <f t="shared" ref="F65:F71" si="53">INDEX(AlocTable,MATCH($B65,AlocList),3)*$E65</f>
        <v>19862.864823752694</v>
      </c>
      <c r="G65" s="2">
        <f t="shared" ref="G65:G71" si="54">INDEX(AlocTable,MATCH($B65,AlocList),4)*$E65</f>
        <v>48438.665589188342</v>
      </c>
      <c r="H65" s="2">
        <f t="shared" ref="H65:H71" si="55">INDEX(AlocTable,MATCH($B65,AlocList),5)*$E65</f>
        <v>115772.98049363108</v>
      </c>
      <c r="I65" s="2">
        <f t="shared" ref="I65:I71" si="56">INDEX(AlocTable,MATCH($B65,AlocList),6)*$E65</f>
        <v>147220.98955477763</v>
      </c>
      <c r="J65" s="2">
        <f t="shared" ref="J65:J71" si="57">INDEX(AlocTable,MATCH($B65,AlocList),7)*$E65</f>
        <v>54706.639903222233</v>
      </c>
      <c r="K65" s="2">
        <f t="shared" ref="K65:K71" si="58">INDEX(AlocTable,MATCH($B65,AlocList),8)*$E65</f>
        <v>4206.3870416690534</v>
      </c>
      <c r="L65" s="2">
        <f t="shared" ref="L65:L71" si="59">INDEX(AlocTable,MATCH($B65,AlocList),9)*$E65</f>
        <v>139.65592425232862</v>
      </c>
      <c r="M65" s="2">
        <f t="shared" ref="M65:M71" si="60">INDEX(AlocTable,MATCH($B65,AlocList),10)*$E65</f>
        <v>173778.05662007577</v>
      </c>
      <c r="N65" s="2">
        <f t="shared" ref="N65:N71" si="61">INDEX(AlocTable,MATCH($B65,AlocList),11)*$E65</f>
        <v>4409.3737768438978</v>
      </c>
      <c r="O65" s="90">
        <f t="shared" ref="O65:O71" si="62">INDEX(AlocTable,MATCH($B65,AlocList),12)*$E65</f>
        <v>4500.5892292546168</v>
      </c>
      <c r="P65" s="90">
        <f t="shared" ref="P65:P71" si="63">INDEX(AlocTable,MATCH($B65,AlocList),13)*$E65</f>
        <v>8652.7870433324715</v>
      </c>
      <c r="Q65" s="158"/>
      <c r="R65" s="158"/>
    </row>
    <row r="66" spans="1:18" x14ac:dyDescent="0.2">
      <c r="A66" s="12">
        <f>+A65+1</f>
        <v>43</v>
      </c>
      <c r="B66" s="23">
        <v>40</v>
      </c>
      <c r="C66" s="48" t="s">
        <v>471</v>
      </c>
      <c r="D66" s="50" t="s">
        <v>472</v>
      </c>
      <c r="E66" s="118">
        <v>-95464.320000000007</v>
      </c>
      <c r="F66" s="2">
        <f t="shared" si="53"/>
        <v>-3259.8087917247167</v>
      </c>
      <c r="G66" s="2">
        <f t="shared" si="54"/>
        <v>-7949.547527415406</v>
      </c>
      <c r="H66" s="2">
        <f t="shared" si="55"/>
        <v>-19000.168556048753</v>
      </c>
      <c r="I66" s="2">
        <f t="shared" si="56"/>
        <v>-24161.281886346085</v>
      </c>
      <c r="J66" s="2">
        <f t="shared" si="57"/>
        <v>-8978.2207805686285</v>
      </c>
      <c r="K66" s="2">
        <f t="shared" si="58"/>
        <v>-690.33432898523301</v>
      </c>
      <c r="L66" s="2">
        <f t="shared" si="59"/>
        <v>-22.919735583649366</v>
      </c>
      <c r="M66" s="2">
        <f t="shared" si="60"/>
        <v>-28519.714643656971</v>
      </c>
      <c r="N66" s="2">
        <f t="shared" si="61"/>
        <v>-723.64764757234707</v>
      </c>
      <c r="O66" s="90">
        <f t="shared" si="62"/>
        <v>-738.61753919412524</v>
      </c>
      <c r="P66" s="90">
        <f t="shared" si="63"/>
        <v>-1420.0585629041132</v>
      </c>
      <c r="Q66" s="158"/>
      <c r="R66" s="158"/>
    </row>
    <row r="67" spans="1:18" x14ac:dyDescent="0.2">
      <c r="A67" s="12">
        <f t="shared" ref="A67:A72" si="64">+A66+1</f>
        <v>44</v>
      </c>
      <c r="B67" s="23">
        <v>47</v>
      </c>
      <c r="C67" s="48" t="s">
        <v>473</v>
      </c>
      <c r="D67" s="50" t="s">
        <v>474</v>
      </c>
      <c r="E67" s="118">
        <v>9340.34</v>
      </c>
      <c r="F67" s="2">
        <f t="shared" si="53"/>
        <v>178.60478609783448</v>
      </c>
      <c r="G67" s="2">
        <f t="shared" si="54"/>
        <v>1327.8053388610961</v>
      </c>
      <c r="H67" s="2">
        <f t="shared" si="55"/>
        <v>3173.5800259042762</v>
      </c>
      <c r="I67" s="2">
        <f t="shared" si="56"/>
        <v>2983.2113588832217</v>
      </c>
      <c r="J67" s="2">
        <f t="shared" si="57"/>
        <v>1167.3194399840802</v>
      </c>
      <c r="K67" s="2">
        <f t="shared" si="58"/>
        <v>180.57597775691235</v>
      </c>
      <c r="L67" s="2">
        <f t="shared" si="59"/>
        <v>10.944132468541747</v>
      </c>
      <c r="M67" s="2">
        <f t="shared" si="60"/>
        <v>289.08298333153317</v>
      </c>
      <c r="N67" s="2">
        <f t="shared" si="61"/>
        <v>7.3350741217036202</v>
      </c>
      <c r="O67" s="90">
        <f t="shared" si="62"/>
        <v>7.4868126991839459</v>
      </c>
      <c r="P67" s="90">
        <f t="shared" si="63"/>
        <v>14.394069891618381</v>
      </c>
      <c r="Q67" s="158"/>
      <c r="R67" s="158"/>
    </row>
    <row r="68" spans="1:18" x14ac:dyDescent="0.2">
      <c r="A68" s="12">
        <f t="shared" si="64"/>
        <v>45</v>
      </c>
      <c r="B68" s="23">
        <v>40</v>
      </c>
      <c r="C68" s="48" t="s">
        <v>475</v>
      </c>
      <c r="D68" s="50" t="s">
        <v>476</v>
      </c>
      <c r="E68" s="118">
        <v>68828.34</v>
      </c>
      <c r="F68" s="2">
        <f t="shared" si="53"/>
        <v>2350.2731476201575</v>
      </c>
      <c r="G68" s="2">
        <f t="shared" si="54"/>
        <v>5731.5042946213498</v>
      </c>
      <c r="H68" s="2">
        <f t="shared" si="55"/>
        <v>13698.835978018094</v>
      </c>
      <c r="I68" s="2">
        <f t="shared" si="56"/>
        <v>17419.921123507396</v>
      </c>
      <c r="J68" s="2">
        <f t="shared" si="57"/>
        <v>6473.1622503574408</v>
      </c>
      <c r="K68" s="2">
        <f t="shared" si="58"/>
        <v>497.72067625964826</v>
      </c>
      <c r="L68" s="2">
        <f t="shared" si="59"/>
        <v>16.524784898289926</v>
      </c>
      <c r="M68" s="2">
        <f t="shared" si="60"/>
        <v>20562.285639248261</v>
      </c>
      <c r="N68" s="2">
        <f t="shared" si="61"/>
        <v>521.73907829972154</v>
      </c>
      <c r="O68" s="90">
        <f t="shared" si="62"/>
        <v>532.5321451786026</v>
      </c>
      <c r="P68" s="90">
        <f t="shared" si="63"/>
        <v>1023.8408819910484</v>
      </c>
      <c r="Q68" s="158"/>
      <c r="R68" s="158"/>
    </row>
    <row r="69" spans="1:18" x14ac:dyDescent="0.2">
      <c r="A69" s="12">
        <f t="shared" si="64"/>
        <v>46</v>
      </c>
      <c r="B69" s="23">
        <v>58.2</v>
      </c>
      <c r="C69" s="48" t="s">
        <v>477</v>
      </c>
      <c r="D69" s="50" t="s">
        <v>478</v>
      </c>
      <c r="E69" s="118">
        <v>15152.7</v>
      </c>
      <c r="F69" s="2">
        <f t="shared" si="53"/>
        <v>463.92104716118797</v>
      </c>
      <c r="G69" s="2">
        <f t="shared" si="54"/>
        <v>1327.5052996839504</v>
      </c>
      <c r="H69" s="2">
        <f t="shared" si="55"/>
        <v>3172.8629039650059</v>
      </c>
      <c r="I69" s="2">
        <f t="shared" si="56"/>
        <v>3834.9873045584332</v>
      </c>
      <c r="J69" s="2">
        <f t="shared" si="57"/>
        <v>2292.0141797485899</v>
      </c>
      <c r="K69" s="2">
        <f t="shared" si="58"/>
        <v>212.55144550254016</v>
      </c>
      <c r="L69" s="2">
        <f t="shared" si="59"/>
        <v>4.0282403149688015</v>
      </c>
      <c r="M69" s="2">
        <f t="shared" si="60"/>
        <v>3210.1949798640849</v>
      </c>
      <c r="N69" s="2">
        <f t="shared" si="61"/>
        <v>14.283010351525586</v>
      </c>
      <c r="O69" s="90">
        <f t="shared" si="62"/>
        <v>14.578478895798993</v>
      </c>
      <c r="P69" s="90">
        <f t="shared" si="63"/>
        <v>605.77310995391417</v>
      </c>
      <c r="Q69" s="158"/>
      <c r="R69" s="158"/>
    </row>
    <row r="70" spans="1:18" x14ac:dyDescent="0.2">
      <c r="A70" s="12">
        <f t="shared" si="64"/>
        <v>47</v>
      </c>
      <c r="B70" s="23">
        <v>47</v>
      </c>
      <c r="C70" s="48" t="s">
        <v>479</v>
      </c>
      <c r="D70" s="50" t="s">
        <v>480</v>
      </c>
      <c r="E70" s="118">
        <v>1160.6600000000001</v>
      </c>
      <c r="F70" s="2">
        <f t="shared" si="53"/>
        <v>22.193991978055681</v>
      </c>
      <c r="G70" s="2">
        <f t="shared" si="54"/>
        <v>164.9972639756711</v>
      </c>
      <c r="H70" s="2">
        <f t="shared" si="55"/>
        <v>394.35902685191945</v>
      </c>
      <c r="I70" s="2">
        <f t="shared" si="56"/>
        <v>370.70321806287569</v>
      </c>
      <c r="J70" s="2">
        <f t="shared" si="57"/>
        <v>145.05478186146573</v>
      </c>
      <c r="K70" s="2">
        <f t="shared" si="58"/>
        <v>22.438938447994175</v>
      </c>
      <c r="L70" s="2">
        <f t="shared" si="59"/>
        <v>1.3599522919869798</v>
      </c>
      <c r="M70" s="2">
        <f t="shared" si="60"/>
        <v>35.922359939100431</v>
      </c>
      <c r="N70" s="2">
        <f t="shared" si="61"/>
        <v>0.91147936050470579</v>
      </c>
      <c r="O70" s="90">
        <f t="shared" si="62"/>
        <v>0.93033487297409301</v>
      </c>
      <c r="P70" s="90">
        <f t="shared" si="63"/>
        <v>1.7886523574522759</v>
      </c>
      <c r="Q70" s="158"/>
      <c r="R70" s="158"/>
    </row>
    <row r="71" spans="1:18" x14ac:dyDescent="0.2">
      <c r="A71" s="111">
        <f t="shared" si="64"/>
        <v>48</v>
      </c>
      <c r="B71" s="28">
        <v>40</v>
      </c>
      <c r="C71" s="49" t="s">
        <v>481</v>
      </c>
      <c r="D71" s="51" t="s">
        <v>482</v>
      </c>
      <c r="E71" s="109">
        <v>6953.18</v>
      </c>
      <c r="F71" s="36">
        <f t="shared" si="53"/>
        <v>237.42941126532369</v>
      </c>
      <c r="G71" s="36">
        <f t="shared" si="54"/>
        <v>579.00831301866765</v>
      </c>
      <c r="H71" s="36">
        <f t="shared" si="55"/>
        <v>1383.884492138498</v>
      </c>
      <c r="I71" s="36">
        <f t="shared" si="56"/>
        <v>1759.7961414956276</v>
      </c>
      <c r="J71" s="36">
        <f t="shared" si="57"/>
        <v>653.93212005316934</v>
      </c>
      <c r="K71" s="36">
        <f t="shared" si="58"/>
        <v>50.280763007724161</v>
      </c>
      <c r="L71" s="36">
        <f t="shared" si="59"/>
        <v>1.6693676450585841</v>
      </c>
      <c r="M71" s="36">
        <f t="shared" si="60"/>
        <v>2077.2442464994542</v>
      </c>
      <c r="N71" s="36">
        <f t="shared" si="61"/>
        <v>52.707151217827686</v>
      </c>
      <c r="O71" s="89">
        <f t="shared" si="62"/>
        <v>53.797488958951448</v>
      </c>
      <c r="P71" s="89">
        <f t="shared" si="63"/>
        <v>103.43050469969954</v>
      </c>
      <c r="Q71" s="158"/>
      <c r="R71" s="158"/>
    </row>
    <row r="72" spans="1:18" x14ac:dyDescent="0.2">
      <c r="A72" s="12">
        <f t="shared" si="64"/>
        <v>49</v>
      </c>
      <c r="B72" s="23"/>
      <c r="C72" s="48"/>
      <c r="D72" s="50" t="s">
        <v>483</v>
      </c>
      <c r="E72" s="90">
        <f t="shared" ref="E72:P72" si="65">SUM(E65:E71)</f>
        <v>587659.89</v>
      </c>
      <c r="F72" s="2">
        <f t="shared" si="65"/>
        <v>19855.478416150538</v>
      </c>
      <c r="G72" s="2">
        <f t="shared" si="65"/>
        <v>49619.938571933671</v>
      </c>
      <c r="H72" s="2">
        <f t="shared" si="65"/>
        <v>118596.33436446013</v>
      </c>
      <c r="I72" s="2">
        <f t="shared" si="65"/>
        <v>149428.32681493909</v>
      </c>
      <c r="J72" s="2">
        <f t="shared" si="65"/>
        <v>56459.901894658353</v>
      </c>
      <c r="K72" s="2">
        <f t="shared" si="65"/>
        <v>4479.6205136586404</v>
      </c>
      <c r="L72" s="2">
        <f t="shared" si="65"/>
        <v>151.26266628752529</v>
      </c>
      <c r="M72" s="2">
        <f t="shared" si="65"/>
        <v>171433.07218530125</v>
      </c>
      <c r="N72" s="2">
        <f t="shared" si="65"/>
        <v>4282.7019226228331</v>
      </c>
      <c r="O72" s="2">
        <f t="shared" si="65"/>
        <v>4371.2969506660038</v>
      </c>
      <c r="P72" s="2">
        <f t="shared" si="65"/>
        <v>8981.9556993220922</v>
      </c>
      <c r="Q72" s="158"/>
      <c r="R72" s="158"/>
    </row>
    <row r="73" spans="1:18" x14ac:dyDescent="0.2">
      <c r="A73" s="12"/>
      <c r="B73" s="23"/>
      <c r="C73" s="48"/>
      <c r="D73" s="50"/>
      <c r="E73" s="9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58"/>
      <c r="R73" s="158"/>
    </row>
    <row r="74" spans="1:18" x14ac:dyDescent="0.2">
      <c r="A74" s="12">
        <f>+A72+1</f>
        <v>50</v>
      </c>
      <c r="B74" s="23">
        <v>40</v>
      </c>
      <c r="C74" s="48" t="s">
        <v>484</v>
      </c>
      <c r="D74" s="50" t="s">
        <v>247</v>
      </c>
      <c r="E74" s="300">
        <v>0</v>
      </c>
      <c r="F74" s="87">
        <f>INDEX(AlocTable,MATCH($B74,AlocList),3)*$E74</f>
        <v>0</v>
      </c>
      <c r="G74" s="74">
        <f>INDEX(AlocTable,MATCH($B74,AlocList),4)*$E74</f>
        <v>0</v>
      </c>
      <c r="H74" s="74">
        <f>INDEX(AlocTable,MATCH($B74,AlocList),5)*$E74</f>
        <v>0</v>
      </c>
      <c r="I74" s="74">
        <f>INDEX(AlocTable,MATCH($B74,AlocList),6)*$E74</f>
        <v>0</v>
      </c>
      <c r="J74" s="74">
        <f>INDEX(AlocTable,MATCH($B74,AlocList),7)*$E74</f>
        <v>0</v>
      </c>
      <c r="K74" s="74">
        <f>INDEX(AlocTable,MATCH($B74,AlocList),8)*$E74</f>
        <v>0</v>
      </c>
      <c r="L74" s="74">
        <f>INDEX(AlocTable,MATCH($B74,AlocList),9)*$E74</f>
        <v>0</v>
      </c>
      <c r="M74" s="74">
        <f>INDEX(AlocTable,MATCH($B74,AlocList),10)*$E74</f>
        <v>0</v>
      </c>
      <c r="N74" s="74">
        <f>INDEX(AlocTable,MATCH($B74,AlocList),11)*$E74</f>
        <v>0</v>
      </c>
      <c r="O74" s="90">
        <f>INDEX(AlocTable,MATCH($B74,AlocList),12)*$E74</f>
        <v>0</v>
      </c>
      <c r="P74" s="90">
        <f>INDEX(AlocTable,MATCH($B74,AlocList),13)*$E74</f>
        <v>0</v>
      </c>
      <c r="Q74" s="158"/>
      <c r="R74" s="158"/>
    </row>
    <row r="75" spans="1:18" x14ac:dyDescent="0.2">
      <c r="A75" s="111">
        <f>+A74+1</f>
        <v>51</v>
      </c>
      <c r="B75" s="28">
        <v>40</v>
      </c>
      <c r="C75" s="49" t="s">
        <v>485</v>
      </c>
      <c r="D75" s="51" t="s">
        <v>486</v>
      </c>
      <c r="E75" s="109">
        <v>0</v>
      </c>
      <c r="F75" s="89">
        <f>INDEX(AlocTable,MATCH($B75,AlocList),3)*$E75</f>
        <v>0</v>
      </c>
      <c r="G75" s="89">
        <f>INDEX(AlocTable,MATCH($B75,AlocList),4)*$E75</f>
        <v>0</v>
      </c>
      <c r="H75" s="89">
        <f>INDEX(AlocTable,MATCH($B75,AlocList),5)*$E75</f>
        <v>0</v>
      </c>
      <c r="I75" s="89">
        <f>INDEX(AlocTable,MATCH($B75,AlocList),6)*$E75</f>
        <v>0</v>
      </c>
      <c r="J75" s="89">
        <f>INDEX(AlocTable,MATCH($B75,AlocList),7)*$E75</f>
        <v>0</v>
      </c>
      <c r="K75" s="89">
        <f>INDEX(AlocTable,MATCH($B75,AlocList),8)*$E75</f>
        <v>0</v>
      </c>
      <c r="L75" s="89">
        <f>INDEX(AlocTable,MATCH($B75,AlocList),9)*$E75</f>
        <v>0</v>
      </c>
      <c r="M75" s="89">
        <f>INDEX(AlocTable,MATCH($B75,AlocList),10)*$E75</f>
        <v>0</v>
      </c>
      <c r="N75" s="89">
        <f>INDEX(AlocTable,MATCH($B75,AlocList),11)*$E75</f>
        <v>0</v>
      </c>
      <c r="O75" s="89">
        <f>INDEX(AlocTable,MATCH($B75,AlocList),12)*$E75</f>
        <v>0</v>
      </c>
      <c r="P75" s="89">
        <f>INDEX(AlocTable,MATCH($B75,AlocList),13)*$E75</f>
        <v>0</v>
      </c>
      <c r="Q75" s="158"/>
      <c r="R75" s="158"/>
    </row>
    <row r="76" spans="1:18" x14ac:dyDescent="0.2">
      <c r="A76" s="12">
        <f>+A75+1</f>
        <v>52</v>
      </c>
      <c r="C76" s="48"/>
      <c r="D76" s="50" t="s">
        <v>287</v>
      </c>
      <c r="E76" s="90">
        <f t="shared" ref="E76:P76" si="66">SUM(E74:E75)</f>
        <v>0</v>
      </c>
      <c r="F76" s="2">
        <f t="shared" si="66"/>
        <v>0</v>
      </c>
      <c r="G76" s="2">
        <f t="shared" si="66"/>
        <v>0</v>
      </c>
      <c r="H76" s="2">
        <f t="shared" si="66"/>
        <v>0</v>
      </c>
      <c r="I76" s="2">
        <f t="shared" si="66"/>
        <v>0</v>
      </c>
      <c r="J76" s="2">
        <f t="shared" si="66"/>
        <v>0</v>
      </c>
      <c r="K76" s="2">
        <f t="shared" si="66"/>
        <v>0</v>
      </c>
      <c r="L76" s="2">
        <f t="shared" si="66"/>
        <v>0</v>
      </c>
      <c r="M76" s="2">
        <f t="shared" si="66"/>
        <v>0</v>
      </c>
      <c r="N76" s="2">
        <f t="shared" ref="N76:O76" si="67">SUM(N74:N75)</f>
        <v>0</v>
      </c>
      <c r="O76" s="2">
        <f t="shared" si="67"/>
        <v>0</v>
      </c>
      <c r="P76" s="2">
        <f t="shared" si="66"/>
        <v>0</v>
      </c>
      <c r="Q76" s="158"/>
      <c r="R76" s="158"/>
    </row>
    <row r="77" spans="1:18" x14ac:dyDescent="0.2">
      <c r="A77" s="12"/>
      <c r="C77" s="48"/>
      <c r="D77" s="50"/>
      <c r="E77" s="29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58"/>
      <c r="R77" s="158"/>
    </row>
    <row r="78" spans="1:18" x14ac:dyDescent="0.2">
      <c r="A78" s="12">
        <f>+A76+1</f>
        <v>53</v>
      </c>
      <c r="C78" s="48"/>
      <c r="D78" s="47" t="s">
        <v>487</v>
      </c>
      <c r="E78" s="299">
        <f t="shared" ref="E78:P78" si="68">E72+E76</f>
        <v>587659.89</v>
      </c>
      <c r="F78" s="2">
        <f t="shared" si="68"/>
        <v>19855.478416150538</v>
      </c>
      <c r="G78" s="2">
        <f t="shared" si="68"/>
        <v>49619.938571933671</v>
      </c>
      <c r="H78" s="2">
        <f t="shared" si="68"/>
        <v>118596.33436446013</v>
      </c>
      <c r="I78" s="2">
        <f t="shared" si="68"/>
        <v>149428.32681493909</v>
      </c>
      <c r="J78" s="2">
        <f t="shared" si="68"/>
        <v>56459.901894658353</v>
      </c>
      <c r="K78" s="2">
        <f t="shared" si="68"/>
        <v>4479.6205136586404</v>
      </c>
      <c r="L78" s="2">
        <f t="shared" si="68"/>
        <v>151.26266628752529</v>
      </c>
      <c r="M78" s="2">
        <f t="shared" si="68"/>
        <v>171433.07218530125</v>
      </c>
      <c r="N78" s="2">
        <f t="shared" ref="N78:O78" si="69">N72+N76</f>
        <v>4282.7019226228331</v>
      </c>
      <c r="O78" s="2">
        <f t="shared" si="69"/>
        <v>4371.2969506660038</v>
      </c>
      <c r="P78" s="2">
        <f t="shared" si="68"/>
        <v>8981.9556993220922</v>
      </c>
      <c r="Q78" s="158"/>
      <c r="R78" s="158"/>
    </row>
    <row r="79" spans="1:18" x14ac:dyDescent="0.2">
      <c r="A79" s="12">
        <f>+A78+1</f>
        <v>54</v>
      </c>
      <c r="C79" s="48"/>
      <c r="D79" s="47" t="s">
        <v>488</v>
      </c>
      <c r="E79" s="299">
        <f>SUM(E65:E68)+E71+E76</f>
        <v>571346.53</v>
      </c>
      <c r="F79" s="299">
        <f t="shared" ref="F79:P79" si="70">SUM(F65:F68)+F71+F76</f>
        <v>19369.363377011294</v>
      </c>
      <c r="G79" s="299">
        <f t="shared" si="70"/>
        <v>48127.436008274046</v>
      </c>
      <c r="H79" s="299">
        <f t="shared" si="70"/>
        <v>115029.1124336432</v>
      </c>
      <c r="I79" s="299">
        <f t="shared" si="70"/>
        <v>145222.63629231779</v>
      </c>
      <c r="J79" s="299">
        <f t="shared" si="70"/>
        <v>54022.832933048296</v>
      </c>
      <c r="K79" s="299">
        <f t="shared" si="70"/>
        <v>4244.6301297081054</v>
      </c>
      <c r="L79" s="299">
        <f t="shared" si="70"/>
        <v>145.87447368056951</v>
      </c>
      <c r="M79" s="299">
        <f t="shared" si="70"/>
        <v>168186.95484549805</v>
      </c>
      <c r="N79" s="299">
        <f t="shared" si="70"/>
        <v>4267.5074329108029</v>
      </c>
      <c r="O79" s="299">
        <f t="shared" ref="O79" si="71">SUM(O65:O68)+O71+O76</f>
        <v>4355.7881368972303</v>
      </c>
      <c r="P79" s="299">
        <f t="shared" si="70"/>
        <v>8374.3939370107255</v>
      </c>
      <c r="Q79" s="158"/>
      <c r="R79" s="158"/>
    </row>
    <row r="80" spans="1:18" x14ac:dyDescent="0.2">
      <c r="A80" s="12"/>
      <c r="C80" s="48"/>
      <c r="D80" s="47"/>
      <c r="E80" s="29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8" x14ac:dyDescent="0.2">
      <c r="A81" s="12">
        <f>+A79+1</f>
        <v>55</v>
      </c>
      <c r="C81" s="48"/>
      <c r="D81" s="47" t="s">
        <v>489</v>
      </c>
      <c r="E81" s="299">
        <f t="shared" ref="E81:P81" si="72">E$78+E$62+E$57+E$51+E$43+E$35+E$24+E$21+E$16+E$12+E$9</f>
        <v>7234464.4199999999</v>
      </c>
      <c r="F81" s="299">
        <f t="shared" si="72"/>
        <v>221479.87841615052</v>
      </c>
      <c r="G81" s="299">
        <f t="shared" si="72"/>
        <v>633863.88100244117</v>
      </c>
      <c r="H81" s="299">
        <f t="shared" si="72"/>
        <v>1514994.4747299673</v>
      </c>
      <c r="I81" s="299">
        <f t="shared" si="72"/>
        <v>1831042.9985591427</v>
      </c>
      <c r="J81" s="299">
        <f t="shared" si="72"/>
        <v>1094262.5905575841</v>
      </c>
      <c r="K81" s="299">
        <f t="shared" si="72"/>
        <v>101486.14969276628</v>
      </c>
      <c r="L81" s="299">
        <f t="shared" si="72"/>
        <v>1924.2836435448603</v>
      </c>
      <c r="M81" s="299">
        <f t="shared" si="72"/>
        <v>1532456.9046392695</v>
      </c>
      <c r="N81" s="299">
        <f t="shared" si="72"/>
        <v>6819.0595638476889</v>
      </c>
      <c r="O81" s="299">
        <f t="shared" si="72"/>
        <v>6960.1234959639696</v>
      </c>
      <c r="P81" s="299">
        <f t="shared" si="72"/>
        <v>289174.0756993221</v>
      </c>
      <c r="Q81" s="158"/>
      <c r="R81" s="158"/>
    </row>
    <row r="82" spans="1:18" x14ac:dyDescent="0.2">
      <c r="A82" s="12">
        <f>+A81+1</f>
        <v>56</v>
      </c>
      <c r="C82" s="48"/>
      <c r="D82" s="47" t="s">
        <v>490</v>
      </c>
      <c r="E82" s="301">
        <f>SUM(F82:P82)</f>
        <v>1.0000000000000002</v>
      </c>
      <c r="F82" s="26">
        <f t="shared" ref="F82:P82" si="73">F81/$E$81</f>
        <v>3.0614550788840636E-2</v>
      </c>
      <c r="G82" s="26">
        <f t="shared" si="73"/>
        <v>8.7617250456038756E-2</v>
      </c>
      <c r="H82" s="26">
        <f t="shared" si="73"/>
        <v>0.20941349445878776</v>
      </c>
      <c r="I82" s="26">
        <f t="shared" si="73"/>
        <v>0.25310000744452382</v>
      </c>
      <c r="J82" s="26">
        <f t="shared" si="73"/>
        <v>0.15125689021739416</v>
      </c>
      <c r="K82" s="26">
        <f t="shared" si="73"/>
        <v>1.4028149673692954E-2</v>
      </c>
      <c r="L82" s="26">
        <f t="shared" si="73"/>
        <v>2.6598840381674864E-4</v>
      </c>
      <c r="M82" s="26">
        <f t="shared" si="73"/>
        <v>0.21182727782898814</v>
      </c>
      <c r="N82" s="26">
        <f>N81/$E$81</f>
        <v>9.4257973610266084E-4</v>
      </c>
      <c r="O82" s="26">
        <f>O81/$E$81</f>
        <v>9.6207861313442875E-4</v>
      </c>
      <c r="P82" s="26">
        <f t="shared" si="73"/>
        <v>3.9971732378679958E-2</v>
      </c>
    </row>
    <row r="83" spans="1:18" x14ac:dyDescent="0.2">
      <c r="A83" s="12">
        <f>+A82+1</f>
        <v>57</v>
      </c>
      <c r="C83" s="48"/>
      <c r="D83" s="47" t="s">
        <v>491</v>
      </c>
      <c r="E83" s="299">
        <f>E$79+E$62+E$57+E$51+E$43+E$35+E$24+E$21+E$16+E$12+E$9</f>
        <v>7218151.0600000005</v>
      </c>
      <c r="F83" s="299">
        <f t="shared" ref="F83:P83" si="74">F$79+F$62+F$57+F$51+F$43+F$35+F$24+F$21+F$16+F$12+F$9</f>
        <v>220993.76337701129</v>
      </c>
      <c r="G83" s="299">
        <f t="shared" si="74"/>
        <v>632371.37843878148</v>
      </c>
      <c r="H83" s="299">
        <f t="shared" si="74"/>
        <v>1511427.2527991505</v>
      </c>
      <c r="I83" s="299">
        <f t="shared" si="74"/>
        <v>1826837.3080365213</v>
      </c>
      <c r="J83" s="299">
        <f t="shared" si="74"/>
        <v>1091825.521595974</v>
      </c>
      <c r="K83" s="299">
        <f t="shared" si="74"/>
        <v>101251.15930881575</v>
      </c>
      <c r="L83" s="299">
        <f t="shared" si="74"/>
        <v>1918.8954509379046</v>
      </c>
      <c r="M83" s="299">
        <f t="shared" si="74"/>
        <v>1529210.7872994663</v>
      </c>
      <c r="N83" s="299">
        <f t="shared" si="74"/>
        <v>6803.8650741356587</v>
      </c>
      <c r="O83" s="299">
        <f t="shared" si="74"/>
        <v>6944.6146821951952</v>
      </c>
      <c r="P83" s="299">
        <f t="shared" si="74"/>
        <v>288566.51393701072</v>
      </c>
    </row>
    <row r="84" spans="1:18" x14ac:dyDescent="0.2">
      <c r="A84" s="12">
        <f>+A83+1</f>
        <v>58</v>
      </c>
      <c r="C84" s="48"/>
      <c r="D84" s="47" t="s">
        <v>492</v>
      </c>
      <c r="E84" s="301">
        <f>SUM(F84:P84)</f>
        <v>1</v>
      </c>
      <c r="F84" s="26">
        <f>F83/$E$83</f>
        <v>3.0616394910556399E-2</v>
      </c>
      <c r="G84" s="26">
        <f t="shared" ref="G84:P84" si="75">G83/$E$83</f>
        <v>8.7608498794534986E-2</v>
      </c>
      <c r="H84" s="26">
        <f t="shared" si="75"/>
        <v>0.20939257716215631</v>
      </c>
      <c r="I84" s="26">
        <f t="shared" si="75"/>
        <v>0.25308937051208252</v>
      </c>
      <c r="J84" s="26">
        <f t="shared" si="75"/>
        <v>0.15126110724482039</v>
      </c>
      <c r="K84" s="26">
        <f t="shared" si="75"/>
        <v>1.4027298468427419E-2</v>
      </c>
      <c r="L84" s="26">
        <f t="shared" si="75"/>
        <v>2.6584307185972144E-4</v>
      </c>
      <c r="M84" s="26">
        <f t="shared" si="75"/>
        <v>0.21185630150825163</v>
      </c>
      <c r="N84" s="26">
        <f t="shared" si="75"/>
        <v>9.4260497149191804E-4</v>
      </c>
      <c r="O84" s="26">
        <f t="shared" ref="O84" si="76">O83/$E$83</f>
        <v>9.6210437056095559E-4</v>
      </c>
      <c r="P84" s="26">
        <f t="shared" si="75"/>
        <v>3.9977898985257686E-2</v>
      </c>
    </row>
    <row r="85" spans="1:18" x14ac:dyDescent="0.2">
      <c r="C85" s="48"/>
      <c r="D85" s="47"/>
      <c r="E85" s="302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8" x14ac:dyDescent="0.2">
      <c r="A86" s="11" t="s">
        <v>342</v>
      </c>
      <c r="C86" s="62"/>
    </row>
    <row r="87" spans="1:18" x14ac:dyDescent="0.2">
      <c r="A87" s="11" t="s">
        <v>493</v>
      </c>
    </row>
    <row r="89" spans="1:18" x14ac:dyDescent="0.2">
      <c r="A89" s="11" t="s">
        <v>494</v>
      </c>
    </row>
    <row r="90" spans="1:18" x14ac:dyDescent="0.2">
      <c r="A90" s="11" t="s">
        <v>495</v>
      </c>
    </row>
    <row r="91" spans="1:18" x14ac:dyDescent="0.2">
      <c r="A91" s="11" t="s">
        <v>496</v>
      </c>
    </row>
    <row r="93" spans="1:18" x14ac:dyDescent="0.2">
      <c r="A93" s="11" t="s">
        <v>497</v>
      </c>
    </row>
    <row r="94" spans="1:18" x14ac:dyDescent="0.2">
      <c r="A94" s="11" t="s">
        <v>376</v>
      </c>
    </row>
    <row r="96" spans="1:18" x14ac:dyDescent="0.2">
      <c r="A96" s="11" t="s">
        <v>83</v>
      </c>
    </row>
    <row r="97" spans="1:1" x14ac:dyDescent="0.2">
      <c r="A97" s="11" t="s">
        <v>498</v>
      </c>
    </row>
    <row r="98" spans="1:1" x14ac:dyDescent="0.2">
      <c r="A98" s="11" t="s">
        <v>499</v>
      </c>
    </row>
  </sheetData>
  <pageMargins left="0.7" right="0.7" top="0.92500000000000004" bottom="0.75" header="0.3" footer="0.3"/>
  <pageSetup scale="37" fitToWidth="2" pageOrder="overThenDown" orientation="landscape" useFirstPageNumber="1" r:id="rId1"/>
  <headerFooter alignWithMargins="0">
    <oddHeader>&amp;CRULE 20:10:13:98
STATEMENT O WORKPAPER - Tab &amp;A
Functional Cost of Service Allocators
Test Year Ending December 31, 2021
Utility: MidAmerican Energy Company
Docket No. NG22-___
Individual Responsible: Amanda Hosch</oddHeader>
    <oddFooter>&amp;C20:10:13:98
Statement O Workpaper - Tab &amp;A
&amp;P of &amp;N</oddFooter>
  </headerFooter>
  <rowBreaks count="1" manualBreakCount="1">
    <brk id="52" max="16383" man="1"/>
  </rowBreaks>
  <colBreaks count="1" manualBreakCount="1">
    <brk id="13" max="1048575" man="1"/>
  </colBreaks>
  <ignoredErrors>
    <ignoredError sqref="C7:C7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70C0"/>
  </sheetPr>
  <dimension ref="A1:P74"/>
  <sheetViews>
    <sheetView view="pageLayout" zoomScale="55" zoomScaleNormal="100" zoomScalePageLayoutView="55" workbookViewId="0">
      <selection activeCell="A5" sqref="A5"/>
    </sheetView>
  </sheetViews>
  <sheetFormatPr defaultRowHeight="12.75" x14ac:dyDescent="0.2"/>
  <cols>
    <col min="1" max="1" width="7.140625" style="145" customWidth="1"/>
    <col min="2" max="2" width="42.28515625" style="145" customWidth="1"/>
    <col min="3" max="3" width="16.5703125" style="145" customWidth="1"/>
    <col min="4" max="6" width="15.42578125" style="145" customWidth="1"/>
    <col min="7" max="7" width="10.7109375" style="145" bestFit="1" customWidth="1"/>
    <col min="8" max="15" width="9.140625" style="145"/>
    <col min="16" max="16" width="11.28515625" style="145" bestFit="1" customWidth="1"/>
    <col min="17" max="16384" width="9.140625" style="145"/>
  </cols>
  <sheetData>
    <row r="1" spans="1:13" ht="19.5" customHeight="1" x14ac:dyDescent="0.25">
      <c r="A1" s="14" t="s">
        <v>500</v>
      </c>
    </row>
    <row r="3" spans="1:13" x14ac:dyDescent="0.2">
      <c r="A3" s="145" t="s">
        <v>10</v>
      </c>
      <c r="D3" s="146" t="s">
        <v>501</v>
      </c>
      <c r="E3" s="146" t="s">
        <v>502</v>
      </c>
      <c r="F3" s="146" t="s">
        <v>503</v>
      </c>
    </row>
    <row r="4" spans="1:13" x14ac:dyDescent="0.2">
      <c r="A4" s="147" t="s">
        <v>1098</v>
      </c>
      <c r="B4" s="147" t="s">
        <v>384</v>
      </c>
      <c r="C4" s="148" t="s">
        <v>387</v>
      </c>
      <c r="D4" s="148" t="s">
        <v>504</v>
      </c>
      <c r="E4" s="148" t="s">
        <v>504</v>
      </c>
      <c r="F4" s="148" t="s">
        <v>504</v>
      </c>
      <c r="G4" s="149" t="s">
        <v>23</v>
      </c>
      <c r="H4" s="147"/>
      <c r="I4" s="147"/>
      <c r="J4" s="147"/>
      <c r="K4" s="147"/>
      <c r="L4" s="147"/>
      <c r="M4" s="147"/>
    </row>
    <row r="5" spans="1:13" x14ac:dyDescent="0.2">
      <c r="B5" s="52" t="s">
        <v>24</v>
      </c>
      <c r="C5" s="52" t="s">
        <v>25</v>
      </c>
      <c r="D5" s="52" t="s">
        <v>26</v>
      </c>
      <c r="E5" s="52" t="s">
        <v>27</v>
      </c>
      <c r="F5" s="52" t="s">
        <v>28</v>
      </c>
    </row>
    <row r="6" spans="1:13" x14ac:dyDescent="0.2">
      <c r="C6" s="146"/>
      <c r="D6" s="146"/>
      <c r="E6" s="146"/>
      <c r="F6" s="146"/>
    </row>
    <row r="7" spans="1:13" x14ac:dyDescent="0.2">
      <c r="A7" s="151">
        <v>1</v>
      </c>
      <c r="B7" s="145" t="s">
        <v>389</v>
      </c>
      <c r="C7" s="2">
        <f>'FUN-1 (Results)'!$F$36</f>
        <v>1145700.0644585886</v>
      </c>
      <c r="D7" s="2">
        <f t="shared" ref="D7:F17" si="0">$C7*D46</f>
        <v>896026.86586813291</v>
      </c>
      <c r="E7" s="2">
        <f t="shared" si="0"/>
        <v>244498.67856391496</v>
      </c>
      <c r="F7" s="2">
        <f t="shared" si="0"/>
        <v>5174.5200265409085</v>
      </c>
      <c r="G7" s="145" t="s">
        <v>505</v>
      </c>
    </row>
    <row r="8" spans="1:13" x14ac:dyDescent="0.2">
      <c r="A8" s="151">
        <f>A7+1</f>
        <v>2</v>
      </c>
      <c r="B8" s="145" t="s">
        <v>506</v>
      </c>
      <c r="C8" s="2">
        <f>'FUN-1 (Results)'!$G$36</f>
        <v>4400729.0278495094</v>
      </c>
      <c r="D8" s="2">
        <f t="shared" si="0"/>
        <v>2241703.2567223003</v>
      </c>
      <c r="E8" s="2">
        <f t="shared" si="0"/>
        <v>1210295.4181101625</v>
      </c>
      <c r="F8" s="2">
        <f t="shared" si="0"/>
        <v>948730.35301704612</v>
      </c>
      <c r="G8" s="145" t="s">
        <v>507</v>
      </c>
    </row>
    <row r="9" spans="1:13" x14ac:dyDescent="0.2">
      <c r="A9" s="151">
        <f t="shared" ref="A9:A18" si="1">A8+1</f>
        <v>3</v>
      </c>
      <c r="B9" s="145" t="s">
        <v>508</v>
      </c>
      <c r="C9" s="2">
        <f>'FUN-1 (Results)'!$H$36</f>
        <v>10518157.544222197</v>
      </c>
      <c r="D9" s="2">
        <f t="shared" si="0"/>
        <v>6558415.3436825983</v>
      </c>
      <c r="E9" s="2">
        <f t="shared" si="0"/>
        <v>2795115.4452939071</v>
      </c>
      <c r="F9" s="2">
        <f t="shared" si="0"/>
        <v>1164626.75524569</v>
      </c>
      <c r="G9" s="145" t="s">
        <v>509</v>
      </c>
    </row>
    <row r="10" spans="1:13" x14ac:dyDescent="0.2">
      <c r="A10" s="151">
        <f t="shared" si="1"/>
        <v>4</v>
      </c>
      <c r="B10" s="145" t="s">
        <v>16</v>
      </c>
      <c r="C10" s="2">
        <f>'FUN-1 (Results)'!$I$36</f>
        <v>10777727.393592723</v>
      </c>
      <c r="D10" s="2">
        <f t="shared" si="0"/>
        <v>10334126.740536353</v>
      </c>
      <c r="E10" s="2">
        <f t="shared" si="0"/>
        <v>424968.59258199029</v>
      </c>
      <c r="F10" s="2">
        <f t="shared" si="0"/>
        <v>18632.06047437957</v>
      </c>
      <c r="G10" s="145" t="s">
        <v>510</v>
      </c>
    </row>
    <row r="11" spans="1:13" x14ac:dyDescent="0.2">
      <c r="A11" s="151">
        <f t="shared" si="1"/>
        <v>5</v>
      </c>
      <c r="B11" s="145" t="s">
        <v>17</v>
      </c>
      <c r="C11" s="74">
        <f>'FUN-1 (Results)'!$J$36-C18</f>
        <v>4218682.2970354026</v>
      </c>
      <c r="D11" s="74">
        <f t="shared" si="0"/>
        <v>3775311.8971680361</v>
      </c>
      <c r="E11" s="74">
        <f t="shared" si="0"/>
        <v>422461.42060846294</v>
      </c>
      <c r="F11" s="74">
        <f t="shared" si="0"/>
        <v>20908.979258904252</v>
      </c>
      <c r="G11" s="145" t="s">
        <v>511</v>
      </c>
    </row>
    <row r="12" spans="1:13" x14ac:dyDescent="0.2">
      <c r="A12" s="151">
        <f t="shared" si="1"/>
        <v>6</v>
      </c>
      <c r="B12" s="145" t="s">
        <v>18</v>
      </c>
      <c r="C12" s="74">
        <f>'FUN-1 (Results)'!$K$36</f>
        <v>554514.07257168589</v>
      </c>
      <c r="D12" s="74">
        <f t="shared" si="0"/>
        <v>502021.11068467406</v>
      </c>
      <c r="E12" s="74">
        <f t="shared" si="0"/>
        <v>51340.820412374036</v>
      </c>
      <c r="F12" s="74">
        <f t="shared" si="0"/>
        <v>1152.1414746377754</v>
      </c>
      <c r="G12" s="145" t="s">
        <v>512</v>
      </c>
    </row>
    <row r="13" spans="1:13" x14ac:dyDescent="0.2">
      <c r="A13" s="151">
        <f t="shared" si="1"/>
        <v>7</v>
      </c>
      <c r="B13" s="145" t="s">
        <v>392</v>
      </c>
      <c r="C13" s="74">
        <f>'FUN-1 (Results)'!$L$36</f>
        <v>30413.272604679612</v>
      </c>
      <c r="D13" s="74">
        <f t="shared" si="0"/>
        <v>13998.977989836321</v>
      </c>
      <c r="E13" s="74">
        <f t="shared" si="0"/>
        <v>16414.294614843293</v>
      </c>
      <c r="F13" s="74">
        <f t="shared" si="0"/>
        <v>0</v>
      </c>
      <c r="G13" s="145" t="s">
        <v>513</v>
      </c>
    </row>
    <row r="14" spans="1:13" x14ac:dyDescent="0.2">
      <c r="A14" s="151">
        <f>A13+1</f>
        <v>8</v>
      </c>
      <c r="B14" s="145" t="s">
        <v>393</v>
      </c>
      <c r="C14" s="74">
        <f>'FUN-1 (Results)'!$M$36</f>
        <v>5035641.8210212067</v>
      </c>
      <c r="D14" s="74">
        <f t="shared" si="0"/>
        <v>4525957.9681177167</v>
      </c>
      <c r="E14" s="74">
        <f t="shared" si="0"/>
        <v>502381.72739649314</v>
      </c>
      <c r="F14" s="74">
        <f t="shared" si="0"/>
        <v>7302.1255069967165</v>
      </c>
      <c r="G14" s="145" t="s">
        <v>514</v>
      </c>
    </row>
    <row r="15" spans="1:13" x14ac:dyDescent="0.2">
      <c r="A15" s="151">
        <f t="shared" si="1"/>
        <v>9</v>
      </c>
      <c r="B15" s="145" t="s">
        <v>515</v>
      </c>
      <c r="C15" s="74">
        <f>'FUN-1 (Results)'!$N$36</f>
        <v>89677.174384140977</v>
      </c>
      <c r="D15" s="74">
        <f t="shared" si="0"/>
        <v>573.75031595739586</v>
      </c>
      <c r="E15" s="74">
        <f t="shared" si="0"/>
        <v>71202.41421031284</v>
      </c>
      <c r="F15" s="74">
        <f t="shared" si="0"/>
        <v>17901.009857870751</v>
      </c>
      <c r="G15" s="145" t="s">
        <v>516</v>
      </c>
    </row>
    <row r="16" spans="1:13" x14ac:dyDescent="0.2">
      <c r="A16" s="151">
        <f t="shared" si="1"/>
        <v>10</v>
      </c>
      <c r="B16" s="145" t="s">
        <v>517</v>
      </c>
      <c r="C16" s="74">
        <f>'FUN-1 (Results)'!O36</f>
        <v>91532.300405736562</v>
      </c>
      <c r="D16" s="74">
        <f t="shared" si="0"/>
        <v>25493.639039040292</v>
      </c>
      <c r="E16" s="74">
        <f t="shared" si="0"/>
        <v>66038.661366696266</v>
      </c>
      <c r="F16" s="74">
        <f t="shared" si="0"/>
        <v>0</v>
      </c>
      <c r="G16" s="145" t="s">
        <v>518</v>
      </c>
    </row>
    <row r="17" spans="1:16" x14ac:dyDescent="0.2">
      <c r="A17" s="151">
        <f t="shared" si="1"/>
        <v>11</v>
      </c>
      <c r="B17" s="145" t="s">
        <v>519</v>
      </c>
      <c r="C17" s="90">
        <f>'FUN-1 (Results)'!$P$36</f>
        <v>186000.56138176259</v>
      </c>
      <c r="D17" s="90">
        <f t="shared" si="0"/>
        <v>140851.54527115839</v>
      </c>
      <c r="E17" s="90">
        <f t="shared" si="0"/>
        <v>43737.797725303644</v>
      </c>
      <c r="F17" s="90">
        <f t="shared" si="0"/>
        <v>1411.2183853005395</v>
      </c>
      <c r="G17" s="145" t="s">
        <v>520</v>
      </c>
    </row>
    <row r="18" spans="1:16" x14ac:dyDescent="0.2">
      <c r="A18" s="149">
        <f t="shared" si="1"/>
        <v>12</v>
      </c>
      <c r="B18" s="147" t="s">
        <v>521</v>
      </c>
      <c r="C18" s="89">
        <f>SUM(D18:F18)</f>
        <v>31395</v>
      </c>
      <c r="D18" s="89">
        <f>'RD-5 (INTRVL METER) '!C38</f>
        <v>2380</v>
      </c>
      <c r="E18" s="89">
        <f>'RD-5 (INTRVL METER) '!C39</f>
        <v>22260</v>
      </c>
      <c r="F18" s="89">
        <f>'RD-5 (INTRVL METER) '!C40</f>
        <v>6755</v>
      </c>
      <c r="G18" s="147" t="s">
        <v>522</v>
      </c>
      <c r="H18" s="147"/>
      <c r="I18" s="147"/>
      <c r="J18" s="147"/>
      <c r="K18" s="147"/>
      <c r="L18" s="147"/>
      <c r="M18" s="147"/>
    </row>
    <row r="19" spans="1:16" x14ac:dyDescent="0.2">
      <c r="A19" s="151">
        <f>A18+1</f>
        <v>13</v>
      </c>
      <c r="B19" s="145" t="s">
        <v>387</v>
      </c>
      <c r="C19" s="152">
        <f>SUM(C7:C18)</f>
        <v>37080170.529527627</v>
      </c>
      <c r="D19" s="152">
        <f>SUM(D7:D18)</f>
        <v>29016861.095395807</v>
      </c>
      <c r="E19" s="152">
        <f>SUM(E7:E18)</f>
        <v>5870715.2708844608</v>
      </c>
      <c r="F19" s="152">
        <f>SUM(F7:F18)</f>
        <v>2192594.1632473664</v>
      </c>
      <c r="G19" s="145" t="s">
        <v>523</v>
      </c>
    </row>
    <row r="20" spans="1:16" x14ac:dyDescent="0.2">
      <c r="A20" s="151">
        <f>A19+1</f>
        <v>14</v>
      </c>
      <c r="B20" s="145" t="s">
        <v>524</v>
      </c>
      <c r="C20" s="152">
        <f>C19-('FUN-2 (Test Year)'!AE223*(1+'CLS1-1 (Class COS)'!C25))</f>
        <v>36929114.370959833</v>
      </c>
      <c r="D20" s="152">
        <f>C20*(D23/$C$23)</f>
        <v>28898653.020616982</v>
      </c>
      <c r="E20" s="152">
        <f>$C$20*(E23/$C$23)</f>
        <v>5846799.3156932909</v>
      </c>
      <c r="F20" s="152">
        <f>$C$20*(F23/$C$23)</f>
        <v>2183662.0346495602</v>
      </c>
      <c r="G20" s="145" t="s">
        <v>525</v>
      </c>
    </row>
    <row r="21" spans="1:16" x14ac:dyDescent="0.2">
      <c r="A21" s="151"/>
      <c r="B21" s="4"/>
      <c r="C21" s="152"/>
      <c r="D21" s="119"/>
    </row>
    <row r="22" spans="1:16" x14ac:dyDescent="0.2">
      <c r="A22" s="151">
        <f>A20+1</f>
        <v>15</v>
      </c>
      <c r="B22" s="145" t="s">
        <v>526</v>
      </c>
      <c r="C22" s="152">
        <f>SUM(D22:F22)</f>
        <v>30043452.528999995</v>
      </c>
      <c r="D22" s="74">
        <f>'SRC-2 (S.D. Revenue)'!R61</f>
        <v>24095592.091904566</v>
      </c>
      <c r="E22" s="74">
        <f>'SRC-2 (S.D. Revenue)'!R62</f>
        <v>4538215.1057581306</v>
      </c>
      <c r="F22" s="74">
        <f>'SRC-2 (S.D. Revenue)'!R63</f>
        <v>1409645.3313372976</v>
      </c>
      <c r="G22" s="145" t="s">
        <v>527</v>
      </c>
    </row>
    <row r="23" spans="1:16" x14ac:dyDescent="0.2">
      <c r="A23" s="149">
        <f>A22+1</f>
        <v>16</v>
      </c>
      <c r="B23" s="147" t="s">
        <v>528</v>
      </c>
      <c r="C23" s="236">
        <f>SUM(D23:F23)</f>
        <v>37080170.529527634</v>
      </c>
      <c r="D23" s="236">
        <f>D19</f>
        <v>29016861.095395807</v>
      </c>
      <c r="E23" s="236">
        <f>E19</f>
        <v>5870715.2708844608</v>
      </c>
      <c r="F23" s="236">
        <f>F19</f>
        <v>2192594.1632473664</v>
      </c>
      <c r="G23" s="147" t="s">
        <v>529</v>
      </c>
      <c r="H23" s="147"/>
      <c r="I23" s="147"/>
      <c r="J23" s="147"/>
      <c r="K23" s="147"/>
      <c r="L23" s="147"/>
      <c r="M23" s="147"/>
    </row>
    <row r="24" spans="1:16" x14ac:dyDescent="0.2">
      <c r="A24" s="151">
        <f>A23+1</f>
        <v>17</v>
      </c>
      <c r="B24" s="145" t="s">
        <v>530</v>
      </c>
      <c r="C24" s="152">
        <f>C22-C23</f>
        <v>-7036718.0005276389</v>
      </c>
      <c r="D24" s="152">
        <f t="shared" ref="D24:E24" si="2">D22-D23</f>
        <v>-4921269.0034912415</v>
      </c>
      <c r="E24" s="152">
        <f t="shared" si="2"/>
        <v>-1332500.1651263302</v>
      </c>
      <c r="F24" s="152">
        <f>F22-F23</f>
        <v>-782948.83191006887</v>
      </c>
      <c r="G24" s="145" t="s">
        <v>531</v>
      </c>
    </row>
    <row r="25" spans="1:16" x14ac:dyDescent="0.2">
      <c r="A25" s="151">
        <f>A24+1</f>
        <v>18</v>
      </c>
      <c r="B25" s="145" t="s">
        <v>532</v>
      </c>
      <c r="C25" s="120">
        <f t="shared" ref="C25:F25" si="3">(C23/C22)-1</f>
        <v>0.23421802117234414</v>
      </c>
      <c r="D25" s="120">
        <f>(D23/D22)-1</f>
        <v>0.20423938887746385</v>
      </c>
      <c r="E25" s="120">
        <f t="shared" si="3"/>
        <v>0.29361767436621533</v>
      </c>
      <c r="F25" s="120">
        <f t="shared" si="3"/>
        <v>0.55542256942553325</v>
      </c>
      <c r="G25" s="145" t="s">
        <v>533</v>
      </c>
    </row>
    <row r="26" spans="1:16" x14ac:dyDescent="0.2">
      <c r="A26" s="151">
        <f>A25+1</f>
        <v>19</v>
      </c>
      <c r="B26" s="145" t="s">
        <v>534</v>
      </c>
      <c r="C26" s="120">
        <f>C24/$C$24</f>
        <v>1</v>
      </c>
      <c r="D26" s="120">
        <f>D24/$C$24</f>
        <v>0.69936993398374447</v>
      </c>
      <c r="E26" s="120">
        <f>E24/$C$24</f>
        <v>0.18936387176897163</v>
      </c>
      <c r="F26" s="120">
        <f>F24/$C$24</f>
        <v>0.11126619424728411</v>
      </c>
      <c r="G26" s="145" t="s">
        <v>535</v>
      </c>
    </row>
    <row r="27" spans="1:16" x14ac:dyDescent="0.2">
      <c r="A27" s="151">
        <f t="shared" ref="A27" si="4">A26+1</f>
        <v>20</v>
      </c>
      <c r="B27" s="145" t="s">
        <v>536</v>
      </c>
      <c r="C27" s="121">
        <f>C25/$C$25</f>
        <v>1</v>
      </c>
      <c r="D27" s="121">
        <f>D25/$C$25</f>
        <v>0.87200544114911982</v>
      </c>
      <c r="E27" s="121">
        <f>E25/$C$25</f>
        <v>1.2536083811849954</v>
      </c>
      <c r="F27" s="121">
        <f>F25/$C$25</f>
        <v>2.371391264623647</v>
      </c>
      <c r="G27" s="145" t="s">
        <v>537</v>
      </c>
    </row>
    <row r="28" spans="1:16" x14ac:dyDescent="0.2">
      <c r="A28" s="151"/>
      <c r="C28" s="103"/>
      <c r="D28" s="103"/>
      <c r="E28" s="103"/>
      <c r="F28" s="103"/>
    </row>
    <row r="29" spans="1:16" ht="18" x14ac:dyDescent="0.25">
      <c r="A29" s="14" t="s">
        <v>538</v>
      </c>
      <c r="C29" s="291"/>
      <c r="D29" s="291"/>
      <c r="E29" s="291"/>
      <c r="F29" s="291"/>
      <c r="G29" s="122"/>
      <c r="P29" s="152"/>
    </row>
    <row r="30" spans="1:16" x14ac:dyDescent="0.2">
      <c r="A30" s="151"/>
      <c r="F30" s="152"/>
    </row>
    <row r="31" spans="1:16" x14ac:dyDescent="0.2">
      <c r="A31" s="151">
        <f>A27+1</f>
        <v>21</v>
      </c>
      <c r="B31" s="145" t="s">
        <v>539</v>
      </c>
      <c r="C31" s="156">
        <f>SUM(D31:F31)</f>
        <v>104234.5</v>
      </c>
      <c r="D31" s="73">
        <f>'SRC-4 (S.D. Customers)'!E33/12</f>
        <v>102349.91666666667</v>
      </c>
      <c r="E31" s="73">
        <f>'SRC-4 (S.D. Customers)'!F33/12</f>
        <v>1857.5833333333333</v>
      </c>
      <c r="F31" s="73">
        <f>'SRC-4 (S.D. Customers)'!G33/12</f>
        <v>27</v>
      </c>
      <c r="G31" s="145" t="s">
        <v>540</v>
      </c>
    </row>
    <row r="32" spans="1:16" x14ac:dyDescent="0.2">
      <c r="A32" s="151">
        <f>A31+1</f>
        <v>22</v>
      </c>
      <c r="B32" s="145" t="s">
        <v>541</v>
      </c>
      <c r="C32" s="156">
        <f t="shared" ref="C32:C34" si="5">SUM(D32:F32)</f>
        <v>51.416666666666671</v>
      </c>
      <c r="D32" s="73">
        <f>'SRC-4 (S.D. Customers)'!E34/12</f>
        <v>23.666666666666668</v>
      </c>
      <c r="E32" s="73">
        <f>'SRC-4 (S.D. Customers)'!F34/12</f>
        <v>27.75</v>
      </c>
      <c r="F32" s="73">
        <f>'SRC-4 (S.D. Customers)'!G34/12</f>
        <v>0</v>
      </c>
      <c r="G32" s="145" t="s">
        <v>542</v>
      </c>
    </row>
    <row r="33" spans="1:7" x14ac:dyDescent="0.2">
      <c r="A33" s="151">
        <f t="shared" ref="A33:A42" si="6">A32+1</f>
        <v>23</v>
      </c>
      <c r="B33" s="145" t="s">
        <v>543</v>
      </c>
      <c r="C33" s="156">
        <f t="shared" si="5"/>
        <v>130.25</v>
      </c>
      <c r="D33" s="73">
        <f>('SRC-4 (S.D. Customers)'!E35)/12</f>
        <v>0.83333333333333337</v>
      </c>
      <c r="E33" s="73">
        <f>'SRC-4 (S.D. Customers)'!F35/12</f>
        <v>103.41666666666667</v>
      </c>
      <c r="F33" s="73">
        <f>'SRC-4 (S.D. Customers)'!G35/12</f>
        <v>26</v>
      </c>
      <c r="G33" s="145" t="s">
        <v>544</v>
      </c>
    </row>
    <row r="34" spans="1:7" x14ac:dyDescent="0.2">
      <c r="A34" s="151">
        <f t="shared" si="6"/>
        <v>24</v>
      </c>
      <c r="B34" s="145" t="s">
        <v>545</v>
      </c>
      <c r="C34" s="156">
        <f t="shared" si="5"/>
        <v>398.83333333333331</v>
      </c>
      <c r="D34" s="73">
        <f>'SRC-4 (S.D. Customers)'!H25/12</f>
        <v>111.08333333333333</v>
      </c>
      <c r="E34" s="73">
        <f>'SRC-4 (S.D. Customers)'!H23/12</f>
        <v>287.75</v>
      </c>
      <c r="F34" s="73">
        <v>0</v>
      </c>
      <c r="G34" s="145" t="s">
        <v>546</v>
      </c>
    </row>
    <row r="35" spans="1:7" x14ac:dyDescent="0.2">
      <c r="A35" s="151">
        <f t="shared" si="6"/>
        <v>25</v>
      </c>
      <c r="B35" s="145" t="s">
        <v>547</v>
      </c>
      <c r="C35" s="156">
        <f>SUM(D35:F35)</f>
        <v>153044178.00000003</v>
      </c>
      <c r="D35" s="73">
        <f>'SRC-1 (S.D. Sales)'!G37</f>
        <v>77959726.689338818</v>
      </c>
      <c r="E35" s="73">
        <f>'SRC-1 (S.D. Sales)'!H37</f>
        <v>42090450.520729132</v>
      </c>
      <c r="F35" s="73">
        <f>'SRC-1 (S.D. Sales)'!I37</f>
        <v>32994000.789932065</v>
      </c>
      <c r="G35" s="145" t="s">
        <v>548</v>
      </c>
    </row>
    <row r="36" spans="1:7" x14ac:dyDescent="0.2">
      <c r="A36" s="151">
        <f t="shared" si="6"/>
        <v>26</v>
      </c>
      <c r="B36" s="145" t="s">
        <v>549</v>
      </c>
      <c r="C36" s="156">
        <f t="shared" ref="C36:C37" si="7">SUM(D36:F36)</f>
        <v>102248490.00000001</v>
      </c>
      <c r="D36" s="73">
        <f>'SRC-1 (S.D. Sales)'!G38</f>
        <v>77429109.413186401</v>
      </c>
      <c r="E36" s="73">
        <f>'SRC-1 (S.D. Sales)'!H38</f>
        <v>24043603.632780358</v>
      </c>
      <c r="F36" s="73">
        <f>'SRC-1 (S.D. Sales)'!I38</f>
        <v>775776.95403325022</v>
      </c>
      <c r="G36" s="145" t="s">
        <v>550</v>
      </c>
    </row>
    <row r="37" spans="1:7" x14ac:dyDescent="0.2">
      <c r="A37" s="151">
        <f t="shared" si="6"/>
        <v>27</v>
      </c>
      <c r="B37" s="145" t="s">
        <v>551</v>
      </c>
      <c r="C37" s="156">
        <f t="shared" si="7"/>
        <v>50795688</v>
      </c>
      <c r="D37" s="73">
        <f>'SRC-1 (S.D. Sales)'!G39</f>
        <v>530617.27615241776</v>
      </c>
      <c r="E37" s="73">
        <f>'SRC-1 (S.D. Sales)'!H39</f>
        <v>18046846.88794877</v>
      </c>
      <c r="F37" s="73">
        <f>'SRC-1 (S.D. Sales)'!I39</f>
        <v>32218223.835898813</v>
      </c>
      <c r="G37" s="145" t="s">
        <v>552</v>
      </c>
    </row>
    <row r="38" spans="1:7" x14ac:dyDescent="0.2">
      <c r="A38" s="151">
        <f t="shared" si="6"/>
        <v>28</v>
      </c>
      <c r="B38" s="145" t="s">
        <v>553</v>
      </c>
      <c r="C38" s="87">
        <f>SUM(C10:C14)/C31/12</f>
        <v>16.482849453896183</v>
      </c>
      <c r="D38" s="87">
        <f>SUM(D10:D14)/D31/12</f>
        <v>15.593089307593162</v>
      </c>
      <c r="E38" s="87">
        <f>SUM(E10:E14)/E31/12</f>
        <v>63.593686044330163</v>
      </c>
      <c r="F38" s="87">
        <f>SUM(F10:F14)/F31/12</f>
        <v>148.13366270036516</v>
      </c>
      <c r="G38" s="145" t="s">
        <v>554</v>
      </c>
    </row>
    <row r="39" spans="1:7" x14ac:dyDescent="0.2">
      <c r="A39" s="151">
        <f t="shared" si="6"/>
        <v>29</v>
      </c>
      <c r="B39" s="145" t="s">
        <v>555</v>
      </c>
      <c r="C39" s="87">
        <f>C15/C33/12</f>
        <v>57.375031595739586</v>
      </c>
      <c r="D39" s="87">
        <f>D15/D33/12</f>
        <v>57.375031595739586</v>
      </c>
      <c r="E39" s="87">
        <f>E15/E33/12</f>
        <v>57.375031595739593</v>
      </c>
      <c r="F39" s="87">
        <f>F15/F33/12</f>
        <v>57.375031595739586</v>
      </c>
      <c r="G39" s="145" t="s">
        <v>556</v>
      </c>
    </row>
    <row r="40" spans="1:7" x14ac:dyDescent="0.2">
      <c r="A40" s="151">
        <f t="shared" si="6"/>
        <v>30</v>
      </c>
      <c r="B40" s="145" t="s">
        <v>557</v>
      </c>
      <c r="C40" s="87">
        <f>C16/C34/12</f>
        <v>19.125010531913198</v>
      </c>
      <c r="D40" s="87">
        <f>D16/D34/12</f>
        <v>19.125010531913198</v>
      </c>
      <c r="E40" s="87">
        <f>E16/E34/12</f>
        <v>19.125010531913194</v>
      </c>
      <c r="F40" s="87"/>
      <c r="G40" s="145" t="s">
        <v>558</v>
      </c>
    </row>
    <row r="41" spans="1:7" x14ac:dyDescent="0.2">
      <c r="A41" s="151">
        <f t="shared" si="6"/>
        <v>31</v>
      </c>
      <c r="B41" s="145" t="s">
        <v>559</v>
      </c>
      <c r="C41" s="123">
        <f>(SUM(C7:C9)+C17)/C35</f>
        <v>0.10618232859476728</v>
      </c>
      <c r="D41" s="123">
        <f>(SUM(D7:D9)+D17)/D35</f>
        <v>0.12618049638300519</v>
      </c>
      <c r="E41" s="123">
        <f>(SUM(E7:E9)+E17)/E35</f>
        <v>0.10201001145327987</v>
      </c>
      <c r="F41" s="123">
        <f>(SUM(F7:F9)+F17)/F35</f>
        <v>6.4252373035084201E-2</v>
      </c>
      <c r="G41" s="145" t="s">
        <v>560</v>
      </c>
    </row>
    <row r="42" spans="1:7" x14ac:dyDescent="0.2">
      <c r="A42" s="151">
        <f t="shared" si="6"/>
        <v>32</v>
      </c>
      <c r="B42" s="145" t="s">
        <v>561</v>
      </c>
      <c r="C42" s="123">
        <f>C23/C35</f>
        <v>0.24228409740308859</v>
      </c>
      <c r="D42" s="123">
        <f>D23/D35</f>
        <v>0.37220321732302752</v>
      </c>
      <c r="E42" s="123">
        <f>E23/E35</f>
        <v>0.13947855625810399</v>
      </c>
      <c r="F42" s="123">
        <f>F23/F35</f>
        <v>6.645432838555379E-2</v>
      </c>
      <c r="G42" s="145" t="s">
        <v>562</v>
      </c>
    </row>
    <row r="43" spans="1:7" x14ac:dyDescent="0.2">
      <c r="A43" s="151"/>
      <c r="D43" s="292"/>
      <c r="E43" s="292"/>
      <c r="F43" s="292"/>
    </row>
    <row r="44" spans="1:7" ht="18" x14ac:dyDescent="0.25">
      <c r="A44" s="14" t="s">
        <v>563</v>
      </c>
      <c r="C44" s="4"/>
    </row>
    <row r="46" spans="1:7" x14ac:dyDescent="0.2">
      <c r="A46" s="151">
        <f>A42+1</f>
        <v>33</v>
      </c>
      <c r="B46" s="145" t="s">
        <v>564</v>
      </c>
      <c r="C46" s="293">
        <f t="shared" ref="C46:C53" si="8">SUM(D46:F46)</f>
        <v>1.0000000000000002</v>
      </c>
      <c r="D46" s="124">
        <f>'ALO-1 (Design Day Peak)'!G37</f>
        <v>0.78207804438900763</v>
      </c>
      <c r="E46" s="124">
        <f>'ALO-1 (Design Day Peak)'!H37</f>
        <v>0.21340548556175137</v>
      </c>
      <c r="F46" s="124">
        <f>'ALO-1 (Design Day Peak)'!I37</f>
        <v>4.516470049241183E-3</v>
      </c>
      <c r="G46" s="145" t="s">
        <v>565</v>
      </c>
    </row>
    <row r="47" spans="1:7" x14ac:dyDescent="0.2">
      <c r="A47" s="151">
        <f t="shared" ref="A47:A56" si="9">A46+1</f>
        <v>34</v>
      </c>
      <c r="B47" s="145" t="s">
        <v>566</v>
      </c>
      <c r="C47" s="293">
        <f t="shared" si="8"/>
        <v>0.99999999999999989</v>
      </c>
      <c r="D47" s="124">
        <f>D35/$C35</f>
        <v>0.50939361240738479</v>
      </c>
      <c r="E47" s="124">
        <f t="shared" ref="E47:F47" si="10">E35/$C35</f>
        <v>0.27502157266465321</v>
      </c>
      <c r="F47" s="124">
        <f t="shared" si="10"/>
        <v>0.21558481492796189</v>
      </c>
      <c r="G47" s="294" t="s">
        <v>567</v>
      </c>
    </row>
    <row r="48" spans="1:7" x14ac:dyDescent="0.2">
      <c r="A48" s="151">
        <f t="shared" si="9"/>
        <v>35</v>
      </c>
      <c r="B48" s="145" t="s">
        <v>568</v>
      </c>
      <c r="C48" s="293">
        <f t="shared" si="8"/>
        <v>0.99999999999999978</v>
      </c>
      <c r="D48" s="124">
        <f>'ALO-1 (Design Day Peak)'!C37</f>
        <v>0.62353271626790263</v>
      </c>
      <c r="E48" s="124">
        <f>'ALO-1 (Design Day Peak)'!D37</f>
        <v>0.26574192614459474</v>
      </c>
      <c r="F48" s="124">
        <f>'ALO-1 (Design Day Peak)'!E37</f>
        <v>0.11072535758750252</v>
      </c>
      <c r="G48" s="145" t="s">
        <v>569</v>
      </c>
    </row>
    <row r="49" spans="1:7" x14ac:dyDescent="0.2">
      <c r="A49" s="151">
        <f t="shared" si="9"/>
        <v>36</v>
      </c>
      <c r="B49" s="145" t="s">
        <v>570</v>
      </c>
      <c r="C49" s="293">
        <f t="shared" si="8"/>
        <v>1</v>
      </c>
      <c r="D49" s="124">
        <f>D68/$C68</f>
        <v>0.95884098410949914</v>
      </c>
      <c r="E49" s="124">
        <f t="shared" ref="E49:F49" si="11">E68/$C68</f>
        <v>3.9430259929809593E-2</v>
      </c>
      <c r="F49" s="124">
        <f t="shared" si="11"/>
        <v>1.7287559606913225E-3</v>
      </c>
      <c r="G49" s="294" t="s">
        <v>571</v>
      </c>
    </row>
    <row r="50" spans="1:7" x14ac:dyDescent="0.2">
      <c r="A50" s="151">
        <f t="shared" si="9"/>
        <v>37</v>
      </c>
      <c r="B50" s="145" t="s">
        <v>572</v>
      </c>
      <c r="C50" s="293">
        <f t="shared" si="8"/>
        <v>1.0000000000000002</v>
      </c>
      <c r="D50" s="124">
        <f>D69/$C69</f>
        <v>0.89490310749900825</v>
      </c>
      <c r="E50" s="124">
        <f t="shared" ref="E50:F50" si="12">E69/$C69</f>
        <v>0.10014061047103251</v>
      </c>
      <c r="F50" s="124">
        <f t="shared" si="12"/>
        <v>4.9562820299593625E-3</v>
      </c>
      <c r="G50" s="294" t="s">
        <v>573</v>
      </c>
    </row>
    <row r="51" spans="1:7" x14ac:dyDescent="0.2">
      <c r="A51" s="151">
        <f t="shared" si="9"/>
        <v>38</v>
      </c>
      <c r="B51" s="145" t="s">
        <v>574</v>
      </c>
      <c r="C51" s="293">
        <f t="shared" si="8"/>
        <v>1</v>
      </c>
      <c r="D51" s="124">
        <f t="shared" ref="D51:E51" si="13">D70/$C70</f>
        <v>0.90533520340870033</v>
      </c>
      <c r="E51" s="124">
        <f t="shared" si="13"/>
        <v>9.2587046843138232E-2</v>
      </c>
      <c r="F51" s="124">
        <f>F70/$C70</f>
        <v>2.0777497481614051E-3</v>
      </c>
      <c r="G51" s="294" t="s">
        <v>575</v>
      </c>
    </row>
    <row r="52" spans="1:7" x14ac:dyDescent="0.2">
      <c r="A52" s="151">
        <f t="shared" si="9"/>
        <v>39</v>
      </c>
      <c r="B52" s="145" t="s">
        <v>576</v>
      </c>
      <c r="C52" s="293">
        <f t="shared" si="8"/>
        <v>1</v>
      </c>
      <c r="D52" s="124">
        <f>D71/$C71</f>
        <v>0.46029173419773095</v>
      </c>
      <c r="E52" s="124">
        <f t="shared" ref="E52:F52" si="14">E71/$C71</f>
        <v>0.53970826580226905</v>
      </c>
      <c r="F52" s="124">
        <f t="shared" si="14"/>
        <v>0</v>
      </c>
      <c r="G52" s="294" t="s">
        <v>577</v>
      </c>
    </row>
    <row r="53" spans="1:7" x14ac:dyDescent="0.2">
      <c r="A53" s="151">
        <f t="shared" si="9"/>
        <v>40</v>
      </c>
      <c r="B53" s="145" t="s">
        <v>578</v>
      </c>
      <c r="C53" s="293">
        <f t="shared" si="8"/>
        <v>0.99999999999999989</v>
      </c>
      <c r="D53" s="124">
        <f t="shared" ref="D53:F55" si="15">D72/$C72</f>
        <v>0.89878472873590354</v>
      </c>
      <c r="E53" s="124">
        <f>E72/$C72</f>
        <v>9.9765182920538278E-2</v>
      </c>
      <c r="F53" s="124">
        <f t="shared" si="15"/>
        <v>1.4500883435581359E-3</v>
      </c>
      <c r="G53" s="294" t="s">
        <v>579</v>
      </c>
    </row>
    <row r="54" spans="1:7" x14ac:dyDescent="0.2">
      <c r="A54" s="151">
        <f t="shared" si="9"/>
        <v>41</v>
      </c>
      <c r="B54" s="145" t="s">
        <v>580</v>
      </c>
      <c r="C54" s="293">
        <f t="shared" ref="C54:C56" si="16">SUM(D54:F54)</f>
        <v>1</v>
      </c>
      <c r="D54" s="124">
        <f>D73/$C73</f>
        <v>6.3979526551503517E-3</v>
      </c>
      <c r="E54" s="124">
        <f t="shared" si="15"/>
        <v>0.79398592450415872</v>
      </c>
      <c r="F54" s="124">
        <f t="shared" si="15"/>
        <v>0.19961612284069097</v>
      </c>
      <c r="G54" s="294" t="s">
        <v>581</v>
      </c>
    </row>
    <row r="55" spans="1:7" x14ac:dyDescent="0.2">
      <c r="A55" s="151">
        <f t="shared" si="9"/>
        <v>42</v>
      </c>
      <c r="B55" s="145" t="s">
        <v>582</v>
      </c>
      <c r="C55" s="293">
        <f t="shared" si="16"/>
        <v>1</v>
      </c>
      <c r="D55" s="124">
        <f>D74/$C74</f>
        <v>0.27852068533221896</v>
      </c>
      <c r="E55" s="124">
        <f t="shared" si="15"/>
        <v>0.72147931466778104</v>
      </c>
      <c r="F55" s="124">
        <f t="shared" si="15"/>
        <v>0</v>
      </c>
      <c r="G55" s="294" t="s">
        <v>583</v>
      </c>
    </row>
    <row r="56" spans="1:7" x14ac:dyDescent="0.2">
      <c r="A56" s="151">
        <f t="shared" si="9"/>
        <v>43</v>
      </c>
      <c r="B56" s="145" t="s">
        <v>584</v>
      </c>
      <c r="C56" s="293">
        <f t="shared" si="16"/>
        <v>1</v>
      </c>
      <c r="D56" s="124">
        <f>D36/$C36</f>
        <v>0.7572640868651106</v>
      </c>
      <c r="E56" s="124">
        <f t="shared" ref="E56:F56" si="17">E36/$C36</f>
        <v>0.23514874041445849</v>
      </c>
      <c r="F56" s="124">
        <f t="shared" si="17"/>
        <v>7.5871727204308848E-3</v>
      </c>
      <c r="G56" s="294" t="s">
        <v>585</v>
      </c>
    </row>
    <row r="57" spans="1:7" x14ac:dyDescent="0.2">
      <c r="A57" s="151"/>
    </row>
    <row r="58" spans="1:7" ht="18" x14ac:dyDescent="0.25">
      <c r="A58" s="14" t="s">
        <v>586</v>
      </c>
    </row>
    <row r="59" spans="1:7" x14ac:dyDescent="0.2">
      <c r="A59" s="151"/>
    </row>
    <row r="60" spans="1:7" x14ac:dyDescent="0.2">
      <c r="A60" s="151">
        <f>A56+1</f>
        <v>44</v>
      </c>
      <c r="B60" s="145" t="s">
        <v>587</v>
      </c>
      <c r="D60" s="295">
        <v>1</v>
      </c>
      <c r="E60" s="295">
        <f>'RD-4 (MTR)'!D240</f>
        <v>2.2658034754498981</v>
      </c>
      <c r="F60" s="295">
        <f>'RD-4 (MTR)'!D241</f>
        <v>6.8345642540620384</v>
      </c>
      <c r="G60" s="151" t="s">
        <v>588</v>
      </c>
    </row>
    <row r="61" spans="1:7" x14ac:dyDescent="0.2">
      <c r="A61" s="151">
        <f>A60+1</f>
        <v>45</v>
      </c>
      <c r="B61" s="145" t="s">
        <v>589</v>
      </c>
      <c r="D61" s="295">
        <v>1</v>
      </c>
      <c r="E61" s="295">
        <f>'RD-4 (MTR)'!F227</f>
        <v>6.1655724588015692</v>
      </c>
      <c r="F61" s="295">
        <f>'RD-4 (MTR)'!F228</f>
        <v>20.994412421818794</v>
      </c>
      <c r="G61" s="151" t="s">
        <v>590</v>
      </c>
    </row>
    <row r="62" spans="1:7" x14ac:dyDescent="0.2">
      <c r="A62" s="151">
        <f t="shared" ref="A62:A66" si="18">A61+1</f>
        <v>46</v>
      </c>
      <c r="B62" s="145" t="s">
        <v>591</v>
      </c>
      <c r="D62" s="295">
        <v>1</v>
      </c>
      <c r="E62" s="295">
        <f>'RD-4 (MTR)'!D234</f>
        <v>5.6348195362658275</v>
      </c>
      <c r="F62" s="295">
        <f>'RD-4 (MTR)'!D235</f>
        <v>8.6997657629533158</v>
      </c>
      <c r="G62" s="151" t="s">
        <v>592</v>
      </c>
    </row>
    <row r="63" spans="1:7" x14ac:dyDescent="0.2">
      <c r="A63" s="151">
        <f t="shared" si="18"/>
        <v>47</v>
      </c>
      <c r="B63" s="145" t="s">
        <v>593</v>
      </c>
      <c r="D63" s="295">
        <v>1</v>
      </c>
      <c r="E63" s="295">
        <v>1</v>
      </c>
      <c r="F63" s="295">
        <v>1</v>
      </c>
      <c r="G63" s="151" t="s">
        <v>594</v>
      </c>
    </row>
    <row r="64" spans="1:7" x14ac:dyDescent="0.2">
      <c r="A64" s="151">
        <f t="shared" si="18"/>
        <v>48</v>
      </c>
      <c r="B64" s="145" t="s">
        <v>595</v>
      </c>
      <c r="D64" s="295">
        <v>1</v>
      </c>
      <c r="E64" s="295">
        <v>6.1159299999999996</v>
      </c>
      <c r="F64" s="295">
        <v>6.1159299999999996</v>
      </c>
      <c r="G64" s="151" t="s">
        <v>596</v>
      </c>
    </row>
    <row r="65" spans="1:7" x14ac:dyDescent="0.2">
      <c r="A65" s="151">
        <f t="shared" si="18"/>
        <v>49</v>
      </c>
      <c r="B65" s="145" t="s">
        <v>597</v>
      </c>
      <c r="D65" s="295">
        <v>3</v>
      </c>
      <c r="E65" s="295">
        <v>3</v>
      </c>
      <c r="F65" s="295">
        <v>3</v>
      </c>
      <c r="G65" s="151" t="s">
        <v>598</v>
      </c>
    </row>
    <row r="66" spans="1:7" x14ac:dyDescent="0.2">
      <c r="A66" s="151">
        <f t="shared" si="18"/>
        <v>50</v>
      </c>
      <c r="B66" s="145" t="s">
        <v>599</v>
      </c>
      <c r="D66" s="295">
        <v>1</v>
      </c>
      <c r="E66" s="295">
        <v>1</v>
      </c>
      <c r="F66" s="295">
        <v>1</v>
      </c>
      <c r="G66" s="151" t="s">
        <v>600</v>
      </c>
    </row>
    <row r="67" spans="1:7" x14ac:dyDescent="0.2">
      <c r="A67" s="151"/>
    </row>
    <row r="68" spans="1:7" x14ac:dyDescent="0.2">
      <c r="A68" s="151">
        <f>A66+1</f>
        <v>51</v>
      </c>
      <c r="B68" s="145" t="s">
        <v>601</v>
      </c>
      <c r="C68" s="156">
        <f t="shared" ref="C68:C73" si="19">SUM(D68:F68)</f>
        <v>106743.36867413082</v>
      </c>
      <c r="D68" s="73">
        <f>D$31*D60</f>
        <v>102349.91666666667</v>
      </c>
      <c r="E68" s="73">
        <f>E$31*E60</f>
        <v>4208.9187726044729</v>
      </c>
      <c r="F68" s="73">
        <f>F$31*F60</f>
        <v>184.53323485967505</v>
      </c>
      <c r="G68" s="151" t="s">
        <v>602</v>
      </c>
    </row>
    <row r="69" spans="1:7" x14ac:dyDescent="0.2">
      <c r="A69" s="151">
        <f>A68+1</f>
        <v>52</v>
      </c>
      <c r="B69" s="145" t="s">
        <v>603</v>
      </c>
      <c r="C69" s="156">
        <f>SUM(D69:F69)</f>
        <v>114369.83044198458</v>
      </c>
      <c r="D69" s="73">
        <f>D$31*D61</f>
        <v>102349.91666666667</v>
      </c>
      <c r="E69" s="73">
        <f t="shared" ref="E69:F69" si="20">E$31*E61</f>
        <v>11453.064639928814</v>
      </c>
      <c r="F69" s="73">
        <f t="shared" si="20"/>
        <v>566.84913538910746</v>
      </c>
      <c r="G69" s="151" t="s">
        <v>604</v>
      </c>
    </row>
    <row r="70" spans="1:7" x14ac:dyDescent="0.2">
      <c r="A70" s="151">
        <f t="shared" ref="A70:A73" si="21">A69+1</f>
        <v>53</v>
      </c>
      <c r="B70" s="145" t="s">
        <v>605</v>
      </c>
      <c r="C70" s="156">
        <f t="shared" si="19"/>
        <v>113051.95719917488</v>
      </c>
      <c r="D70" s="73">
        <f>D$31*D62</f>
        <v>102349.91666666667</v>
      </c>
      <c r="E70" s="73">
        <f t="shared" ref="E70:F70" si="22">E$31*E62</f>
        <v>10467.146856908463</v>
      </c>
      <c r="F70" s="73">
        <f t="shared" si="22"/>
        <v>234.89367559973954</v>
      </c>
      <c r="G70" s="151" t="s">
        <v>606</v>
      </c>
    </row>
    <row r="71" spans="1:7" x14ac:dyDescent="0.2">
      <c r="A71" s="151">
        <f t="shared" si="21"/>
        <v>54</v>
      </c>
      <c r="B71" s="145" t="s">
        <v>607</v>
      </c>
      <c r="C71" s="156">
        <f t="shared" si="19"/>
        <v>51.416666666666671</v>
      </c>
      <c r="D71" s="73">
        <f>D$32*D63</f>
        <v>23.666666666666668</v>
      </c>
      <c r="E71" s="73">
        <f t="shared" ref="E71:F71" si="23">E$32*E63</f>
        <v>27.75</v>
      </c>
      <c r="F71" s="73">
        <f t="shared" si="23"/>
        <v>0</v>
      </c>
      <c r="G71" s="151" t="s">
        <v>608</v>
      </c>
    </row>
    <row r="72" spans="1:7" x14ac:dyDescent="0.2">
      <c r="A72" s="151">
        <f t="shared" si="21"/>
        <v>55</v>
      </c>
      <c r="B72" s="145" t="s">
        <v>609</v>
      </c>
      <c r="C72" s="156">
        <f t="shared" si="19"/>
        <v>113875.89641250001</v>
      </c>
      <c r="D72" s="73">
        <f>D$31*D64</f>
        <v>102349.91666666667</v>
      </c>
      <c r="E72" s="73">
        <f t="shared" ref="E72:F72" si="24">E$31*E64</f>
        <v>11360.849635833332</v>
      </c>
      <c r="F72" s="73">
        <f t="shared" si="24"/>
        <v>165.13011</v>
      </c>
      <c r="G72" s="151" t="s">
        <v>610</v>
      </c>
    </row>
    <row r="73" spans="1:7" x14ac:dyDescent="0.2">
      <c r="A73" s="151">
        <f t="shared" si="21"/>
        <v>56</v>
      </c>
      <c r="B73" s="145" t="s">
        <v>611</v>
      </c>
      <c r="C73" s="156">
        <f t="shared" si="19"/>
        <v>390.75</v>
      </c>
      <c r="D73" s="73">
        <f>D65*D33</f>
        <v>2.5</v>
      </c>
      <c r="E73" s="73">
        <f t="shared" ref="E73:F73" si="25">E65*E33</f>
        <v>310.25</v>
      </c>
      <c r="F73" s="73">
        <f t="shared" si="25"/>
        <v>78</v>
      </c>
      <c r="G73" s="151" t="s">
        <v>612</v>
      </c>
    </row>
    <row r="74" spans="1:7" x14ac:dyDescent="0.2">
      <c r="A74" s="151">
        <f t="shared" ref="A74" si="26">A73+1</f>
        <v>57</v>
      </c>
      <c r="B74" s="145" t="s">
        <v>613</v>
      </c>
      <c r="C74" s="156">
        <f t="shared" ref="C74" si="27">SUM(D74:F74)</f>
        <v>398.83333333333331</v>
      </c>
      <c r="D74" s="73">
        <f>D66*D34</f>
        <v>111.08333333333333</v>
      </c>
      <c r="E74" s="73">
        <f>E66*E34</f>
        <v>287.75</v>
      </c>
      <c r="F74" s="73">
        <f t="shared" ref="F74" si="28">F66*F34</f>
        <v>0</v>
      </c>
      <c r="G74" s="151" t="s">
        <v>614</v>
      </c>
    </row>
  </sheetData>
  <phoneticPr fontId="15" type="noConversion"/>
  <pageMargins left="0.7" right="0.7" top="1.6166666666666667" bottom="0.75" header="0.3" footer="0.3"/>
  <pageSetup scale="80" fitToWidth="3" fitToHeight="3" pageOrder="overThenDown" orientation="landscape" useFirstPageNumber="1" r:id="rId1"/>
  <headerFooter alignWithMargins="0">
    <oddHeader>&amp;CRULE 20:10:13:98
STATEMENT O WORKPAPER - Tab &amp;A
Class Cost of Service Results
Test Year Ending December 31, 2021
Utility: MidAmerican Energy Company
Docket No. NG22-___
Individual Responsible: Amanda Hosch</oddHeader>
    <oddFooter>&amp;C20:10:13:98
Statement O Workpaper - Tab &amp;A
&amp;P of &amp;N</oddFooter>
  </headerFooter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50"/>
  </sheetPr>
  <dimension ref="A1:Z66"/>
  <sheetViews>
    <sheetView view="pageLayout" zoomScale="55" zoomScaleNormal="100" zoomScalePageLayoutView="55" workbookViewId="0">
      <selection activeCell="A7" sqref="A7"/>
    </sheetView>
  </sheetViews>
  <sheetFormatPr defaultColWidth="9.140625" defaultRowHeight="12.75" x14ac:dyDescent="0.2"/>
  <cols>
    <col min="1" max="1" width="6.85546875" style="32" customWidth="1"/>
    <col min="2" max="2" width="4.5703125" style="32" customWidth="1"/>
    <col min="3" max="3" width="9" style="32" bestFit="1" customWidth="1"/>
    <col min="4" max="4" width="25.5703125" style="32" customWidth="1"/>
    <col min="5" max="5" width="12" style="52" customWidth="1"/>
    <col min="6" max="6" width="7.28515625" style="52" customWidth="1"/>
    <col min="7" max="7" width="13.7109375" style="32" customWidth="1"/>
    <col min="8" max="8" width="14.7109375" style="32" customWidth="1"/>
    <col min="9" max="10" width="15.42578125" style="32" customWidth="1"/>
    <col min="11" max="11" width="15.7109375" style="32" customWidth="1"/>
    <col min="12" max="12" width="12.7109375" style="32" customWidth="1"/>
    <col min="13" max="14" width="12.28515625" style="32" bestFit="1" customWidth="1"/>
    <col min="15" max="15" width="13.42578125" style="32" bestFit="1" customWidth="1"/>
    <col min="16" max="16" width="13.28515625" style="32" customWidth="1"/>
    <col min="17" max="18" width="12.85546875" style="32" customWidth="1"/>
    <col min="19" max="21" width="8.7109375" style="145"/>
    <col min="22" max="24" width="12.28515625" style="145" bestFit="1" customWidth="1"/>
    <col min="25" max="25" width="13.42578125" style="145" bestFit="1" customWidth="1"/>
    <col min="26" max="26" width="8.7109375" style="145" customWidth="1"/>
    <col min="27" max="16384" width="9.140625" style="32"/>
  </cols>
  <sheetData>
    <row r="1" spans="1:26" x14ac:dyDescent="0.2">
      <c r="A1" s="37" t="s">
        <v>615</v>
      </c>
      <c r="B1" s="37"/>
      <c r="G1" s="265"/>
    </row>
    <row r="2" spans="1:26" x14ac:dyDescent="0.2">
      <c r="A2" s="37" t="s">
        <v>616</v>
      </c>
      <c r="B2" s="37"/>
    </row>
    <row r="3" spans="1:26" x14ac:dyDescent="0.2">
      <c r="A3" s="37" t="s">
        <v>617</v>
      </c>
      <c r="B3" s="37"/>
    </row>
    <row r="4" spans="1:26" x14ac:dyDescent="0.2">
      <c r="D4" s="189"/>
      <c r="G4" s="189"/>
    </row>
    <row r="5" spans="1:26" x14ac:dyDescent="0.2">
      <c r="A5" s="37" t="s">
        <v>10</v>
      </c>
      <c r="E5" s="42" t="s">
        <v>618</v>
      </c>
      <c r="F5" s="42"/>
      <c r="G5" s="42" t="s">
        <v>387</v>
      </c>
      <c r="H5" s="41" t="s">
        <v>619</v>
      </c>
      <c r="I5" s="41" t="s">
        <v>620</v>
      </c>
      <c r="J5" s="41" t="s">
        <v>120</v>
      </c>
      <c r="K5" s="41" t="s">
        <v>621</v>
      </c>
      <c r="L5" s="41" t="s">
        <v>622</v>
      </c>
      <c r="M5" s="145"/>
      <c r="N5" s="145"/>
      <c r="O5" s="145"/>
      <c r="P5" s="145"/>
      <c r="Q5" s="145"/>
      <c r="R5" s="145"/>
      <c r="U5" s="32"/>
      <c r="V5" s="32"/>
      <c r="W5" s="32"/>
      <c r="X5" s="32"/>
      <c r="Y5" s="32"/>
      <c r="Z5" s="32"/>
    </row>
    <row r="6" spans="1:26" x14ac:dyDescent="0.2">
      <c r="A6" s="40" t="s">
        <v>1098</v>
      </c>
      <c r="B6" s="38" t="s">
        <v>623</v>
      </c>
      <c r="C6" s="38" t="s">
        <v>624</v>
      </c>
      <c r="D6" s="38" t="s">
        <v>625</v>
      </c>
      <c r="E6" s="38" t="s">
        <v>349</v>
      </c>
      <c r="F6" s="38" t="s">
        <v>626</v>
      </c>
      <c r="G6" s="39" t="s">
        <v>627</v>
      </c>
      <c r="H6" s="38" t="s">
        <v>628</v>
      </c>
      <c r="I6" s="38" t="s">
        <v>628</v>
      </c>
      <c r="J6" s="38" t="s">
        <v>142</v>
      </c>
      <c r="K6" s="38" t="s">
        <v>107</v>
      </c>
      <c r="L6" s="38" t="s">
        <v>387</v>
      </c>
      <c r="M6" s="145"/>
      <c r="N6" s="145"/>
      <c r="O6" s="145"/>
      <c r="P6" s="145"/>
      <c r="Q6" s="145"/>
      <c r="R6" s="145"/>
      <c r="U6" s="32"/>
      <c r="V6" s="32"/>
      <c r="W6" s="32"/>
      <c r="X6" s="32"/>
      <c r="Y6" s="32"/>
      <c r="Z6" s="32"/>
    </row>
    <row r="7" spans="1:26" x14ac:dyDescent="0.2">
      <c r="B7" s="52" t="s">
        <v>24</v>
      </c>
      <c r="C7" s="52" t="s">
        <v>25</v>
      </c>
      <c r="D7" s="52" t="s">
        <v>26</v>
      </c>
      <c r="E7" s="52" t="s">
        <v>27</v>
      </c>
      <c r="F7" s="52" t="s">
        <v>29</v>
      </c>
      <c r="G7" s="52" t="s">
        <v>30</v>
      </c>
      <c r="H7" s="52" t="s">
        <v>31</v>
      </c>
      <c r="I7" s="52" t="s">
        <v>32</v>
      </c>
      <c r="J7" s="52" t="s">
        <v>33</v>
      </c>
      <c r="K7" s="52" t="s">
        <v>33</v>
      </c>
      <c r="L7" s="52" t="s">
        <v>34</v>
      </c>
      <c r="M7" s="145"/>
      <c r="N7" s="145"/>
      <c r="O7" s="145"/>
      <c r="P7" s="145"/>
      <c r="Q7" s="145"/>
      <c r="R7" s="145"/>
      <c r="U7" s="32"/>
      <c r="V7" s="32"/>
      <c r="W7" s="32"/>
      <c r="X7" s="32"/>
      <c r="Y7" s="32"/>
      <c r="Z7" s="32"/>
    </row>
    <row r="8" spans="1:26" x14ac:dyDescent="0.2">
      <c r="B8" s="37"/>
      <c r="L8" s="189"/>
      <c r="M8" s="145"/>
      <c r="N8" s="145"/>
      <c r="O8" s="145"/>
      <c r="P8" s="145"/>
      <c r="Q8" s="145"/>
      <c r="R8" s="145"/>
      <c r="U8" s="32"/>
      <c r="V8" s="32"/>
      <c r="W8" s="32"/>
      <c r="X8" s="32"/>
      <c r="Y8" s="32"/>
      <c r="Z8" s="32"/>
    </row>
    <row r="9" spans="1:26" x14ac:dyDescent="0.2">
      <c r="A9" s="214">
        <v>1</v>
      </c>
      <c r="B9" s="259">
        <v>400</v>
      </c>
      <c r="C9" s="259">
        <v>480061</v>
      </c>
      <c r="D9" s="286" t="s">
        <v>629</v>
      </c>
      <c r="E9" s="287"/>
      <c r="F9" s="185"/>
      <c r="G9" s="287">
        <v>-965668</v>
      </c>
      <c r="H9" s="189">
        <f>-SUM(H10:H11)</f>
        <v>965667.99999999988</v>
      </c>
      <c r="I9" s="189">
        <v>0</v>
      </c>
      <c r="J9" s="288">
        <v>0</v>
      </c>
      <c r="K9" s="73"/>
      <c r="L9" s="189">
        <f>G9+H9+I9+J9</f>
        <v>-1.1641532182693481E-10</v>
      </c>
      <c r="S9" s="32"/>
      <c r="T9" s="32"/>
      <c r="U9" s="32"/>
      <c r="V9" s="32"/>
      <c r="W9" s="32"/>
      <c r="X9" s="32"/>
      <c r="Y9" s="32"/>
      <c r="Z9" s="32"/>
    </row>
    <row r="10" spans="1:26" x14ac:dyDescent="0.2">
      <c r="A10" s="214">
        <f t="shared" ref="A10:A30" si="0">A9+1</f>
        <v>2</v>
      </c>
      <c r="B10" s="259">
        <v>400</v>
      </c>
      <c r="C10" s="259">
        <v>480081</v>
      </c>
      <c r="D10" s="259" t="s">
        <v>630</v>
      </c>
      <c r="E10" s="287" t="s">
        <v>631</v>
      </c>
      <c r="F10" s="185">
        <v>1</v>
      </c>
      <c r="G10" s="287">
        <v>204141</v>
      </c>
      <c r="H10" s="189">
        <f>K10/SUM(K$10:K$11)*G$9</f>
        <v>-3256.8756547330918</v>
      </c>
      <c r="I10" s="189">
        <v>0</v>
      </c>
      <c r="J10" s="288">
        <v>0</v>
      </c>
      <c r="K10" s="61">
        <f>-('SRC-5 (Monthly Sales)'!I7+'SRC-5 (Monthly Sales)'!T7)</f>
        <v>60763</v>
      </c>
      <c r="L10" s="189">
        <f t="shared" ref="L10:L30" si="1">G10+H10+I10+J10</f>
        <v>200884.1243452669</v>
      </c>
      <c r="N10" s="289"/>
      <c r="S10" s="32"/>
      <c r="T10" s="32"/>
      <c r="U10" s="32"/>
      <c r="V10" s="32"/>
      <c r="W10" s="32"/>
      <c r="X10" s="32"/>
      <c r="Y10" s="32"/>
      <c r="Z10" s="32"/>
    </row>
    <row r="11" spans="1:26" x14ac:dyDescent="0.2">
      <c r="A11" s="214">
        <f t="shared" si="0"/>
        <v>3</v>
      </c>
      <c r="B11" s="259">
        <v>400</v>
      </c>
      <c r="C11" s="259">
        <v>480081</v>
      </c>
      <c r="D11" s="286" t="s">
        <v>630</v>
      </c>
      <c r="E11" s="287" t="s">
        <v>632</v>
      </c>
      <c r="F11" s="185">
        <v>1</v>
      </c>
      <c r="G11" s="287">
        <v>58167188</v>
      </c>
      <c r="H11" s="189">
        <f>K11/SUM(K$10:K$11)*G$9</f>
        <v>-962411.12434526684</v>
      </c>
      <c r="I11" s="189">
        <v>0</v>
      </c>
      <c r="J11" s="287">
        <v>3285350</v>
      </c>
      <c r="K11" s="61">
        <f>-('SRC-5 (Monthly Sales)'!I8+'SRC-5 (Monthly Sales)'!T8)</f>
        <v>17955548</v>
      </c>
      <c r="L11" s="189">
        <f t="shared" si="1"/>
        <v>60490126.875654735</v>
      </c>
      <c r="O11" s="189"/>
      <c r="R11" s="220"/>
      <c r="S11" s="32"/>
      <c r="T11" s="32"/>
      <c r="U11" s="32"/>
      <c r="V11" s="32"/>
      <c r="W11" s="32"/>
      <c r="X11" s="32"/>
      <c r="Y11" s="32"/>
      <c r="Z11" s="32"/>
    </row>
    <row r="12" spans="1:26" x14ac:dyDescent="0.2">
      <c r="A12" s="214">
        <f t="shared" si="0"/>
        <v>4</v>
      </c>
      <c r="B12" s="259">
        <v>400</v>
      </c>
      <c r="C12" s="259">
        <v>481061</v>
      </c>
      <c r="D12" s="259" t="s">
        <v>633</v>
      </c>
      <c r="E12" s="287"/>
      <c r="F12" s="185"/>
      <c r="G12" s="287">
        <v>-817716</v>
      </c>
      <c r="H12" s="189">
        <f>-SUM(H13:H18)</f>
        <v>817716</v>
      </c>
      <c r="I12" s="189">
        <v>0</v>
      </c>
      <c r="J12" s="288">
        <v>0</v>
      </c>
      <c r="K12" s="61"/>
      <c r="L12" s="189">
        <f>G12+H12+I12+J12</f>
        <v>0</v>
      </c>
      <c r="S12" s="32"/>
      <c r="T12" s="32"/>
      <c r="U12" s="32"/>
      <c r="V12" s="32"/>
      <c r="W12" s="32"/>
      <c r="X12" s="32"/>
      <c r="Y12" s="32"/>
      <c r="Z12" s="32"/>
    </row>
    <row r="13" spans="1:26" x14ac:dyDescent="0.2">
      <c r="A13" s="214">
        <f t="shared" si="0"/>
        <v>5</v>
      </c>
      <c r="B13" s="259">
        <v>400</v>
      </c>
      <c r="C13" s="259">
        <v>481081</v>
      </c>
      <c r="D13" s="259" t="s">
        <v>634</v>
      </c>
      <c r="E13" s="287" t="s">
        <v>635</v>
      </c>
      <c r="F13" s="185">
        <v>3</v>
      </c>
      <c r="G13" s="287">
        <v>788247</v>
      </c>
      <c r="H13" s="189">
        <f>K13/SUM(K$13:K$18)*G$12</f>
        <v>-12470.045966749753</v>
      </c>
      <c r="I13" s="189">
        <v>0</v>
      </c>
      <c r="J13" s="288">
        <v>0</v>
      </c>
      <c r="K13" s="61">
        <f>-('SRC-5 (Monthly Sales)'!I10+'SRC-5 (Monthly Sales)'!T10)</f>
        <v>183250</v>
      </c>
      <c r="L13" s="189">
        <f t="shared" si="1"/>
        <v>775776.95403325022</v>
      </c>
      <c r="S13" s="32"/>
      <c r="T13" s="32"/>
      <c r="U13" s="32"/>
      <c r="V13" s="32"/>
      <c r="W13" s="32"/>
      <c r="X13" s="32"/>
      <c r="Y13" s="32"/>
      <c r="Z13" s="32"/>
    </row>
    <row r="14" spans="1:26" x14ac:dyDescent="0.2">
      <c r="A14" s="214">
        <f t="shared" si="0"/>
        <v>6</v>
      </c>
      <c r="B14" s="259">
        <v>400</v>
      </c>
      <c r="C14" s="259">
        <v>481081</v>
      </c>
      <c r="D14" s="259" t="s">
        <v>634</v>
      </c>
      <c r="E14" s="287" t="s">
        <v>636</v>
      </c>
      <c r="F14" s="185">
        <v>2</v>
      </c>
      <c r="G14" s="287">
        <v>22496491</v>
      </c>
      <c r="H14" s="189">
        <f t="shared" ref="H14:H18" si="2">K14/SUM(K$13:K$18)*G$12</f>
        <v>-448988.47927851276</v>
      </c>
      <c r="I14" s="189">
        <v>0</v>
      </c>
      <c r="J14" s="290">
        <v>959036</v>
      </c>
      <c r="K14" s="61">
        <f>-('SRC-5 (Monthly Sales)'!I11+'SRC-5 (Monthly Sales)'!T11)</f>
        <v>6597982</v>
      </c>
      <c r="L14" s="189">
        <f t="shared" si="1"/>
        <v>23006538.520721488</v>
      </c>
      <c r="S14" s="32"/>
      <c r="T14" s="32"/>
      <c r="U14" s="32"/>
      <c r="V14" s="32"/>
      <c r="W14" s="32"/>
      <c r="X14" s="32"/>
      <c r="Y14" s="32"/>
      <c r="Z14" s="32"/>
    </row>
    <row r="15" spans="1:26" x14ac:dyDescent="0.2">
      <c r="A15" s="214">
        <f t="shared" si="0"/>
        <v>7</v>
      </c>
      <c r="B15" s="259">
        <v>400</v>
      </c>
      <c r="C15" s="259">
        <v>481081</v>
      </c>
      <c r="D15" s="259" t="s">
        <v>634</v>
      </c>
      <c r="E15" s="287" t="s">
        <v>631</v>
      </c>
      <c r="F15" s="185">
        <v>1</v>
      </c>
      <c r="G15" s="287">
        <v>28630</v>
      </c>
      <c r="H15" s="189">
        <f t="shared" si="2"/>
        <v>-343.51318985076534</v>
      </c>
      <c r="I15" s="189">
        <v>0</v>
      </c>
      <c r="J15" s="288">
        <v>0</v>
      </c>
      <c r="K15" s="61">
        <f>-('SRC-5 (Monthly Sales)'!I12+'SRC-5 (Monthly Sales)'!T12)</f>
        <v>5048</v>
      </c>
      <c r="L15" s="189">
        <f t="shared" si="1"/>
        <v>28286.486810149236</v>
      </c>
      <c r="S15" s="32"/>
      <c r="T15" s="32"/>
      <c r="U15" s="32"/>
      <c r="V15" s="32"/>
      <c r="W15" s="32"/>
      <c r="X15" s="32"/>
      <c r="Y15" s="32"/>
      <c r="Z15" s="32"/>
    </row>
    <row r="16" spans="1:26" x14ac:dyDescent="0.2">
      <c r="A16" s="214">
        <f t="shared" si="0"/>
        <v>8</v>
      </c>
      <c r="B16" s="259">
        <v>400</v>
      </c>
      <c r="C16" s="259">
        <v>481081</v>
      </c>
      <c r="D16" s="259" t="s">
        <v>634</v>
      </c>
      <c r="E16" s="287" t="s">
        <v>637</v>
      </c>
      <c r="F16" s="185">
        <v>1</v>
      </c>
      <c r="G16" s="287">
        <v>17993</v>
      </c>
      <c r="H16" s="189">
        <f t="shared" si="2"/>
        <v>91.662493409069128</v>
      </c>
      <c r="I16" s="189">
        <v>0</v>
      </c>
      <c r="J16" s="288">
        <v>0</v>
      </c>
      <c r="K16" s="61">
        <f>-('SRC-5 (Monthly Sales)'!I13+'SRC-5 (Monthly Sales)'!T13)</f>
        <v>-1347</v>
      </c>
      <c r="L16" s="189">
        <f t="shared" si="1"/>
        <v>18084.662493409069</v>
      </c>
      <c r="O16" s="189"/>
      <c r="R16" s="220"/>
      <c r="S16" s="32"/>
      <c r="T16" s="32"/>
      <c r="U16" s="32"/>
      <c r="V16" s="32"/>
      <c r="W16" s="32"/>
      <c r="X16" s="32"/>
      <c r="Y16" s="32"/>
      <c r="Z16" s="32"/>
    </row>
    <row r="17" spans="1:26" x14ac:dyDescent="0.2">
      <c r="A17" s="214">
        <f t="shared" si="0"/>
        <v>9</v>
      </c>
      <c r="B17" s="259">
        <v>400</v>
      </c>
      <c r="C17" s="259">
        <v>481081</v>
      </c>
      <c r="D17" s="259" t="s">
        <v>634</v>
      </c>
      <c r="E17" s="287" t="s">
        <v>638</v>
      </c>
      <c r="F17" s="185">
        <v>1</v>
      </c>
      <c r="G17" s="287">
        <v>120038</v>
      </c>
      <c r="H17" s="189">
        <f t="shared" si="2"/>
        <v>-523.84400464960208</v>
      </c>
      <c r="I17" s="189">
        <v>0</v>
      </c>
      <c r="J17" s="288">
        <v>0</v>
      </c>
      <c r="K17" s="61">
        <f>-('SRC-5 (Monthly Sales)'!I14+'SRC-5 (Monthly Sales)'!T14)</f>
        <v>7698</v>
      </c>
      <c r="L17" s="189">
        <f t="shared" si="1"/>
        <v>119514.1559953504</v>
      </c>
      <c r="S17" s="32"/>
      <c r="T17" s="32"/>
      <c r="U17" s="32"/>
      <c r="V17" s="32"/>
      <c r="W17" s="32"/>
      <c r="X17" s="32"/>
      <c r="Y17" s="32"/>
      <c r="Z17" s="32"/>
    </row>
    <row r="18" spans="1:26" x14ac:dyDescent="0.2">
      <c r="A18" s="214">
        <f t="shared" si="0"/>
        <v>10</v>
      </c>
      <c r="B18" s="259">
        <v>400</v>
      </c>
      <c r="C18" s="259">
        <v>481081</v>
      </c>
      <c r="D18" s="259" t="s">
        <v>634</v>
      </c>
      <c r="E18" s="287" t="s">
        <v>632</v>
      </c>
      <c r="F18" s="185">
        <v>1</v>
      </c>
      <c r="G18" s="287">
        <v>15827794</v>
      </c>
      <c r="H18" s="189">
        <f t="shared" si="2"/>
        <v>-355481.78005364619</v>
      </c>
      <c r="I18" s="189">
        <v>0</v>
      </c>
      <c r="J18" s="287">
        <v>899719</v>
      </c>
      <c r="K18" s="61">
        <f>-('SRC-5 (Monthly Sales)'!I15+'SRC-5 (Monthly Sales)'!T15)</f>
        <v>5223881</v>
      </c>
      <c r="L18" s="189">
        <f t="shared" si="1"/>
        <v>16372031.219946355</v>
      </c>
      <c r="S18" s="32"/>
      <c r="T18" s="32"/>
      <c r="U18" s="32"/>
      <c r="V18" s="32"/>
      <c r="W18" s="32"/>
      <c r="X18" s="32"/>
      <c r="Y18" s="32"/>
      <c r="Z18" s="32"/>
    </row>
    <row r="19" spans="1:26" x14ac:dyDescent="0.2">
      <c r="A19" s="214">
        <f t="shared" si="0"/>
        <v>11</v>
      </c>
      <c r="B19" s="259">
        <v>400</v>
      </c>
      <c r="C19" s="259">
        <v>481261</v>
      </c>
      <c r="D19" s="259" t="s">
        <v>639</v>
      </c>
      <c r="E19" s="287"/>
      <c r="F19" s="185"/>
      <c r="G19" s="287">
        <v>-5528</v>
      </c>
      <c r="H19" s="189">
        <f>-SUM(H20:H22)</f>
        <v>5528</v>
      </c>
      <c r="I19" s="189">
        <v>0</v>
      </c>
      <c r="J19" s="288">
        <v>0</v>
      </c>
      <c r="K19" s="61"/>
      <c r="L19" s="189">
        <f t="shared" si="1"/>
        <v>0</v>
      </c>
      <c r="S19" s="32"/>
      <c r="T19" s="32"/>
      <c r="U19" s="32"/>
      <c r="V19" s="32"/>
      <c r="W19" s="32"/>
      <c r="X19" s="32"/>
      <c r="Y19" s="32"/>
      <c r="Z19" s="32"/>
    </row>
    <row r="20" spans="1:26" x14ac:dyDescent="0.2">
      <c r="A20" s="214">
        <f t="shared" si="0"/>
        <v>12</v>
      </c>
      <c r="B20" s="259">
        <v>400</v>
      </c>
      <c r="C20" s="259">
        <v>481281</v>
      </c>
      <c r="D20" s="259" t="s">
        <v>640</v>
      </c>
      <c r="E20" s="287" t="s">
        <v>636</v>
      </c>
      <c r="F20" s="185">
        <v>2</v>
      </c>
      <c r="G20" s="287">
        <v>1041719</v>
      </c>
      <c r="H20" s="189">
        <f>K20/SUM(K$20:K$22)*G$19</f>
        <v>-4653.8879411311009</v>
      </c>
      <c r="I20" s="189">
        <v>0</v>
      </c>
      <c r="J20" s="288">
        <v>0</v>
      </c>
      <c r="K20" s="61">
        <f>-('SRC-5 (Monthly Sales)'!I17+'SRC-5 (Monthly Sales)'!T17)</f>
        <v>294712</v>
      </c>
      <c r="L20" s="189">
        <f t="shared" si="1"/>
        <v>1037065.1120588689</v>
      </c>
      <c r="S20" s="32"/>
      <c r="T20" s="32"/>
      <c r="U20" s="32"/>
      <c r="V20" s="32"/>
      <c r="W20" s="32"/>
      <c r="X20" s="32"/>
      <c r="Y20" s="32"/>
      <c r="Z20" s="32"/>
    </row>
    <row r="21" spans="1:26" x14ac:dyDescent="0.2">
      <c r="A21" s="214">
        <f t="shared" si="0"/>
        <v>13</v>
      </c>
      <c r="B21" s="259">
        <v>400</v>
      </c>
      <c r="C21" s="259">
        <v>481281</v>
      </c>
      <c r="D21" s="259" t="s">
        <v>640</v>
      </c>
      <c r="E21" s="287" t="s">
        <v>638</v>
      </c>
      <c r="F21" s="185">
        <v>1</v>
      </c>
      <c r="G21" s="287">
        <v>137619</v>
      </c>
      <c r="H21" s="189">
        <f t="shared" ref="H21:H22" si="3">K21/SUM(K$20:K$22)*G$19</f>
        <v>-353.42526266475465</v>
      </c>
      <c r="I21" s="189">
        <v>0</v>
      </c>
      <c r="J21" s="288">
        <v>0</v>
      </c>
      <c r="K21" s="61">
        <f>-('SRC-5 (Monthly Sales)'!I18+'SRC-5 (Monthly Sales)'!T18)</f>
        <v>22381</v>
      </c>
      <c r="L21" s="189">
        <f t="shared" si="1"/>
        <v>137265.57473733524</v>
      </c>
      <c r="S21" s="32"/>
      <c r="T21" s="32"/>
      <c r="U21" s="32"/>
      <c r="V21" s="32"/>
      <c r="W21" s="32"/>
      <c r="X21" s="32"/>
      <c r="Y21" s="32"/>
      <c r="Z21" s="32"/>
    </row>
    <row r="22" spans="1:26" x14ac:dyDescent="0.2">
      <c r="A22" s="214">
        <f t="shared" si="0"/>
        <v>14</v>
      </c>
      <c r="B22" s="259">
        <v>400</v>
      </c>
      <c r="C22" s="259">
        <v>481281</v>
      </c>
      <c r="D22" s="259" t="s">
        <v>640</v>
      </c>
      <c r="E22" s="287" t="s">
        <v>632</v>
      </c>
      <c r="F22" s="185">
        <v>1</v>
      </c>
      <c r="G22" s="287">
        <v>63437</v>
      </c>
      <c r="H22" s="189">
        <f t="shared" si="3"/>
        <v>-520.68679620414434</v>
      </c>
      <c r="I22" s="189">
        <v>0</v>
      </c>
      <c r="J22" s="288">
        <v>0</v>
      </c>
      <c r="K22" s="61">
        <f>-('SRC-5 (Monthly Sales)'!I19+'SRC-5 (Monthly Sales)'!T19)</f>
        <v>32973</v>
      </c>
      <c r="L22" s="189">
        <f t="shared" si="1"/>
        <v>62916.313203795857</v>
      </c>
      <c r="O22" s="189"/>
      <c r="S22" s="32"/>
      <c r="T22" s="32"/>
      <c r="U22" s="32"/>
      <c r="V22" s="32"/>
      <c r="W22" s="32"/>
      <c r="X22" s="32"/>
      <c r="Y22" s="32"/>
      <c r="Z22" s="32"/>
    </row>
    <row r="23" spans="1:26" x14ac:dyDescent="0.2">
      <c r="A23" s="214">
        <f t="shared" si="0"/>
        <v>15</v>
      </c>
      <c r="B23" s="259">
        <v>400</v>
      </c>
      <c r="C23" s="259">
        <v>481282</v>
      </c>
      <c r="D23" s="259" t="s">
        <v>641</v>
      </c>
      <c r="E23" s="287"/>
      <c r="F23" s="185"/>
      <c r="G23" s="287">
        <v>4658818</v>
      </c>
      <c r="H23" s="189">
        <v>0</v>
      </c>
      <c r="I23" s="189">
        <f>-G23</f>
        <v>-4658818</v>
      </c>
      <c r="J23" s="288">
        <v>0</v>
      </c>
      <c r="K23" s="61"/>
      <c r="L23" s="189">
        <f t="shared" si="1"/>
        <v>0</v>
      </c>
      <c r="S23" s="32"/>
      <c r="T23" s="32"/>
      <c r="U23" s="32"/>
      <c r="V23" s="32"/>
      <c r="W23" s="32"/>
      <c r="X23" s="32"/>
      <c r="Y23" s="32"/>
      <c r="Z23" s="32"/>
    </row>
    <row r="24" spans="1:26" x14ac:dyDescent="0.2">
      <c r="A24" s="214">
        <f t="shared" si="0"/>
        <v>16</v>
      </c>
      <c r="B24" s="259">
        <v>400</v>
      </c>
      <c r="C24" s="259">
        <v>489081</v>
      </c>
      <c r="D24" s="259" t="s">
        <v>642</v>
      </c>
      <c r="E24" s="287"/>
      <c r="F24" s="185"/>
      <c r="G24" s="287">
        <v>588840</v>
      </c>
      <c r="H24" s="189">
        <v>0</v>
      </c>
      <c r="I24" s="189">
        <f>-G24</f>
        <v>-588840</v>
      </c>
      <c r="J24" s="288">
        <v>0</v>
      </c>
      <c r="K24" s="61"/>
      <c r="L24" s="189">
        <f t="shared" si="1"/>
        <v>0</v>
      </c>
      <c r="S24" s="32"/>
      <c r="T24" s="32"/>
      <c r="U24" s="32"/>
      <c r="V24" s="32"/>
      <c r="W24" s="32"/>
      <c r="X24" s="32"/>
      <c r="Y24" s="32"/>
      <c r="Z24" s="32"/>
    </row>
    <row r="25" spans="1:26" x14ac:dyDescent="0.2">
      <c r="A25" s="214">
        <f t="shared" si="0"/>
        <v>17</v>
      </c>
      <c r="B25" s="259">
        <v>400</v>
      </c>
      <c r="C25" s="259">
        <v>489081</v>
      </c>
      <c r="D25" s="259" t="s">
        <v>642</v>
      </c>
      <c r="E25" s="287" t="s">
        <v>643</v>
      </c>
      <c r="F25" s="185">
        <v>3</v>
      </c>
      <c r="G25" s="287">
        <v>665633</v>
      </c>
      <c r="H25" s="189">
        <v>0</v>
      </c>
      <c r="I25" s="189">
        <f>K25/SUM(K$25:K$30)*G$24</f>
        <v>8293.8734343140113</v>
      </c>
      <c r="J25" s="288">
        <v>0</v>
      </c>
      <c r="K25" s="61">
        <f>-('SRC-5 (Monthly Sales)'!I22+'SRC-5 (Monthly Sales)'!T22)</f>
        <v>148544</v>
      </c>
      <c r="L25" s="189">
        <f t="shared" si="1"/>
        <v>673926.87343431404</v>
      </c>
      <c r="O25" s="220"/>
      <c r="S25" s="32"/>
      <c r="T25" s="32"/>
      <c r="U25" s="32"/>
      <c r="V25" s="32"/>
      <c r="W25" s="32"/>
      <c r="X25" s="32"/>
      <c r="Y25" s="32"/>
      <c r="Z25" s="32"/>
    </row>
    <row r="26" spans="1:26" x14ac:dyDescent="0.2">
      <c r="A26" s="214">
        <f t="shared" si="0"/>
        <v>18</v>
      </c>
      <c r="B26" s="259">
        <v>400</v>
      </c>
      <c r="C26" s="259">
        <v>489081</v>
      </c>
      <c r="D26" s="259" t="s">
        <v>642</v>
      </c>
      <c r="E26" s="287" t="s">
        <v>644</v>
      </c>
      <c r="F26" s="185">
        <v>3</v>
      </c>
      <c r="G26" s="287">
        <v>31214361</v>
      </c>
      <c r="H26" s="189">
        <v>0</v>
      </c>
      <c r="I26" s="189">
        <f t="shared" ref="I26:I30" si="4">K26/SUM(K$25:K$30)*G$24</f>
        <v>329935.96246449894</v>
      </c>
      <c r="J26" s="288">
        <v>0</v>
      </c>
      <c r="K26" s="61">
        <f>-('SRC-5 (Monthly Sales)'!I23+'SRC-5 (Monthly Sales)'!T23)</f>
        <v>5909182</v>
      </c>
      <c r="L26" s="189">
        <f t="shared" si="1"/>
        <v>31544296.9624645</v>
      </c>
      <c r="S26" s="32"/>
      <c r="T26" s="32"/>
      <c r="U26" s="32"/>
      <c r="V26" s="32"/>
      <c r="W26" s="32"/>
      <c r="X26" s="32"/>
      <c r="Y26" s="32"/>
      <c r="Z26" s="32"/>
    </row>
    <row r="27" spans="1:26" x14ac:dyDescent="0.2">
      <c r="A27" s="214">
        <f t="shared" si="0"/>
        <v>19</v>
      </c>
      <c r="B27" s="259">
        <v>400</v>
      </c>
      <c r="C27" s="259">
        <v>489081</v>
      </c>
      <c r="D27" s="259" t="s">
        <v>642</v>
      </c>
      <c r="E27" s="287" t="s">
        <v>645</v>
      </c>
      <c r="F27" s="185">
        <v>2</v>
      </c>
      <c r="G27" s="287">
        <v>8353639</v>
      </c>
      <c r="H27" s="189">
        <v>0</v>
      </c>
      <c r="I27" s="189">
        <f t="shared" si="4"/>
        <v>134548.36457498907</v>
      </c>
      <c r="J27" s="287">
        <v>537843</v>
      </c>
      <c r="K27" s="61">
        <f>-('SRC-5 (Monthly Sales)'!I24+'SRC-5 (Monthly Sales)'!T24)</f>
        <v>2409773</v>
      </c>
      <c r="L27" s="189">
        <f t="shared" si="1"/>
        <v>9026030.3645749893</v>
      </c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14">
        <f t="shared" si="0"/>
        <v>20</v>
      </c>
      <c r="B28" s="259">
        <v>400</v>
      </c>
      <c r="C28" s="259">
        <v>489081</v>
      </c>
      <c r="D28" s="259" t="s">
        <v>642</v>
      </c>
      <c r="E28" s="287" t="s">
        <v>646</v>
      </c>
      <c r="F28" s="185">
        <v>2</v>
      </c>
      <c r="G28" s="287">
        <v>8400354</v>
      </c>
      <c r="H28" s="189">
        <v>0</v>
      </c>
      <c r="I28" s="189">
        <f t="shared" si="4"/>
        <v>107798.52337378022</v>
      </c>
      <c r="J28" s="287">
        <v>512664</v>
      </c>
      <c r="K28" s="61">
        <f>-('SRC-5 (Monthly Sales)'!I25+'SRC-5 (Monthly Sales)'!T25)</f>
        <v>1930681</v>
      </c>
      <c r="L28" s="189">
        <f t="shared" si="1"/>
        <v>9020816.5233737808</v>
      </c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214">
        <f t="shared" si="0"/>
        <v>21</v>
      </c>
      <c r="B29" s="259">
        <v>400</v>
      </c>
      <c r="C29" s="259">
        <v>489081</v>
      </c>
      <c r="D29" s="259" t="s">
        <v>642</v>
      </c>
      <c r="E29" s="287" t="s">
        <v>647</v>
      </c>
      <c r="F29" s="185">
        <v>1</v>
      </c>
      <c r="G29" s="287">
        <v>479741</v>
      </c>
      <c r="H29" s="189">
        <v>0</v>
      </c>
      <c r="I29" s="189">
        <f t="shared" si="4"/>
        <v>8147.41965618628</v>
      </c>
      <c r="J29" s="287">
        <v>29547</v>
      </c>
      <c r="K29" s="61">
        <f>-('SRC-5 (Monthly Sales)'!I26+'SRC-5 (Monthly Sales)'!T26)</f>
        <v>145921</v>
      </c>
      <c r="L29" s="189">
        <f t="shared" si="1"/>
        <v>517435.41965618631</v>
      </c>
      <c r="S29" s="32"/>
      <c r="T29" s="32"/>
      <c r="U29" s="32"/>
      <c r="V29" s="32"/>
      <c r="W29" s="32"/>
      <c r="X29" s="32"/>
      <c r="Y29" s="32"/>
      <c r="Z29" s="32"/>
    </row>
    <row r="30" spans="1:26" x14ac:dyDescent="0.2">
      <c r="A30" s="214">
        <f t="shared" si="0"/>
        <v>22</v>
      </c>
      <c r="B30" s="259">
        <v>400</v>
      </c>
      <c r="C30" s="259">
        <v>489081</v>
      </c>
      <c r="D30" s="259" t="s">
        <v>642</v>
      </c>
      <c r="E30" s="287" t="s">
        <v>648</v>
      </c>
      <c r="F30" s="185">
        <v>1</v>
      </c>
      <c r="G30" s="287">
        <v>12325</v>
      </c>
      <c r="H30" s="189">
        <v>0</v>
      </c>
      <c r="I30" s="189">
        <f t="shared" si="4"/>
        <v>115.85649623143024</v>
      </c>
      <c r="J30" s="287">
        <v>741</v>
      </c>
      <c r="K30" s="61">
        <f>-('SRC-5 (Monthly Sales)'!I27+'SRC-5 (Monthly Sales)'!T27)</f>
        <v>2075</v>
      </c>
      <c r="L30" s="189">
        <f t="shared" si="1"/>
        <v>13181.85649623143</v>
      </c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M31" s="145"/>
      <c r="N31" s="145"/>
      <c r="O31" s="145"/>
      <c r="P31" s="145"/>
      <c r="Q31" s="145"/>
      <c r="R31" s="145"/>
    </row>
    <row r="32" spans="1:26" ht="13.5" thickBot="1" x14ac:dyDescent="0.25">
      <c r="A32" s="214">
        <f>+A30+1</f>
        <v>23</v>
      </c>
      <c r="D32" s="32" t="s">
        <v>649</v>
      </c>
      <c r="G32" s="268">
        <f>+SUM(G8:G30)</f>
        <v>151478096</v>
      </c>
      <c r="H32" s="268">
        <f t="shared" ref="H32:K32" si="5">+SUM(H8:H30)</f>
        <v>-5.8093974075745791E-11</v>
      </c>
      <c r="I32" s="268">
        <f>+SUM(I8:I30)</f>
        <v>-4658818</v>
      </c>
      <c r="J32" s="268">
        <f t="shared" si="5"/>
        <v>6224900</v>
      </c>
      <c r="K32" s="268">
        <f t="shared" si="5"/>
        <v>40929065</v>
      </c>
      <c r="L32" s="268">
        <f>+SUM(L9:L30)</f>
        <v>153044178.00000003</v>
      </c>
      <c r="M32" s="145"/>
      <c r="N32" s="145"/>
      <c r="O32" s="145"/>
      <c r="P32" s="145"/>
      <c r="Q32" s="145"/>
      <c r="R32" s="145"/>
    </row>
    <row r="33" spans="1:18" ht="13.5" thickTop="1" x14ac:dyDescent="0.2">
      <c r="O33" s="145"/>
      <c r="P33" s="145"/>
      <c r="Q33" s="145"/>
      <c r="R33" s="145"/>
    </row>
    <row r="34" spans="1:18" x14ac:dyDescent="0.2">
      <c r="A34" s="31" t="s">
        <v>10</v>
      </c>
      <c r="B34" s="31"/>
      <c r="C34" s="31"/>
      <c r="D34" s="67" t="s">
        <v>650</v>
      </c>
      <c r="E34" s="67"/>
      <c r="F34" s="67"/>
      <c r="G34" s="67" t="s">
        <v>501</v>
      </c>
      <c r="H34" s="67" t="s">
        <v>502</v>
      </c>
      <c r="I34" s="67" t="s">
        <v>503</v>
      </c>
      <c r="J34" s="67" t="s">
        <v>387</v>
      </c>
      <c r="L34" s="189"/>
      <c r="R34" s="145"/>
    </row>
    <row r="35" spans="1:18" x14ac:dyDescent="0.2">
      <c r="D35" s="32" t="s">
        <v>26</v>
      </c>
      <c r="E35" s="52" t="s">
        <v>27</v>
      </c>
      <c r="F35" s="52" t="s">
        <v>29</v>
      </c>
      <c r="G35" s="52" t="s">
        <v>30</v>
      </c>
      <c r="H35" s="52" t="s">
        <v>31</v>
      </c>
      <c r="I35" s="52" t="s">
        <v>32</v>
      </c>
      <c r="J35" s="52" t="s">
        <v>33</v>
      </c>
      <c r="K35" s="189"/>
      <c r="L35" s="189"/>
      <c r="R35" s="145"/>
    </row>
    <row r="36" spans="1:18" x14ac:dyDescent="0.2">
      <c r="E36" s="32"/>
      <c r="F36" s="32"/>
      <c r="G36" s="33"/>
      <c r="H36" s="33"/>
      <c r="I36" s="33"/>
      <c r="J36" s="33"/>
      <c r="L36" s="189"/>
      <c r="R36" s="145"/>
    </row>
    <row r="37" spans="1:18" x14ac:dyDescent="0.2">
      <c r="A37" s="214">
        <f>+A32+1</f>
        <v>24</v>
      </c>
      <c r="D37" s="32" t="s">
        <v>649</v>
      </c>
      <c r="E37" s="32"/>
      <c r="F37" s="32"/>
      <c r="G37" s="269">
        <f>SUMIF($F$9:$F$30,1,$L$9:$L$30)</f>
        <v>77959726.689338818</v>
      </c>
      <c r="H37" s="269">
        <f>SUMIF($F$9:$F$30,2,$L$9:$L$30)</f>
        <v>42090450.520729132</v>
      </c>
      <c r="I37" s="269">
        <f>SUMIF($F$9:$F$30,3,$L$9:$L$30)</f>
        <v>32994000.789932065</v>
      </c>
      <c r="J37" s="189">
        <f>SUM(G37:I37)</f>
        <v>153044178.00000003</v>
      </c>
      <c r="L37" s="189"/>
      <c r="R37" s="145"/>
    </row>
    <row r="38" spans="1:18" x14ac:dyDescent="0.2">
      <c r="A38" s="214">
        <f>+A37+1</f>
        <v>25</v>
      </c>
      <c r="D38" s="32" t="s">
        <v>651</v>
      </c>
      <c r="E38" s="32"/>
      <c r="F38" s="32"/>
      <c r="G38" s="269">
        <f>SUMIF($F$9:$F$22,1,$L$9:$L$22)</f>
        <v>77429109.413186401</v>
      </c>
      <c r="H38" s="269">
        <f>SUMIF($F$9:$F$22,2,$L$9:$L$22)</f>
        <v>24043603.632780358</v>
      </c>
      <c r="I38" s="269">
        <f>SUMIF($F$9:$F$22,3,$L$9:$L$22)</f>
        <v>775776.95403325022</v>
      </c>
      <c r="J38" s="189">
        <f>SUM(G38:I38)</f>
        <v>102248490.00000001</v>
      </c>
      <c r="O38" s="189"/>
      <c r="R38" s="145"/>
    </row>
    <row r="39" spans="1:18" x14ac:dyDescent="0.2">
      <c r="A39" s="214">
        <f>+A38+1</f>
        <v>26</v>
      </c>
      <c r="D39" s="32" t="s">
        <v>620</v>
      </c>
      <c r="E39" s="32"/>
      <c r="F39" s="32"/>
      <c r="G39" s="269">
        <f>SUMIF($F$23:$F$30,1,$L$23:$L$30)</f>
        <v>530617.27615241776</v>
      </c>
      <c r="H39" s="269">
        <f>SUMIF($F$23:$F$30,2,$L$23:$L$30)</f>
        <v>18046846.88794877</v>
      </c>
      <c r="I39" s="269">
        <f>SUMIF($F$23:$F$30,3,$L$23:$L$30)</f>
        <v>32218223.835898813</v>
      </c>
      <c r="J39" s="189">
        <f>SUM(G39:I39)</f>
        <v>50795688</v>
      </c>
      <c r="R39" s="145"/>
    </row>
    <row r="40" spans="1:18" x14ac:dyDescent="0.2">
      <c r="A40" s="214"/>
      <c r="E40" s="32"/>
      <c r="F40" s="32"/>
      <c r="G40" s="269"/>
      <c r="H40" s="269"/>
      <c r="I40" s="269"/>
      <c r="J40" s="189"/>
      <c r="K40" s="145"/>
      <c r="L40" s="145"/>
      <c r="M40" s="145"/>
      <c r="N40" s="145"/>
      <c r="O40" s="145"/>
      <c r="P40" s="145"/>
      <c r="Q40" s="145"/>
      <c r="R40" s="145"/>
    </row>
    <row r="41" spans="1:18" x14ac:dyDescent="0.2">
      <c r="K41" s="145"/>
      <c r="L41" s="145"/>
      <c r="M41" s="145"/>
      <c r="N41" s="145"/>
      <c r="O41" s="145"/>
      <c r="P41" s="145"/>
      <c r="Q41" s="145"/>
      <c r="R41" s="145"/>
    </row>
    <row r="42" spans="1:18" x14ac:dyDescent="0.2">
      <c r="A42" s="32" t="s">
        <v>652</v>
      </c>
      <c r="G42" s="9"/>
      <c r="H42" s="9"/>
      <c r="I42" s="9"/>
      <c r="J42" s="9"/>
      <c r="K42" s="145"/>
      <c r="L42" s="145"/>
      <c r="M42" s="145"/>
      <c r="N42" s="145"/>
      <c r="O42" s="145"/>
      <c r="P42" s="145"/>
      <c r="Q42" s="145"/>
      <c r="R42" s="145"/>
    </row>
    <row r="43" spans="1:18" x14ac:dyDescent="0.2">
      <c r="A43" s="32" t="s">
        <v>653</v>
      </c>
      <c r="G43" s="9"/>
      <c r="H43" s="9"/>
      <c r="I43" s="9"/>
      <c r="J43" s="9"/>
      <c r="K43" s="145"/>
      <c r="L43" s="145"/>
      <c r="M43" s="145"/>
      <c r="N43" s="145"/>
      <c r="O43" s="145"/>
      <c r="P43" s="145"/>
      <c r="Q43" s="145"/>
      <c r="R43" s="145"/>
    </row>
    <row r="44" spans="1:18" x14ac:dyDescent="0.2">
      <c r="A44" s="32" t="s">
        <v>654</v>
      </c>
      <c r="G44" s="9"/>
      <c r="H44" s="9"/>
      <c r="I44" s="9"/>
      <c r="J44" s="9"/>
      <c r="K44" s="145"/>
      <c r="L44" s="145"/>
      <c r="M44" s="145"/>
      <c r="N44" s="145"/>
      <c r="O44" s="145"/>
      <c r="P44" s="145"/>
      <c r="Q44" s="145"/>
      <c r="R44" s="145"/>
    </row>
    <row r="45" spans="1:18" x14ac:dyDescent="0.2">
      <c r="A45" s="32" t="s">
        <v>655</v>
      </c>
      <c r="G45" s="9"/>
      <c r="H45" s="9"/>
      <c r="I45" s="9"/>
      <c r="J45" s="9"/>
      <c r="K45" s="145"/>
      <c r="L45" s="145"/>
      <c r="M45" s="145"/>
      <c r="N45" s="145"/>
      <c r="O45" s="145"/>
      <c r="P45" s="145"/>
      <c r="Q45" s="145"/>
      <c r="R45" s="145"/>
    </row>
    <row r="46" spans="1:18" x14ac:dyDescent="0.2">
      <c r="G46" s="9"/>
      <c r="H46" s="9"/>
      <c r="I46" s="9"/>
      <c r="J46" s="9"/>
      <c r="K46" s="145"/>
      <c r="L46" s="145"/>
      <c r="M46" s="145"/>
      <c r="N46" s="145"/>
      <c r="O46" s="145"/>
      <c r="P46" s="145"/>
      <c r="Q46" s="145"/>
      <c r="R46" s="145"/>
    </row>
    <row r="47" spans="1:18" x14ac:dyDescent="0.2">
      <c r="A47" s="32" t="s">
        <v>656</v>
      </c>
      <c r="G47" s="9"/>
      <c r="H47" s="52"/>
      <c r="I47" s="52"/>
      <c r="J47" s="52"/>
      <c r="K47" s="9"/>
    </row>
    <row r="48" spans="1:18" x14ac:dyDescent="0.2">
      <c r="A48" s="32" t="s">
        <v>657</v>
      </c>
      <c r="G48" s="9"/>
      <c r="H48" s="52"/>
      <c r="I48" s="52"/>
      <c r="J48" s="52"/>
      <c r="K48" s="9"/>
    </row>
    <row r="49" spans="1:11" x14ac:dyDescent="0.2">
      <c r="A49" s="32" t="s">
        <v>658</v>
      </c>
      <c r="G49" s="9"/>
      <c r="H49" s="52"/>
      <c r="I49" s="52"/>
      <c r="J49" s="52"/>
      <c r="K49" s="9"/>
    </row>
    <row r="50" spans="1:11" x14ac:dyDescent="0.2">
      <c r="G50" s="9"/>
      <c r="H50" s="52"/>
      <c r="I50" s="52"/>
      <c r="J50" s="52"/>
      <c r="K50" s="9"/>
    </row>
    <row r="51" spans="1:11" x14ac:dyDescent="0.2">
      <c r="A51" s="32" t="s">
        <v>659</v>
      </c>
      <c r="G51" s="9"/>
      <c r="H51" s="9"/>
      <c r="I51" s="9"/>
      <c r="J51" s="9"/>
      <c r="K51" s="189"/>
    </row>
    <row r="52" spans="1:11" x14ac:dyDescent="0.2">
      <c r="G52" s="9"/>
      <c r="H52" s="9"/>
      <c r="I52" s="9"/>
      <c r="J52" s="9"/>
    </row>
    <row r="53" spans="1:11" x14ac:dyDescent="0.2">
      <c r="G53" s="9"/>
      <c r="H53" s="9"/>
      <c r="I53" s="9"/>
      <c r="J53" s="9"/>
    </row>
    <row r="54" spans="1:11" x14ac:dyDescent="0.2">
      <c r="G54" s="9"/>
      <c r="H54" s="9"/>
      <c r="I54" s="9"/>
      <c r="J54" s="9"/>
    </row>
    <row r="55" spans="1:11" x14ac:dyDescent="0.2">
      <c r="G55" s="9"/>
      <c r="H55" s="9"/>
      <c r="I55" s="9"/>
      <c r="J55" s="9"/>
    </row>
    <row r="56" spans="1:11" x14ac:dyDescent="0.2">
      <c r="G56" s="9"/>
      <c r="H56" s="9"/>
      <c r="I56" s="9"/>
      <c r="J56" s="9"/>
    </row>
    <row r="57" spans="1:11" x14ac:dyDescent="0.2">
      <c r="G57" s="9"/>
      <c r="H57" s="9"/>
      <c r="I57" s="9"/>
      <c r="J57" s="9"/>
    </row>
    <row r="58" spans="1:11" x14ac:dyDescent="0.2">
      <c r="G58" s="9"/>
      <c r="H58" s="9"/>
      <c r="I58" s="9"/>
      <c r="J58" s="9"/>
    </row>
    <row r="59" spans="1:11" x14ac:dyDescent="0.2">
      <c r="G59" s="9"/>
      <c r="H59" s="9"/>
      <c r="I59" s="9"/>
      <c r="J59" s="9"/>
    </row>
    <row r="60" spans="1:11" x14ac:dyDescent="0.2">
      <c r="G60" s="9"/>
      <c r="H60" s="9"/>
      <c r="I60" s="9"/>
      <c r="J60" s="9"/>
    </row>
    <row r="61" spans="1:11" x14ac:dyDescent="0.2">
      <c r="G61" s="9"/>
      <c r="H61" s="9"/>
      <c r="I61" s="9"/>
      <c r="J61" s="9"/>
    </row>
    <row r="62" spans="1:11" x14ac:dyDescent="0.2">
      <c r="G62" s="9"/>
      <c r="H62" s="9"/>
      <c r="I62" s="9"/>
      <c r="J62" s="9"/>
    </row>
    <row r="63" spans="1:11" x14ac:dyDescent="0.2">
      <c r="G63" s="9"/>
      <c r="H63" s="9"/>
      <c r="I63" s="9"/>
      <c r="J63" s="9"/>
    </row>
    <row r="64" spans="1:11" x14ac:dyDescent="0.2">
      <c r="G64" s="9"/>
      <c r="H64" s="9"/>
      <c r="I64" s="9"/>
      <c r="J64" s="9"/>
    </row>
    <row r="65" spans="7:10" x14ac:dyDescent="0.2">
      <c r="G65" s="9"/>
      <c r="H65" s="9"/>
      <c r="I65" s="9"/>
      <c r="J65" s="9"/>
    </row>
    <row r="66" spans="7:10" x14ac:dyDescent="0.2">
      <c r="G66" s="9"/>
      <c r="H66" s="9"/>
      <c r="I66" s="9"/>
      <c r="J66" s="9"/>
    </row>
  </sheetData>
  <sortState xmlns:xlrd2="http://schemas.microsoft.com/office/spreadsheetml/2017/richdata2" ref="M9:N20">
    <sortCondition ref="N10:N21"/>
  </sortState>
  <pageMargins left="0.7" right="0.7" top="1.2" bottom="0.75" header="0.3" footer="0.3"/>
  <pageSetup scale="60" orientation="landscape" useFirstPageNumber="1" r:id="rId1"/>
  <headerFooter alignWithMargins="0">
    <oddHeader>&amp;CRULE 20:10:13:98
STATEMENT O WORKPAPER - Tab &amp;A
South Dakota Jurisdictional Sales by Rate Code
Test Year Ending December 31, 2021
Utility: MidAmerican Energy Company
Docket No. NG22-___
Individual Responsible: Amanda Hosch</oddHeader>
    <oddFooter>&amp;C20:10:13:98
Statement O Workpaper - Tab &amp;A
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50"/>
  </sheetPr>
  <dimension ref="A1:AE88"/>
  <sheetViews>
    <sheetView view="pageLayout" zoomScale="55" zoomScaleNormal="100" zoomScalePageLayoutView="55" workbookViewId="0">
      <selection activeCell="A6" sqref="A6"/>
    </sheetView>
  </sheetViews>
  <sheetFormatPr defaultColWidth="9.140625" defaultRowHeight="12.75" x14ac:dyDescent="0.2"/>
  <cols>
    <col min="1" max="1" width="9.140625" style="81"/>
    <col min="2" max="2" width="5.140625" style="81" customWidth="1"/>
    <col min="3" max="3" width="11.28515625" style="81" customWidth="1"/>
    <col min="4" max="4" width="27.85546875" style="81" customWidth="1"/>
    <col min="5" max="5" width="7.5703125" style="81" customWidth="1"/>
    <col min="6" max="6" width="6.7109375" style="277" bestFit="1" customWidth="1"/>
    <col min="7" max="7" width="17.28515625" style="81" customWidth="1"/>
    <col min="8" max="8" width="19.140625" style="81" customWidth="1"/>
    <col min="9" max="9" width="16.28515625" style="81" customWidth="1"/>
    <col min="10" max="10" width="16.42578125" style="81" customWidth="1"/>
    <col min="11" max="11" width="22.42578125" style="81" customWidth="1"/>
    <col min="12" max="12" width="14.42578125" style="81" customWidth="1"/>
    <col min="13" max="13" width="16.42578125" style="81" customWidth="1"/>
    <col min="14" max="14" width="13.7109375" style="81" customWidth="1"/>
    <col min="15" max="15" width="14.85546875" style="81" customWidth="1"/>
    <col min="16" max="16" width="15" style="81" customWidth="1"/>
    <col min="17" max="17" width="13.85546875" style="81" customWidth="1"/>
    <col min="18" max="18" width="12.85546875" style="81" customWidth="1"/>
    <col min="19" max="19" width="12.28515625" style="81" bestFit="1" customWidth="1"/>
    <col min="20" max="20" width="12.42578125" style="81" customWidth="1"/>
    <col min="21" max="21" width="14" style="81" customWidth="1"/>
    <col min="22" max="25" width="9.140625" style="81"/>
    <col min="26" max="26" width="14" style="81" customWidth="1"/>
    <col min="27" max="27" width="10.28515625" style="81" bestFit="1" customWidth="1"/>
    <col min="28" max="28" width="14" style="81" bestFit="1" customWidth="1"/>
    <col min="29" max="16384" width="9.140625" style="81"/>
  </cols>
  <sheetData>
    <row r="1" spans="1:21" x14ac:dyDescent="0.2">
      <c r="A1" s="63" t="s">
        <v>615</v>
      </c>
    </row>
    <row r="2" spans="1:21" x14ac:dyDescent="0.2">
      <c r="A2" s="63" t="s">
        <v>660</v>
      </c>
    </row>
    <row r="3" spans="1:21" x14ac:dyDescent="0.2">
      <c r="A3" s="63" t="s">
        <v>617</v>
      </c>
    </row>
    <row r="4" spans="1:21" x14ac:dyDescent="0.2">
      <c r="A4" s="63"/>
    </row>
    <row r="5" spans="1:21" x14ac:dyDescent="0.2">
      <c r="K5" s="41" t="s">
        <v>111</v>
      </c>
    </row>
    <row r="6" spans="1:21" x14ac:dyDescent="0.2">
      <c r="A6" s="63" t="s">
        <v>10</v>
      </c>
      <c r="E6" s="64" t="s">
        <v>618</v>
      </c>
      <c r="F6" s="64"/>
      <c r="G6" s="64"/>
      <c r="H6" s="41" t="s">
        <v>661</v>
      </c>
      <c r="I6" s="41" t="s">
        <v>662</v>
      </c>
      <c r="J6" s="41" t="s">
        <v>663</v>
      </c>
      <c r="K6" s="63" t="s">
        <v>664</v>
      </c>
      <c r="L6" s="41" t="s">
        <v>107</v>
      </c>
      <c r="M6" s="41" t="s">
        <v>120</v>
      </c>
      <c r="N6" s="41"/>
      <c r="O6" s="41" t="s">
        <v>665</v>
      </c>
      <c r="P6" s="41" t="s">
        <v>109</v>
      </c>
      <c r="Q6" s="41" t="s">
        <v>621</v>
      </c>
      <c r="R6" s="41" t="s">
        <v>622</v>
      </c>
    </row>
    <row r="7" spans="1:21" x14ac:dyDescent="0.2">
      <c r="A7" s="40" t="s">
        <v>1098</v>
      </c>
      <c r="B7" s="65" t="s">
        <v>623</v>
      </c>
      <c r="C7" s="79" t="s">
        <v>624</v>
      </c>
      <c r="D7" s="79" t="s">
        <v>625</v>
      </c>
      <c r="E7" s="65" t="s">
        <v>349</v>
      </c>
      <c r="F7" s="65" t="s">
        <v>626</v>
      </c>
      <c r="G7" s="66" t="s">
        <v>387</v>
      </c>
      <c r="H7" s="38" t="s">
        <v>628</v>
      </c>
      <c r="I7" s="38" t="s">
        <v>628</v>
      </c>
      <c r="J7" s="38" t="s">
        <v>628</v>
      </c>
      <c r="K7" s="38" t="s">
        <v>666</v>
      </c>
      <c r="L7" s="38" t="s">
        <v>123</v>
      </c>
      <c r="M7" s="38" t="s">
        <v>142</v>
      </c>
      <c r="N7" s="38" t="s">
        <v>338</v>
      </c>
      <c r="O7" s="38" t="s">
        <v>622</v>
      </c>
      <c r="P7" s="38" t="s">
        <v>622</v>
      </c>
      <c r="Q7" s="38" t="s">
        <v>131</v>
      </c>
      <c r="R7" s="38" t="s">
        <v>387</v>
      </c>
    </row>
    <row r="8" spans="1:21" x14ac:dyDescent="0.2">
      <c r="B8" s="52" t="s">
        <v>24</v>
      </c>
      <c r="C8" s="52" t="s">
        <v>25</v>
      </c>
      <c r="D8" s="52" t="s">
        <v>26</v>
      </c>
      <c r="E8" s="52" t="s">
        <v>27</v>
      </c>
      <c r="F8" s="277" t="s">
        <v>28</v>
      </c>
      <c r="G8" s="52" t="s">
        <v>29</v>
      </c>
      <c r="H8" s="52" t="s">
        <v>30</v>
      </c>
      <c r="I8" s="52" t="s">
        <v>31</v>
      </c>
      <c r="J8" s="52" t="s">
        <v>32</v>
      </c>
      <c r="K8" s="52" t="s">
        <v>33</v>
      </c>
      <c r="L8" s="52" t="s">
        <v>34</v>
      </c>
      <c r="M8" s="52" t="s">
        <v>35</v>
      </c>
      <c r="N8" s="52" t="s">
        <v>36</v>
      </c>
      <c r="O8" s="52" t="s">
        <v>37</v>
      </c>
      <c r="P8" s="52" t="s">
        <v>38</v>
      </c>
      <c r="Q8" s="52" t="s">
        <v>152</v>
      </c>
      <c r="R8" s="277" t="s">
        <v>153</v>
      </c>
      <c r="S8" s="52"/>
    </row>
    <row r="9" spans="1:21" x14ac:dyDescent="0.2">
      <c r="B9" s="78"/>
      <c r="C9" s="78"/>
      <c r="D9" s="78"/>
      <c r="E9" s="78"/>
      <c r="F9" s="78"/>
      <c r="G9" s="64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21" x14ac:dyDescent="0.2">
      <c r="A10" s="278">
        <v>1</v>
      </c>
      <c r="B10" s="279">
        <v>400</v>
      </c>
      <c r="C10" s="279">
        <v>480011</v>
      </c>
      <c r="D10" s="279" t="s">
        <v>667</v>
      </c>
      <c r="E10" s="280"/>
      <c r="F10" s="80"/>
      <c r="G10" s="281">
        <v>28161.09</v>
      </c>
      <c r="H10" s="267">
        <v>0</v>
      </c>
      <c r="I10" s="267">
        <v>0</v>
      </c>
      <c r="J10" s="267">
        <v>0</v>
      </c>
      <c r="K10" s="267">
        <f>-G10</f>
        <v>-28161.09</v>
      </c>
      <c r="L10" s="267">
        <v>0</v>
      </c>
      <c r="M10" s="267">
        <v>0</v>
      </c>
      <c r="N10" s="267">
        <f>G10+H10+I10+J10+L10+M10+K10</f>
        <v>0</v>
      </c>
      <c r="O10" s="267">
        <v>0</v>
      </c>
      <c r="P10" s="267">
        <v>0</v>
      </c>
      <c r="Q10" s="282"/>
      <c r="R10" s="282">
        <f>N10-O10-P10</f>
        <v>0</v>
      </c>
      <c r="T10" s="145"/>
      <c r="U10" s="145"/>
    </row>
    <row r="11" spans="1:21" x14ac:dyDescent="0.2">
      <c r="A11" s="278">
        <f>A10+1</f>
        <v>2</v>
      </c>
      <c r="B11" s="279">
        <v>400</v>
      </c>
      <c r="C11" s="279">
        <v>480011</v>
      </c>
      <c r="D11" s="279" t="s">
        <v>667</v>
      </c>
      <c r="E11" s="280" t="s">
        <v>631</v>
      </c>
      <c r="F11" s="80">
        <v>1</v>
      </c>
      <c r="G11" s="281">
        <v>211893.74999999997</v>
      </c>
      <c r="H11" s="267">
        <f>Q11/SUM($Q$11:$Q$12)*$G$13</f>
        <v>-455.0854447194472</v>
      </c>
      <c r="I11" s="267">
        <f>'SRC-3 (S.D. Riders)'!F6</f>
        <v>0.52849961449498861</v>
      </c>
      <c r="J11" s="267">
        <f>'SRC-3 (S.D. Riders)'!G6</f>
        <v>24948.256566561671</v>
      </c>
      <c r="K11" s="267">
        <f>$G$10*P11/SUM($P$11:$P$12)</f>
        <v>104.13833836403749</v>
      </c>
      <c r="L11" s="283">
        <f>G11/SUM($G$11:$G$12)*297617</f>
        <v>1068.166004485774</v>
      </c>
      <c r="M11" s="267">
        <v>0</v>
      </c>
      <c r="N11" s="267">
        <f>G11+H11+I11+J11+L11+M11+K11</f>
        <v>237559.75396430652</v>
      </c>
      <c r="O11" s="267">
        <f>'SRC-3 (S.D. Riders)'!H6</f>
        <v>8.4996144949885943E-3</v>
      </c>
      <c r="P11" s="267">
        <f>'SRC-3 (S.D. Riders)'!I6</f>
        <v>171005.21656656169</v>
      </c>
      <c r="Q11" s="282">
        <f>-('SRC-5 (Monthly Sales)'!U7+'SRC-5 (Monthly Sales)'!V7)</f>
        <v>60769.569999999992</v>
      </c>
      <c r="R11" s="282">
        <f>N11-O11-P11</f>
        <v>66554.528898130346</v>
      </c>
      <c r="T11" s="145"/>
      <c r="U11" s="145"/>
    </row>
    <row r="12" spans="1:21" x14ac:dyDescent="0.2">
      <c r="A12" s="278">
        <f t="shared" ref="A12:A55" si="0">A11+1</f>
        <v>3</v>
      </c>
      <c r="B12" s="279">
        <v>400</v>
      </c>
      <c r="C12" s="279">
        <v>480011</v>
      </c>
      <c r="D12" s="279" t="s">
        <v>667</v>
      </c>
      <c r="E12" s="280" t="s">
        <v>632</v>
      </c>
      <c r="F12" s="80">
        <v>1</v>
      </c>
      <c r="G12" s="281">
        <v>58826852.969999991</v>
      </c>
      <c r="H12" s="267">
        <f>Q12/SUM($Q$11:$Q$12)*$G$13</f>
        <v>-134074.96455528055</v>
      </c>
      <c r="I12" s="267">
        <f>'SRC-3 (S.D. Riders)'!F7</f>
        <v>-66.438499614494987</v>
      </c>
      <c r="J12" s="267">
        <f>'SRC-3 (S.D. Riders)'!G7</f>
        <v>6721559.4134334382</v>
      </c>
      <c r="K12" s="267">
        <f>$G$10*P12/SUM($P$11:$P$12)</f>
        <v>28056.951661635961</v>
      </c>
      <c r="L12" s="283">
        <f>G12/SUM($G$11:$G$12)*297617</f>
        <v>296548.8339955142</v>
      </c>
      <c r="M12" s="283">
        <v>595289</v>
      </c>
      <c r="N12" s="267">
        <f>G12+H12+I12+J12+L12+M12+K12</f>
        <v>66334165.766035691</v>
      </c>
      <c r="O12" s="267">
        <f>'SRC-3 (S.D. Riders)'!H7</f>
        <v>-1.0684996144950105</v>
      </c>
      <c r="P12" s="267">
        <f>'SRC-3 (S.D. Riders)'!I7</f>
        <v>46072226.333433442</v>
      </c>
      <c r="Q12" s="282">
        <f>-('SRC-5 (Monthly Sales)'!U8+'SRC-5 (Monthly Sales)'!V8)</f>
        <v>17903622.359999999</v>
      </c>
      <c r="R12" s="282">
        <f>N12-O12-P12</f>
        <v>20261940.501101866</v>
      </c>
      <c r="T12" s="145"/>
      <c r="U12" s="145"/>
    </row>
    <row r="13" spans="1:21" x14ac:dyDescent="0.2">
      <c r="A13" s="278">
        <f t="shared" si="0"/>
        <v>4</v>
      </c>
      <c r="B13" s="279">
        <v>400</v>
      </c>
      <c r="C13" s="279">
        <v>480021</v>
      </c>
      <c r="D13" s="279" t="s">
        <v>668</v>
      </c>
      <c r="E13" s="280"/>
      <c r="F13" s="80"/>
      <c r="G13" s="281">
        <v>-134530.04999999999</v>
      </c>
      <c r="H13" s="267">
        <f>-G13</f>
        <v>134530.04999999999</v>
      </c>
      <c r="I13" s="267">
        <v>0</v>
      </c>
      <c r="J13" s="267">
        <v>0</v>
      </c>
      <c r="K13" s="267">
        <v>0</v>
      </c>
      <c r="L13" s="267">
        <v>0</v>
      </c>
      <c r="M13" s="267">
        <v>0</v>
      </c>
      <c r="N13" s="267">
        <f t="shared" ref="N13:N56" si="1">G13+H13+I13+J13+L13+M13+K13</f>
        <v>0</v>
      </c>
      <c r="O13" s="267">
        <v>0</v>
      </c>
      <c r="P13" s="267">
        <v>0</v>
      </c>
      <c r="Q13" s="282"/>
      <c r="R13" s="282">
        <f t="shared" ref="R13:R56" si="2">N13-O13-P13</f>
        <v>0</v>
      </c>
      <c r="T13" s="145"/>
      <c r="U13" s="145"/>
    </row>
    <row r="14" spans="1:21" x14ac:dyDescent="0.2">
      <c r="A14" s="278">
        <f t="shared" si="0"/>
        <v>5</v>
      </c>
      <c r="B14" s="279">
        <v>400</v>
      </c>
      <c r="C14" s="279">
        <v>480041</v>
      </c>
      <c r="D14" s="279" t="s">
        <v>669</v>
      </c>
      <c r="E14" s="280"/>
      <c r="F14" s="80"/>
      <c r="G14" s="281">
        <v>6746507.6699999999</v>
      </c>
      <c r="H14" s="267">
        <v>0</v>
      </c>
      <c r="I14" s="267">
        <v>0</v>
      </c>
      <c r="J14" s="267">
        <f>-G14</f>
        <v>-6746507.6699999999</v>
      </c>
      <c r="K14" s="267">
        <v>0</v>
      </c>
      <c r="L14" s="267">
        <v>0</v>
      </c>
      <c r="M14" s="267">
        <v>0</v>
      </c>
      <c r="N14" s="267">
        <f t="shared" si="1"/>
        <v>0</v>
      </c>
      <c r="O14" s="267">
        <v>0</v>
      </c>
      <c r="P14" s="267">
        <v>0</v>
      </c>
      <c r="Q14" s="282"/>
      <c r="R14" s="282">
        <f t="shared" si="2"/>
        <v>0</v>
      </c>
      <c r="T14" s="145"/>
      <c r="U14" s="145"/>
    </row>
    <row r="15" spans="1:21" x14ac:dyDescent="0.2">
      <c r="A15" s="278">
        <f t="shared" si="0"/>
        <v>6</v>
      </c>
      <c r="B15" s="279">
        <v>400</v>
      </c>
      <c r="C15" s="279">
        <v>480042</v>
      </c>
      <c r="D15" s="279" t="s">
        <v>670</v>
      </c>
      <c r="E15" s="280"/>
      <c r="F15" s="80"/>
      <c r="G15" s="281">
        <v>-65.91</v>
      </c>
      <c r="H15" s="267">
        <v>0</v>
      </c>
      <c r="I15" s="267">
        <f>-G15</f>
        <v>65.91</v>
      </c>
      <c r="J15" s="267">
        <v>0</v>
      </c>
      <c r="K15" s="267">
        <v>0</v>
      </c>
      <c r="L15" s="267">
        <v>0</v>
      </c>
      <c r="M15" s="267">
        <v>0</v>
      </c>
      <c r="N15" s="267">
        <f t="shared" si="1"/>
        <v>0</v>
      </c>
      <c r="O15" s="267">
        <v>0</v>
      </c>
      <c r="P15" s="267">
        <v>0</v>
      </c>
      <c r="Q15" s="282"/>
      <c r="R15" s="282">
        <f t="shared" si="2"/>
        <v>0</v>
      </c>
      <c r="T15" s="145"/>
      <c r="U15" s="145"/>
    </row>
    <row r="16" spans="1:21" x14ac:dyDescent="0.2">
      <c r="A16" s="278">
        <f t="shared" si="0"/>
        <v>7</v>
      </c>
      <c r="B16" s="279">
        <v>400</v>
      </c>
      <c r="C16" s="279">
        <v>481011</v>
      </c>
      <c r="D16" s="279" t="s">
        <v>671</v>
      </c>
      <c r="E16" s="280"/>
      <c r="F16" s="80"/>
      <c r="G16" s="281">
        <v>18972.14</v>
      </c>
      <c r="H16" s="267">
        <v>0</v>
      </c>
      <c r="I16" s="267">
        <f>'SRC-3 (S.D. Riders)'!F14</f>
        <v>0</v>
      </c>
      <c r="J16" s="267">
        <v>0</v>
      </c>
      <c r="K16" s="267">
        <f>-G16</f>
        <v>-18972.14</v>
      </c>
      <c r="L16" s="267">
        <v>0</v>
      </c>
      <c r="M16" s="267">
        <v>0</v>
      </c>
      <c r="N16" s="267">
        <f t="shared" si="1"/>
        <v>0</v>
      </c>
      <c r="O16" s="267">
        <v>0</v>
      </c>
      <c r="P16" s="267">
        <v>0</v>
      </c>
      <c r="Q16" s="282"/>
      <c r="R16" s="282">
        <f t="shared" si="2"/>
        <v>0</v>
      </c>
      <c r="T16" s="145"/>
      <c r="U16" s="145"/>
    </row>
    <row r="17" spans="1:21" x14ac:dyDescent="0.2">
      <c r="A17" s="278">
        <f t="shared" si="0"/>
        <v>8</v>
      </c>
      <c r="B17" s="279">
        <v>400</v>
      </c>
      <c r="C17" s="279">
        <v>481011</v>
      </c>
      <c r="D17" s="279" t="s">
        <v>671</v>
      </c>
      <c r="E17" s="280" t="s">
        <v>635</v>
      </c>
      <c r="F17" s="80">
        <v>3</v>
      </c>
      <c r="G17" s="281">
        <v>388732.77</v>
      </c>
      <c r="H17" s="267">
        <f>Q17/SUM($Q$17:$Q$22)*$G$23</f>
        <v>-887.83249929138401</v>
      </c>
      <c r="I17" s="267">
        <f>'SRC-3 (S.D. Riders)'!F11</f>
        <v>0</v>
      </c>
      <c r="J17" s="267">
        <f>'SRC-3 (S.D. Riders)'!G11</f>
        <v>58779.831937251882</v>
      </c>
      <c r="K17" s="267">
        <f>$G$16*P17/SUM($P$17:$P$22)</f>
        <v>251.8871482539443</v>
      </c>
      <c r="L17" s="283">
        <f>(G17/SUM(G$17:G$22))*93096</f>
        <v>1095.9152047774367</v>
      </c>
      <c r="M17" s="267">
        <v>0</v>
      </c>
      <c r="N17" s="267">
        <f>G17+H17+I17+J17+L17+M17+K17</f>
        <v>447972.57179099193</v>
      </c>
      <c r="O17" s="267">
        <f>'SRC-3 (S.D. Riders)'!F11</f>
        <v>0</v>
      </c>
      <c r="P17" s="267">
        <f>'SRC-3 (S.D. Riders)'!I11</f>
        <v>416006.6419372519</v>
      </c>
      <c r="Q17" s="282">
        <f>-('SRC-5 (Monthly Sales)'!U10+'SRC-5 (Monthly Sales)'!V10)</f>
        <v>76440.27</v>
      </c>
      <c r="R17" s="282">
        <f t="shared" si="2"/>
        <v>31965.929853740032</v>
      </c>
      <c r="T17" s="145"/>
      <c r="U17" s="145"/>
    </row>
    <row r="18" spans="1:21" x14ac:dyDescent="0.2">
      <c r="A18" s="278">
        <f t="shared" si="0"/>
        <v>9</v>
      </c>
      <c r="B18" s="279">
        <v>400</v>
      </c>
      <c r="C18" s="279">
        <v>481011</v>
      </c>
      <c r="D18" s="279" t="s">
        <v>671</v>
      </c>
      <c r="E18" s="280" t="s">
        <v>636</v>
      </c>
      <c r="F18" s="80">
        <v>2</v>
      </c>
      <c r="G18" s="281">
        <v>18263531.830000002</v>
      </c>
      <c r="H18" s="267">
        <f t="shared" ref="H18:H22" si="3">Q18/SUM($Q$17:$Q$22)*$G$23</f>
        <v>-62117.285710152712</v>
      </c>
      <c r="I18" s="267">
        <f>'SRC-3 (S.D. Riders)'!F12</f>
        <v>68.341663302381917</v>
      </c>
      <c r="J18" s="267">
        <f>'SRC-3 (S.D. Riders)'!G12</f>
        <v>2578384.8409384601</v>
      </c>
      <c r="K18" s="267">
        <f t="shared" ref="K18:K22" si="4">$G$16*P18/SUM($P$17:$P$22)</f>
        <v>11049.061953400893</v>
      </c>
      <c r="L18" s="283">
        <f t="shared" ref="L18:L22" si="5">(G18/SUM(G$17:G$22))*93096</f>
        <v>51488.538579944485</v>
      </c>
      <c r="M18" s="283">
        <v>71592.198999999993</v>
      </c>
      <c r="N18" s="267">
        <f>G18+H18+I18+J18+L18+M18+K18</f>
        <v>20913997.526424956</v>
      </c>
      <c r="O18" s="267">
        <f>'SRC-3 (S.D. Riders)'!H12</f>
        <v>1.4316633023819207</v>
      </c>
      <c r="P18" s="267">
        <f>'SRC-3 (S.D. Riders)'!I12</f>
        <v>18248184.520938464</v>
      </c>
      <c r="Q18" s="282">
        <f>-('SRC-5 (Monthly Sales)'!U11+'SRC-5 (Monthly Sales)'!V11)</f>
        <v>5348150.8000000007</v>
      </c>
      <c r="R18" s="282">
        <f t="shared" si="2"/>
        <v>2665811.5738231912</v>
      </c>
      <c r="T18" s="145"/>
      <c r="U18" s="145"/>
    </row>
    <row r="19" spans="1:21" x14ac:dyDescent="0.2">
      <c r="A19" s="278">
        <f t="shared" si="0"/>
        <v>10</v>
      </c>
      <c r="B19" s="279">
        <v>400</v>
      </c>
      <c r="C19" s="279">
        <v>481011</v>
      </c>
      <c r="D19" s="279" t="s">
        <v>671</v>
      </c>
      <c r="E19" s="280" t="s">
        <v>631</v>
      </c>
      <c r="F19" s="80">
        <v>1</v>
      </c>
      <c r="G19" s="281">
        <v>30711.579999999994</v>
      </c>
      <c r="H19" s="267">
        <f t="shared" si="3"/>
        <v>-60.55846455481278</v>
      </c>
      <c r="I19" s="267">
        <f>'SRC-3 (S.D. Riders)'!F13</f>
        <v>0</v>
      </c>
      <c r="J19" s="267">
        <f>'SRC-3 (S.D. Riders)'!G13</f>
        <v>3711.8537396127372</v>
      </c>
      <c r="K19" s="267">
        <f t="shared" si="4"/>
        <v>15.90627639434015</v>
      </c>
      <c r="L19" s="283">
        <f t="shared" si="5"/>
        <v>86.582068922922602</v>
      </c>
      <c r="M19" s="267">
        <v>0</v>
      </c>
      <c r="N19" s="267">
        <f t="shared" si="1"/>
        <v>34465.363620375181</v>
      </c>
      <c r="O19" s="267">
        <f>'SRC-3 (S.D. Riders)'!F13</f>
        <v>0</v>
      </c>
      <c r="P19" s="267">
        <f>'SRC-3 (S.D. Riders)'!I13</f>
        <v>26270.163739612737</v>
      </c>
      <c r="Q19" s="282">
        <f>-('SRC-5 (Monthly Sales)'!U12+'SRC-5 (Monthly Sales)'!V12)</f>
        <v>5213.9400000000005</v>
      </c>
      <c r="R19" s="282">
        <f t="shared" si="2"/>
        <v>8195.1998807624441</v>
      </c>
      <c r="T19" s="145"/>
      <c r="U19" s="145"/>
    </row>
    <row r="20" spans="1:21" x14ac:dyDescent="0.2">
      <c r="A20" s="278">
        <f t="shared" si="0"/>
        <v>11</v>
      </c>
      <c r="B20" s="279">
        <v>400</v>
      </c>
      <c r="C20" s="279">
        <v>481011</v>
      </c>
      <c r="D20" s="279" t="s">
        <v>671</v>
      </c>
      <c r="E20" s="280" t="s">
        <v>637</v>
      </c>
      <c r="F20" s="80">
        <v>1</v>
      </c>
      <c r="G20" s="281">
        <v>17911.680000000004</v>
      </c>
      <c r="H20" s="267">
        <f t="shared" si="3"/>
        <v>16.981769149807288</v>
      </c>
      <c r="I20" s="267">
        <f>'SRC-3 (S.D. Riders)'!F14</f>
        <v>0</v>
      </c>
      <c r="J20" s="267">
        <f>'SRC-3 (S.D. Riders)'!G14</f>
        <v>2588.0765852693248</v>
      </c>
      <c r="K20" s="267">
        <f t="shared" si="4"/>
        <v>11.090593644810181</v>
      </c>
      <c r="L20" s="283">
        <f t="shared" si="5"/>
        <v>50.496598100304027</v>
      </c>
      <c r="M20" s="267">
        <v>0</v>
      </c>
      <c r="N20" s="267">
        <f t="shared" si="1"/>
        <v>20578.325546164251</v>
      </c>
      <c r="O20" s="267">
        <f>'SRC-3 (S.D. Riders)'!F14</f>
        <v>0</v>
      </c>
      <c r="P20" s="267">
        <f>'SRC-3 (S.D. Riders)'!I14</f>
        <v>18316.776585269326</v>
      </c>
      <c r="Q20" s="282">
        <f>-('SRC-5 (Monthly Sales)'!U13+'SRC-5 (Monthly Sales)'!V13)</f>
        <v>-1462.09</v>
      </c>
      <c r="R20" s="282">
        <f t="shared" si="2"/>
        <v>2261.5489608949247</v>
      </c>
      <c r="T20" s="145"/>
      <c r="U20" s="145"/>
    </row>
    <row r="21" spans="1:21" x14ac:dyDescent="0.2">
      <c r="A21" s="278">
        <f t="shared" si="0"/>
        <v>12</v>
      </c>
      <c r="B21" s="279">
        <v>400</v>
      </c>
      <c r="C21" s="279">
        <v>481011</v>
      </c>
      <c r="D21" s="279" t="s">
        <v>671</v>
      </c>
      <c r="E21" s="280" t="s">
        <v>638</v>
      </c>
      <c r="F21" s="80">
        <v>1</v>
      </c>
      <c r="G21" s="281">
        <v>73365.55</v>
      </c>
      <c r="H21" s="267">
        <f t="shared" si="3"/>
        <v>-59.082930249269666</v>
      </c>
      <c r="I21" s="267">
        <f>'SRC-3 (S.D. Riders)'!F15</f>
        <v>0</v>
      </c>
      <c r="J21" s="267">
        <f>'SRC-3 (S.D. Riders)'!G15</f>
        <v>10001.412802586978</v>
      </c>
      <c r="K21" s="267">
        <f t="shared" si="4"/>
        <v>42.858702829287189</v>
      </c>
      <c r="L21" s="283">
        <f t="shared" si="5"/>
        <v>206.83211696266119</v>
      </c>
      <c r="M21" s="267">
        <v>0</v>
      </c>
      <c r="N21" s="267">
        <f t="shared" si="1"/>
        <v>83557.570692129651</v>
      </c>
      <c r="O21" s="267">
        <f>'SRC-3 (S.D. Riders)'!F15</f>
        <v>0</v>
      </c>
      <c r="P21" s="267">
        <f>'SRC-3 (S.D. Riders)'!I15</f>
        <v>70783.70280258698</v>
      </c>
      <c r="Q21" s="282">
        <f>-('SRC-5 (Monthly Sales)'!U14+'SRC-5 (Monthly Sales)'!V14)</f>
        <v>5086.8999999999996</v>
      </c>
      <c r="R21" s="282">
        <f t="shared" si="2"/>
        <v>12773.867889542671</v>
      </c>
      <c r="U21" s="284"/>
    </row>
    <row r="22" spans="1:21" x14ac:dyDescent="0.2">
      <c r="A22" s="278">
        <f t="shared" si="0"/>
        <v>13</v>
      </c>
      <c r="B22" s="279">
        <v>400</v>
      </c>
      <c r="C22" s="279">
        <v>481011</v>
      </c>
      <c r="D22" s="279" t="s">
        <v>671</v>
      </c>
      <c r="E22" s="280" t="s">
        <v>632</v>
      </c>
      <c r="F22" s="80">
        <v>1</v>
      </c>
      <c r="G22" s="281">
        <v>14247887.17</v>
      </c>
      <c r="H22" s="267">
        <f t="shared" si="3"/>
        <v>-56767.502164901503</v>
      </c>
      <c r="I22" s="267">
        <f>'SRC-3 (S.D. Riders)'!F16</f>
        <v>-17.741663302381912</v>
      </c>
      <c r="J22" s="267">
        <f>'SRC-3 (S.D. Riders)'!G16</f>
        <v>1773830.923996819</v>
      </c>
      <c r="K22" s="267">
        <f t="shared" si="4"/>
        <v>7601.3353254767244</v>
      </c>
      <c r="L22" s="283">
        <f t="shared" si="5"/>
        <v>40167.635431292198</v>
      </c>
      <c r="M22" s="283">
        <v>145057</v>
      </c>
      <c r="N22" s="267">
        <f t="shared" si="1"/>
        <v>16157758.820925383</v>
      </c>
      <c r="O22" s="267">
        <f>'SRC-3 (S.D. Riders)'!H16</f>
        <v>-0.37166330238191492</v>
      </c>
      <c r="P22" s="267">
        <f>'SRC-3 (S.D. Riders)'!I16</f>
        <v>12554058.45399682</v>
      </c>
      <c r="Q22" s="282">
        <f>-('SRC-5 (Monthly Sales)'!U15+'SRC-5 (Monthly Sales)'!V15)</f>
        <v>4887547.1399999997</v>
      </c>
      <c r="R22" s="282">
        <f>N22-O22-P22</f>
        <v>3603700.7385918647</v>
      </c>
    </row>
    <row r="23" spans="1:21" x14ac:dyDescent="0.2">
      <c r="A23" s="278">
        <f t="shared" si="0"/>
        <v>14</v>
      </c>
      <c r="B23" s="279">
        <v>400</v>
      </c>
      <c r="C23" s="279">
        <v>481021</v>
      </c>
      <c r="D23" s="279" t="s">
        <v>672</v>
      </c>
      <c r="E23" s="280"/>
      <c r="F23" s="80"/>
      <c r="G23" s="281">
        <v>-119875.27999999988</v>
      </c>
      <c r="H23" s="267">
        <f>-G23</f>
        <v>119875.27999999988</v>
      </c>
      <c r="I23" s="267">
        <f>'SRC-3 (S.D. Riders)'!F21</f>
        <v>0</v>
      </c>
      <c r="J23" s="267">
        <v>0</v>
      </c>
      <c r="K23" s="267">
        <v>0</v>
      </c>
      <c r="L23" s="267">
        <v>0</v>
      </c>
      <c r="M23" s="267">
        <v>0</v>
      </c>
      <c r="N23" s="267">
        <f t="shared" si="1"/>
        <v>0</v>
      </c>
      <c r="O23" s="267">
        <v>0</v>
      </c>
      <c r="P23" s="267">
        <v>0</v>
      </c>
      <c r="Q23" s="282"/>
      <c r="R23" s="282">
        <f t="shared" si="2"/>
        <v>0</v>
      </c>
    </row>
    <row r="24" spans="1:21" x14ac:dyDescent="0.2">
      <c r="A24" s="278">
        <f t="shared" si="0"/>
        <v>15</v>
      </c>
      <c r="B24" s="279">
        <v>400</v>
      </c>
      <c r="C24" s="279">
        <v>481041</v>
      </c>
      <c r="D24" s="279" t="s">
        <v>673</v>
      </c>
      <c r="E24" s="280"/>
      <c r="F24" s="80"/>
      <c r="G24" s="281">
        <v>4427296.9399999995</v>
      </c>
      <c r="H24" s="267">
        <v>0</v>
      </c>
      <c r="I24" s="267">
        <v>0</v>
      </c>
      <c r="J24" s="267">
        <f>-G24</f>
        <v>-4427296.9399999995</v>
      </c>
      <c r="K24" s="267">
        <v>0</v>
      </c>
      <c r="L24" s="267">
        <v>0</v>
      </c>
      <c r="M24" s="267">
        <v>0</v>
      </c>
      <c r="N24" s="267">
        <f t="shared" si="1"/>
        <v>0</v>
      </c>
      <c r="O24" s="267">
        <v>0</v>
      </c>
      <c r="P24" s="267">
        <v>0</v>
      </c>
      <c r="Q24" s="282"/>
      <c r="R24" s="282">
        <f t="shared" si="2"/>
        <v>0</v>
      </c>
    </row>
    <row r="25" spans="1:21" x14ac:dyDescent="0.2">
      <c r="A25" s="278">
        <f t="shared" si="0"/>
        <v>16</v>
      </c>
      <c r="B25" s="279">
        <v>400</v>
      </c>
      <c r="C25" s="279">
        <v>481042</v>
      </c>
      <c r="D25" s="279" t="s">
        <v>674</v>
      </c>
      <c r="E25" s="280"/>
      <c r="F25" s="80"/>
      <c r="G25" s="281">
        <v>50.6</v>
      </c>
      <c r="H25" s="267">
        <v>0</v>
      </c>
      <c r="I25" s="267">
        <f>-G25</f>
        <v>-50.6</v>
      </c>
      <c r="J25" s="267">
        <v>0</v>
      </c>
      <c r="K25" s="267">
        <v>0</v>
      </c>
      <c r="L25" s="267">
        <v>0</v>
      </c>
      <c r="M25" s="267">
        <v>0</v>
      </c>
      <c r="N25" s="267">
        <f t="shared" si="1"/>
        <v>0</v>
      </c>
      <c r="O25" s="267">
        <v>0</v>
      </c>
      <c r="P25" s="267">
        <v>0</v>
      </c>
      <c r="Q25" s="282"/>
      <c r="R25" s="282">
        <f t="shared" si="2"/>
        <v>0</v>
      </c>
    </row>
    <row r="26" spans="1:21" x14ac:dyDescent="0.2">
      <c r="A26" s="278">
        <f t="shared" si="0"/>
        <v>17</v>
      </c>
      <c r="B26" s="279">
        <v>400</v>
      </c>
      <c r="C26" s="279">
        <v>481211</v>
      </c>
      <c r="D26" s="279" t="s">
        <v>675</v>
      </c>
      <c r="E26" s="280"/>
      <c r="F26" s="80"/>
      <c r="G26" s="281">
        <v>627.26</v>
      </c>
      <c r="H26" s="267">
        <v>0</v>
      </c>
      <c r="I26" s="267">
        <v>0</v>
      </c>
      <c r="J26" s="267">
        <v>0</v>
      </c>
      <c r="K26" s="267">
        <f>-G26</f>
        <v>-627.26</v>
      </c>
      <c r="L26" s="267">
        <v>0</v>
      </c>
      <c r="M26" s="267">
        <v>0</v>
      </c>
      <c r="N26" s="267">
        <f t="shared" si="1"/>
        <v>0</v>
      </c>
      <c r="O26" s="267">
        <v>0</v>
      </c>
      <c r="P26" s="267">
        <v>0</v>
      </c>
      <c r="Q26" s="282"/>
      <c r="R26" s="282">
        <f t="shared" si="2"/>
        <v>0</v>
      </c>
    </row>
    <row r="27" spans="1:21" x14ac:dyDescent="0.2">
      <c r="A27" s="278">
        <f t="shared" si="0"/>
        <v>18</v>
      </c>
      <c r="B27" s="279">
        <v>400</v>
      </c>
      <c r="C27" s="279">
        <v>481211</v>
      </c>
      <c r="D27" s="279" t="s">
        <v>675</v>
      </c>
      <c r="E27" s="280" t="s">
        <v>636</v>
      </c>
      <c r="F27" s="80">
        <v>2</v>
      </c>
      <c r="G27" s="281">
        <v>853469.0199999999</v>
      </c>
      <c r="H27" s="267">
        <f>Q27/SUM($Q$27:$Q$29)*$G$33</f>
        <v>-828.62578932862198</v>
      </c>
      <c r="I27" s="267">
        <f>'SRC-3 (S.D. Riders)'!F20</f>
        <v>6.7700000000000005</v>
      </c>
      <c r="J27" s="267">
        <f>'SRC-3 (S.D. Riders)'!G20</f>
        <v>123244.92049812674</v>
      </c>
      <c r="K27" s="267">
        <f>$G$26*P27/SUM($P$27:$P$29)</f>
        <v>555.03883957298967</v>
      </c>
      <c r="L27" s="267">
        <v>0</v>
      </c>
      <c r="M27" s="267">
        <v>0</v>
      </c>
      <c r="N27" s="267">
        <f t="shared" si="1"/>
        <v>976447.12354837114</v>
      </c>
      <c r="O27" s="267">
        <f>'SRC-3 (S.D. Riders)'!H20</f>
        <v>0</v>
      </c>
      <c r="P27" s="267">
        <f>'SRC-3 (S.D. Riders)'!I20</f>
        <v>876879.18049812678</v>
      </c>
      <c r="Q27" s="282">
        <f>-('SRC-5 (Monthly Sales)'!U17+'SRC-5 (Monthly Sales)'!V17)</f>
        <v>278564.89</v>
      </c>
      <c r="R27" s="282">
        <f t="shared" si="2"/>
        <v>99567.943050244357</v>
      </c>
    </row>
    <row r="28" spans="1:21" x14ac:dyDescent="0.2">
      <c r="A28" s="278">
        <f t="shared" si="0"/>
        <v>19</v>
      </c>
      <c r="B28" s="279">
        <v>400</v>
      </c>
      <c r="C28" s="279">
        <v>481211</v>
      </c>
      <c r="D28" s="279" t="s">
        <v>675</v>
      </c>
      <c r="E28" s="280" t="s">
        <v>638</v>
      </c>
      <c r="F28" s="80">
        <v>1</v>
      </c>
      <c r="G28" s="281">
        <v>69255.72</v>
      </c>
      <c r="H28" s="267">
        <f t="shared" ref="H28:H29" si="6">Q28/SUM($Q$27:$Q$29)*$G$33</f>
        <v>-36.575053775046975</v>
      </c>
      <c r="I28" s="267">
        <f>'SRC-3 (S.D. Riders)'!F21</f>
        <v>0</v>
      </c>
      <c r="J28" s="267">
        <f>'SRC-3 (S.D. Riders)'!G21</f>
        <v>8922.5544108934209</v>
      </c>
      <c r="K28" s="267">
        <f t="shared" ref="K28:K29" si="7">$G$26*P28/SUM($P$27:$P$29)</f>
        <v>40.183110397027825</v>
      </c>
      <c r="L28" s="267">
        <v>0</v>
      </c>
      <c r="M28" s="267">
        <v>0</v>
      </c>
      <c r="N28" s="267">
        <f t="shared" si="1"/>
        <v>78181.882467515417</v>
      </c>
      <c r="O28" s="267">
        <f>'SRC-3 (S.D. Riders)'!H21</f>
        <v>0</v>
      </c>
      <c r="P28" s="267">
        <f>'SRC-3 (S.D. Riders)'!I21</f>
        <v>63483.364410893424</v>
      </c>
      <c r="Q28" s="282">
        <f>-('SRC-5 (Monthly Sales)'!U18+'SRC-5 (Monthly Sales)'!V18)</f>
        <v>12295.69</v>
      </c>
      <c r="R28" s="282">
        <f t="shared" si="2"/>
        <v>14698.518056621993</v>
      </c>
    </row>
    <row r="29" spans="1:21" x14ac:dyDescent="0.2">
      <c r="A29" s="278">
        <f t="shared" si="0"/>
        <v>20</v>
      </c>
      <c r="B29" s="279">
        <v>400</v>
      </c>
      <c r="C29" s="279">
        <v>481211</v>
      </c>
      <c r="D29" s="279" t="s">
        <v>675</v>
      </c>
      <c r="E29" s="280" t="s">
        <v>632</v>
      </c>
      <c r="F29" s="80">
        <v>1</v>
      </c>
      <c r="G29" s="281">
        <v>56058.36</v>
      </c>
      <c r="H29" s="267">
        <f t="shared" si="6"/>
        <v>-80.88915689632843</v>
      </c>
      <c r="I29" s="267">
        <f>'SRC-3 (S.D. Riders)'!F22</f>
        <v>-8.2000000000000011</v>
      </c>
      <c r="J29" s="267">
        <f>'SRC-3 (S.D. Riders)'!G22</f>
        <v>7113.9650909798293</v>
      </c>
      <c r="K29" s="267">
        <f t="shared" si="7"/>
        <v>32.038050029982514</v>
      </c>
      <c r="L29" s="267">
        <v>0</v>
      </c>
      <c r="M29" s="267">
        <v>0</v>
      </c>
      <c r="N29" s="267">
        <f t="shared" si="1"/>
        <v>63115.273984113483</v>
      </c>
      <c r="O29" s="267">
        <f>'SRC-3 (S.D. Riders)'!H22</f>
        <v>0</v>
      </c>
      <c r="P29" s="267">
        <f>'SRC-3 (S.D. Riders)'!I22</f>
        <v>50615.375090979833</v>
      </c>
      <c r="Q29" s="282">
        <f>-('SRC-5 (Monthly Sales)'!U19+'SRC-5 (Monthly Sales)'!V19)</f>
        <v>27193.07</v>
      </c>
      <c r="R29" s="282">
        <f t="shared" si="2"/>
        <v>12499.89889313365</v>
      </c>
    </row>
    <row r="30" spans="1:21" x14ac:dyDescent="0.2">
      <c r="A30" s="278">
        <f t="shared" si="0"/>
        <v>21</v>
      </c>
      <c r="B30" s="279">
        <v>400</v>
      </c>
      <c r="C30" s="279">
        <v>481212</v>
      </c>
      <c r="D30" s="279" t="s">
        <v>676</v>
      </c>
      <c r="E30" s="280"/>
      <c r="F30" s="80"/>
      <c r="G30" s="281">
        <v>1792743.04</v>
      </c>
      <c r="H30" s="267">
        <v>0</v>
      </c>
      <c r="I30" s="267">
        <v>0</v>
      </c>
      <c r="J30" s="267">
        <v>0</v>
      </c>
      <c r="K30" s="267">
        <v>0</v>
      </c>
      <c r="L30" s="267">
        <v>0</v>
      </c>
      <c r="M30" s="267">
        <v>0</v>
      </c>
      <c r="N30" s="267">
        <f t="shared" si="1"/>
        <v>1792743.04</v>
      </c>
      <c r="O30" s="267">
        <v>0</v>
      </c>
      <c r="P30" s="283">
        <f>G30</f>
        <v>1792743.04</v>
      </c>
      <c r="Q30" s="282"/>
      <c r="R30" s="282">
        <f t="shared" si="2"/>
        <v>0</v>
      </c>
    </row>
    <row r="31" spans="1:21" x14ac:dyDescent="0.2">
      <c r="A31" s="278">
        <f t="shared" si="0"/>
        <v>22</v>
      </c>
      <c r="B31" s="279">
        <v>400</v>
      </c>
      <c r="C31" s="279">
        <v>481212</v>
      </c>
      <c r="D31" s="279" t="s">
        <v>676</v>
      </c>
      <c r="E31" s="280" t="s">
        <v>644</v>
      </c>
      <c r="F31" s="80">
        <v>3</v>
      </c>
      <c r="G31" s="281">
        <v>19351.75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7">
        <v>0</v>
      </c>
      <c r="N31" s="267">
        <f t="shared" si="1"/>
        <v>19351.75</v>
      </c>
      <c r="O31" s="267">
        <v>0</v>
      </c>
      <c r="P31" s="283">
        <f>G31</f>
        <v>19351.75</v>
      </c>
      <c r="Q31" s="282"/>
      <c r="R31" s="282">
        <f t="shared" si="2"/>
        <v>0</v>
      </c>
    </row>
    <row r="32" spans="1:21" x14ac:dyDescent="0.2">
      <c r="A32" s="278">
        <f t="shared" si="0"/>
        <v>23</v>
      </c>
      <c r="B32" s="279">
        <v>400</v>
      </c>
      <c r="C32" s="279">
        <v>481212</v>
      </c>
      <c r="D32" s="279" t="s">
        <v>676</v>
      </c>
      <c r="E32" s="280" t="s">
        <v>646</v>
      </c>
      <c r="F32" s="80">
        <v>2</v>
      </c>
      <c r="G32" s="281">
        <v>-78.87</v>
      </c>
      <c r="H32" s="267">
        <v>0</v>
      </c>
      <c r="I32" s="267">
        <v>0</v>
      </c>
      <c r="J32" s="267">
        <v>0</v>
      </c>
      <c r="K32" s="267">
        <v>0</v>
      </c>
      <c r="L32" s="267">
        <v>0</v>
      </c>
      <c r="M32" s="267">
        <v>0</v>
      </c>
      <c r="N32" s="267">
        <f>G32+H32+I32+J32+L32+M32+K32</f>
        <v>-78.87</v>
      </c>
      <c r="O32" s="267">
        <v>0</v>
      </c>
      <c r="P32" s="283">
        <f>G32</f>
        <v>-78.87</v>
      </c>
      <c r="Q32" s="282"/>
      <c r="R32" s="282">
        <f t="shared" si="2"/>
        <v>0</v>
      </c>
    </row>
    <row r="33" spans="1:18" x14ac:dyDescent="0.2">
      <c r="A33" s="278">
        <f t="shared" si="0"/>
        <v>24</v>
      </c>
      <c r="B33" s="279">
        <v>400</v>
      </c>
      <c r="C33" s="279">
        <v>481221</v>
      </c>
      <c r="D33" s="279" t="s">
        <v>677</v>
      </c>
      <c r="E33" s="280"/>
      <c r="F33" s="80"/>
      <c r="G33" s="281">
        <v>-946.08999999999742</v>
      </c>
      <c r="H33" s="267">
        <f>-G33</f>
        <v>946.08999999999742</v>
      </c>
      <c r="I33" s="267">
        <v>0</v>
      </c>
      <c r="J33" s="267">
        <v>0</v>
      </c>
      <c r="K33" s="267">
        <v>0</v>
      </c>
      <c r="L33" s="267">
        <v>0</v>
      </c>
      <c r="M33" s="267">
        <v>0</v>
      </c>
      <c r="N33" s="267">
        <f t="shared" si="1"/>
        <v>0</v>
      </c>
      <c r="O33" s="267">
        <v>0</v>
      </c>
      <c r="P33" s="267">
        <v>0</v>
      </c>
      <c r="Q33" s="282"/>
      <c r="R33" s="282">
        <f t="shared" si="2"/>
        <v>0</v>
      </c>
    </row>
    <row r="34" spans="1:18" x14ac:dyDescent="0.2">
      <c r="A34" s="278">
        <f>A33+1</f>
        <v>25</v>
      </c>
      <c r="B34" s="279">
        <v>400</v>
      </c>
      <c r="C34" s="279">
        <v>481241</v>
      </c>
      <c r="D34" s="279" t="s">
        <v>678</v>
      </c>
      <c r="E34" s="280"/>
      <c r="F34" s="80"/>
      <c r="G34" s="281">
        <v>139281.44</v>
      </c>
      <c r="H34" s="267">
        <v>0</v>
      </c>
      <c r="I34" s="267">
        <v>0</v>
      </c>
      <c r="J34" s="267">
        <f>-G34</f>
        <v>-139281.44</v>
      </c>
      <c r="K34" s="267">
        <v>0</v>
      </c>
      <c r="L34" s="267">
        <v>0</v>
      </c>
      <c r="M34" s="267">
        <v>0</v>
      </c>
      <c r="N34" s="267">
        <f t="shared" si="1"/>
        <v>0</v>
      </c>
      <c r="O34" s="267">
        <v>0</v>
      </c>
      <c r="P34" s="267">
        <v>0</v>
      </c>
      <c r="R34" s="282">
        <f t="shared" si="2"/>
        <v>0</v>
      </c>
    </row>
    <row r="35" spans="1:18" x14ac:dyDescent="0.2">
      <c r="A35" s="278">
        <f t="shared" si="0"/>
        <v>26</v>
      </c>
      <c r="B35" s="279">
        <v>400</v>
      </c>
      <c r="C35" s="279">
        <v>481242</v>
      </c>
      <c r="D35" s="279" t="s">
        <v>679</v>
      </c>
      <c r="E35" s="280"/>
      <c r="F35" s="80"/>
      <c r="G35" s="281">
        <v>-1.43</v>
      </c>
      <c r="H35" s="267">
        <v>0</v>
      </c>
      <c r="I35" s="267">
        <f>-G35</f>
        <v>1.43</v>
      </c>
      <c r="J35" s="267">
        <v>0</v>
      </c>
      <c r="K35" s="267">
        <v>0</v>
      </c>
      <c r="L35" s="267">
        <v>0</v>
      </c>
      <c r="M35" s="267">
        <v>0</v>
      </c>
      <c r="N35" s="267">
        <f t="shared" si="1"/>
        <v>0</v>
      </c>
      <c r="O35" s="267">
        <v>0</v>
      </c>
      <c r="P35" s="267">
        <v>0</v>
      </c>
      <c r="R35" s="282">
        <f t="shared" si="2"/>
        <v>0</v>
      </c>
    </row>
    <row r="36" spans="1:18" x14ac:dyDescent="0.2">
      <c r="A36" s="278">
        <f t="shared" si="0"/>
        <v>27</v>
      </c>
      <c r="B36" s="279">
        <v>400</v>
      </c>
      <c r="C36" s="145">
        <v>489007</v>
      </c>
      <c r="D36" s="145" t="s">
        <v>680</v>
      </c>
      <c r="E36" s="280" t="s">
        <v>644</v>
      </c>
      <c r="F36" s="80">
        <v>3</v>
      </c>
      <c r="G36" s="281">
        <v>18255</v>
      </c>
      <c r="H36" s="267"/>
      <c r="I36" s="267"/>
      <c r="J36" s="267"/>
      <c r="K36" s="267"/>
      <c r="L36" s="267"/>
      <c r="M36" s="267"/>
      <c r="N36" s="267">
        <f t="shared" si="1"/>
        <v>18255</v>
      </c>
      <c r="O36" s="267"/>
      <c r="P36" s="267"/>
      <c r="R36" s="282">
        <f t="shared" si="2"/>
        <v>18255</v>
      </c>
    </row>
    <row r="37" spans="1:18" x14ac:dyDescent="0.2">
      <c r="A37" s="278">
        <f t="shared" si="0"/>
        <v>28</v>
      </c>
      <c r="B37" s="279">
        <v>400</v>
      </c>
      <c r="C37" s="145">
        <v>489007</v>
      </c>
      <c r="D37" s="145" t="s">
        <v>680</v>
      </c>
      <c r="E37" s="280" t="s">
        <v>646</v>
      </c>
      <c r="F37" s="80">
        <v>2</v>
      </c>
      <c r="G37" s="281">
        <v>39220</v>
      </c>
      <c r="H37" s="267"/>
      <c r="I37" s="267"/>
      <c r="J37" s="267"/>
      <c r="K37" s="267"/>
      <c r="L37" s="267"/>
      <c r="M37" s="267"/>
      <c r="N37" s="267">
        <f t="shared" si="1"/>
        <v>39220</v>
      </c>
      <c r="O37" s="267"/>
      <c r="P37" s="267"/>
      <c r="R37" s="282">
        <f t="shared" si="2"/>
        <v>39220</v>
      </c>
    </row>
    <row r="38" spans="1:18" x14ac:dyDescent="0.2">
      <c r="A38" s="278">
        <f t="shared" si="0"/>
        <v>29</v>
      </c>
      <c r="B38" s="279">
        <v>400</v>
      </c>
      <c r="C38" s="145">
        <v>489007</v>
      </c>
      <c r="D38" s="145" t="s">
        <v>680</v>
      </c>
      <c r="E38" s="280" t="s">
        <v>648</v>
      </c>
      <c r="F38" s="80">
        <v>1</v>
      </c>
      <c r="G38" s="281">
        <v>110</v>
      </c>
      <c r="H38" s="267"/>
      <c r="I38" s="267"/>
      <c r="J38" s="267"/>
      <c r="K38" s="267"/>
      <c r="L38" s="267"/>
      <c r="M38" s="267"/>
      <c r="N38" s="267">
        <f t="shared" si="1"/>
        <v>110</v>
      </c>
      <c r="O38" s="267"/>
      <c r="P38" s="267"/>
      <c r="R38" s="282">
        <f t="shared" si="2"/>
        <v>110</v>
      </c>
    </row>
    <row r="39" spans="1:18" x14ac:dyDescent="0.2">
      <c r="A39" s="278">
        <f>A38+1</f>
        <v>30</v>
      </c>
      <c r="B39" s="279">
        <v>400</v>
      </c>
      <c r="C39" s="279">
        <v>489011</v>
      </c>
      <c r="D39" s="279" t="s">
        <v>681</v>
      </c>
      <c r="E39" s="280" t="s">
        <v>644</v>
      </c>
      <c r="F39" s="80">
        <v>3</v>
      </c>
      <c r="G39" s="281">
        <v>24400</v>
      </c>
      <c r="H39" s="267">
        <v>0</v>
      </c>
      <c r="I39" s="267">
        <v>0</v>
      </c>
      <c r="J39" s="267">
        <v>0</v>
      </c>
      <c r="K39" s="267">
        <v>0</v>
      </c>
      <c r="L39" s="267">
        <v>0</v>
      </c>
      <c r="M39" s="267">
        <v>0</v>
      </c>
      <c r="N39" s="267">
        <f t="shared" si="1"/>
        <v>24400</v>
      </c>
      <c r="O39" s="267">
        <v>0</v>
      </c>
      <c r="P39" s="267">
        <v>0</v>
      </c>
      <c r="R39" s="282">
        <f t="shared" si="2"/>
        <v>24400</v>
      </c>
    </row>
    <row r="40" spans="1:18" x14ac:dyDescent="0.2">
      <c r="A40" s="278">
        <f t="shared" si="0"/>
        <v>31</v>
      </c>
      <c r="B40" s="279">
        <v>400</v>
      </c>
      <c r="C40" s="279">
        <v>489011</v>
      </c>
      <c r="D40" s="279" t="s">
        <v>681</v>
      </c>
      <c r="E40" s="280" t="s">
        <v>646</v>
      </c>
      <c r="F40" s="80">
        <v>2</v>
      </c>
      <c r="G40" s="281">
        <v>49960</v>
      </c>
      <c r="H40" s="267">
        <v>0</v>
      </c>
      <c r="I40" s="267">
        <v>0</v>
      </c>
      <c r="J40" s="267">
        <v>0</v>
      </c>
      <c r="K40" s="267">
        <v>0</v>
      </c>
      <c r="L40" s="267">
        <v>0</v>
      </c>
      <c r="M40" s="267">
        <v>0</v>
      </c>
      <c r="N40" s="267">
        <f t="shared" si="1"/>
        <v>49960</v>
      </c>
      <c r="O40" s="267">
        <v>0</v>
      </c>
      <c r="P40" s="267">
        <v>0</v>
      </c>
      <c r="R40" s="282">
        <f t="shared" si="2"/>
        <v>49960</v>
      </c>
    </row>
    <row r="41" spans="1:18" x14ac:dyDescent="0.2">
      <c r="A41" s="278">
        <f t="shared" si="0"/>
        <v>32</v>
      </c>
      <c r="B41" s="279">
        <v>400</v>
      </c>
      <c r="C41" s="279">
        <v>489011</v>
      </c>
      <c r="D41" s="279" t="s">
        <v>681</v>
      </c>
      <c r="E41" s="280" t="s">
        <v>648</v>
      </c>
      <c r="F41" s="80">
        <v>1</v>
      </c>
      <c r="G41" s="281">
        <v>55</v>
      </c>
      <c r="H41" s="267">
        <v>0</v>
      </c>
      <c r="I41" s="267">
        <v>0</v>
      </c>
      <c r="J41" s="267">
        <v>0</v>
      </c>
      <c r="K41" s="267">
        <v>0</v>
      </c>
      <c r="L41" s="267">
        <v>0</v>
      </c>
      <c r="M41" s="267">
        <v>0</v>
      </c>
      <c r="N41" s="267">
        <f t="shared" si="1"/>
        <v>55</v>
      </c>
      <c r="O41" s="267">
        <v>0</v>
      </c>
      <c r="P41" s="267">
        <v>0</v>
      </c>
      <c r="R41" s="282">
        <f t="shared" si="2"/>
        <v>55</v>
      </c>
    </row>
    <row r="42" spans="1:18" x14ac:dyDescent="0.2">
      <c r="A42" s="278">
        <f t="shared" si="0"/>
        <v>33</v>
      </c>
      <c r="B42" s="279">
        <v>400</v>
      </c>
      <c r="C42" s="279">
        <v>489015</v>
      </c>
      <c r="D42" s="279" t="s">
        <v>682</v>
      </c>
      <c r="E42" s="280" t="s">
        <v>644</v>
      </c>
      <c r="F42" s="80">
        <v>3</v>
      </c>
      <c r="G42" s="281">
        <v>7625</v>
      </c>
      <c r="H42" s="267">
        <v>0</v>
      </c>
      <c r="I42" s="267">
        <v>0</v>
      </c>
      <c r="J42" s="267">
        <v>0</v>
      </c>
      <c r="K42" s="267">
        <v>0</v>
      </c>
      <c r="L42" s="267">
        <v>0</v>
      </c>
      <c r="M42" s="267">
        <v>0</v>
      </c>
      <c r="N42" s="267">
        <f t="shared" si="1"/>
        <v>7625</v>
      </c>
      <c r="O42" s="267">
        <v>0</v>
      </c>
      <c r="P42" s="267">
        <v>0</v>
      </c>
      <c r="R42" s="282">
        <f t="shared" si="2"/>
        <v>7625</v>
      </c>
    </row>
    <row r="43" spans="1:18" x14ac:dyDescent="0.2">
      <c r="A43" s="278">
        <f t="shared" si="0"/>
        <v>34</v>
      </c>
      <c r="B43" s="279">
        <v>400</v>
      </c>
      <c r="C43" s="279">
        <v>489015</v>
      </c>
      <c r="D43" s="279" t="s">
        <v>682</v>
      </c>
      <c r="E43" s="280" t="s">
        <v>646</v>
      </c>
      <c r="F43" s="80">
        <v>2</v>
      </c>
      <c r="G43" s="281">
        <v>31225</v>
      </c>
      <c r="H43" s="267">
        <v>0</v>
      </c>
      <c r="I43" s="267">
        <v>0</v>
      </c>
      <c r="J43" s="267">
        <v>0</v>
      </c>
      <c r="K43" s="267">
        <v>0</v>
      </c>
      <c r="L43" s="267">
        <v>0</v>
      </c>
      <c r="M43" s="267">
        <v>0</v>
      </c>
      <c r="N43" s="267">
        <f t="shared" si="1"/>
        <v>31225</v>
      </c>
      <c r="O43" s="267">
        <v>0</v>
      </c>
      <c r="P43" s="267">
        <v>0</v>
      </c>
      <c r="R43" s="282">
        <f t="shared" si="2"/>
        <v>31225</v>
      </c>
    </row>
    <row r="44" spans="1:18" x14ac:dyDescent="0.2">
      <c r="A44" s="278">
        <f t="shared" si="0"/>
        <v>35</v>
      </c>
      <c r="B44" s="279">
        <v>400</v>
      </c>
      <c r="C44" s="279">
        <v>489015</v>
      </c>
      <c r="D44" s="279" t="s">
        <v>682</v>
      </c>
      <c r="E44" s="280" t="s">
        <v>648</v>
      </c>
      <c r="F44" s="80">
        <v>1</v>
      </c>
      <c r="G44" s="281">
        <v>275</v>
      </c>
      <c r="H44" s="267">
        <v>0</v>
      </c>
      <c r="I44" s="267">
        <v>0</v>
      </c>
      <c r="J44" s="267">
        <v>0</v>
      </c>
      <c r="K44" s="267">
        <v>0</v>
      </c>
      <c r="L44" s="267">
        <v>0</v>
      </c>
      <c r="M44" s="267">
        <v>0</v>
      </c>
      <c r="N44" s="267">
        <f t="shared" si="1"/>
        <v>275</v>
      </c>
      <c r="O44" s="267">
        <v>0</v>
      </c>
      <c r="P44" s="267">
        <v>0</v>
      </c>
      <c r="R44" s="282">
        <f t="shared" si="2"/>
        <v>275</v>
      </c>
    </row>
    <row r="45" spans="1:18" x14ac:dyDescent="0.2">
      <c r="A45" s="278">
        <f t="shared" si="0"/>
        <v>36</v>
      </c>
      <c r="B45" s="279">
        <v>400</v>
      </c>
      <c r="C45" s="279">
        <v>489042</v>
      </c>
      <c r="D45" s="279" t="s">
        <v>683</v>
      </c>
      <c r="E45" s="280"/>
      <c r="F45" s="80"/>
      <c r="G45" s="281">
        <v>23.159999999999997</v>
      </c>
      <c r="H45" s="267">
        <v>0</v>
      </c>
      <c r="I45" s="267">
        <f>-G45</f>
        <v>-23.159999999999997</v>
      </c>
      <c r="J45" s="267">
        <v>0</v>
      </c>
      <c r="K45" s="267">
        <v>0</v>
      </c>
      <c r="L45" s="267">
        <v>0</v>
      </c>
      <c r="M45" s="267">
        <v>0</v>
      </c>
      <c r="N45" s="267">
        <f t="shared" si="1"/>
        <v>0</v>
      </c>
      <c r="O45" s="267">
        <v>0</v>
      </c>
      <c r="P45" s="267">
        <v>0</v>
      </c>
      <c r="R45" s="282">
        <f t="shared" si="2"/>
        <v>0</v>
      </c>
    </row>
    <row r="46" spans="1:18" x14ac:dyDescent="0.2">
      <c r="A46" s="278">
        <f t="shared" si="0"/>
        <v>37</v>
      </c>
      <c r="B46" s="279">
        <v>400</v>
      </c>
      <c r="C46" s="279">
        <v>489016</v>
      </c>
      <c r="D46" s="279" t="s">
        <v>684</v>
      </c>
      <c r="E46" s="280" t="s">
        <v>644</v>
      </c>
      <c r="F46" s="80">
        <v>3</v>
      </c>
      <c r="G46" s="281">
        <v>105287.8</v>
      </c>
      <c r="H46" s="267"/>
      <c r="I46" s="267"/>
      <c r="J46" s="267"/>
      <c r="K46" s="267"/>
      <c r="L46" s="267"/>
      <c r="M46" s="267"/>
      <c r="N46" s="267">
        <f t="shared" si="1"/>
        <v>105287.8</v>
      </c>
      <c r="O46" s="267"/>
      <c r="P46" s="267"/>
      <c r="R46" s="282">
        <f t="shared" si="2"/>
        <v>105287.8</v>
      </c>
    </row>
    <row r="47" spans="1:18" x14ac:dyDescent="0.2">
      <c r="A47" s="278">
        <f t="shared" si="0"/>
        <v>38</v>
      </c>
      <c r="B47" s="279">
        <v>400</v>
      </c>
      <c r="C47" s="279">
        <v>489017</v>
      </c>
      <c r="D47" s="279" t="s">
        <v>685</v>
      </c>
      <c r="E47" s="280" t="s">
        <v>644</v>
      </c>
      <c r="F47" s="80">
        <v>3</v>
      </c>
      <c r="G47" s="281">
        <v>15204.47</v>
      </c>
      <c r="H47" s="267"/>
      <c r="I47" s="267"/>
      <c r="J47" s="267"/>
      <c r="K47" s="267"/>
      <c r="L47" s="267"/>
      <c r="M47" s="267"/>
      <c r="N47" s="267">
        <f t="shared" si="1"/>
        <v>15204.47</v>
      </c>
      <c r="O47" s="267"/>
      <c r="P47" s="267"/>
      <c r="R47" s="282">
        <f t="shared" si="2"/>
        <v>15204.47</v>
      </c>
    </row>
    <row r="48" spans="1:18" x14ac:dyDescent="0.2">
      <c r="A48" s="278">
        <f t="shared" si="0"/>
        <v>39</v>
      </c>
      <c r="B48" s="279">
        <v>400</v>
      </c>
      <c r="C48" s="279">
        <v>489018</v>
      </c>
      <c r="D48" s="279" t="s">
        <v>686</v>
      </c>
      <c r="E48" s="280" t="s">
        <v>644</v>
      </c>
      <c r="F48" s="80">
        <v>3</v>
      </c>
      <c r="G48" s="281">
        <v>8087.67</v>
      </c>
      <c r="H48" s="267"/>
      <c r="I48" s="267"/>
      <c r="J48" s="267"/>
      <c r="K48" s="267"/>
      <c r="L48" s="267"/>
      <c r="M48" s="267"/>
      <c r="N48" s="267">
        <f t="shared" si="1"/>
        <v>8087.67</v>
      </c>
      <c r="O48" s="267"/>
      <c r="P48" s="267"/>
      <c r="R48" s="282">
        <f t="shared" si="2"/>
        <v>8087.67</v>
      </c>
    </row>
    <row r="49" spans="1:31" x14ac:dyDescent="0.2">
      <c r="A49" s="278">
        <f t="shared" si="0"/>
        <v>40</v>
      </c>
      <c r="B49" s="279">
        <v>400</v>
      </c>
      <c r="C49" s="279">
        <v>489018</v>
      </c>
      <c r="D49" s="279" t="s">
        <v>686</v>
      </c>
      <c r="E49" s="280" t="s">
        <v>646</v>
      </c>
      <c r="F49" s="80">
        <v>2</v>
      </c>
      <c r="G49" s="281">
        <v>26615.3</v>
      </c>
      <c r="H49" s="267"/>
      <c r="I49" s="267"/>
      <c r="J49" s="267"/>
      <c r="K49" s="267"/>
      <c r="L49" s="267"/>
      <c r="M49" s="267"/>
      <c r="N49" s="267">
        <f t="shared" si="1"/>
        <v>26615.3</v>
      </c>
      <c r="O49" s="267"/>
      <c r="P49" s="267"/>
      <c r="R49" s="282">
        <f t="shared" si="2"/>
        <v>26615.3</v>
      </c>
    </row>
    <row r="50" spans="1:31" x14ac:dyDescent="0.2">
      <c r="A50" s="278">
        <f t="shared" si="0"/>
        <v>41</v>
      </c>
      <c r="B50" s="279">
        <v>400</v>
      </c>
      <c r="C50" s="279">
        <v>489018</v>
      </c>
      <c r="D50" s="279" t="s">
        <v>686</v>
      </c>
      <c r="E50" s="280" t="s">
        <v>648</v>
      </c>
      <c r="F50" s="80">
        <v>1</v>
      </c>
      <c r="G50" s="281">
        <v>462</v>
      </c>
      <c r="H50" s="267"/>
      <c r="I50" s="267"/>
      <c r="J50" s="267"/>
      <c r="K50" s="267"/>
      <c r="L50" s="267"/>
      <c r="M50" s="267"/>
      <c r="N50" s="267">
        <f t="shared" si="1"/>
        <v>462</v>
      </c>
      <c r="O50" s="267"/>
      <c r="P50" s="267"/>
      <c r="R50" s="282">
        <f t="shared" si="2"/>
        <v>462</v>
      </c>
    </row>
    <row r="51" spans="1:31" x14ac:dyDescent="0.2">
      <c r="A51" s="278">
        <f>A50+1</f>
        <v>42</v>
      </c>
      <c r="B51" s="279">
        <v>400</v>
      </c>
      <c r="C51" s="279">
        <v>489009</v>
      </c>
      <c r="D51" s="279" t="s">
        <v>687</v>
      </c>
      <c r="E51" s="280"/>
      <c r="F51" s="80"/>
      <c r="G51" s="281">
        <v>53002.379999999976</v>
      </c>
      <c r="H51" s="267">
        <f>-G51</f>
        <v>-53002.379999999976</v>
      </c>
      <c r="I51" s="267">
        <v>0</v>
      </c>
      <c r="J51" s="267">
        <v>0</v>
      </c>
      <c r="K51" s="267">
        <v>0</v>
      </c>
      <c r="L51" s="267">
        <v>0</v>
      </c>
      <c r="M51" s="267">
        <v>0</v>
      </c>
      <c r="N51" s="267">
        <f t="shared" si="1"/>
        <v>0</v>
      </c>
      <c r="O51" s="267">
        <v>0</v>
      </c>
      <c r="P51" s="267">
        <v>0</v>
      </c>
      <c r="Q51" s="73"/>
      <c r="R51" s="282">
        <f t="shared" si="2"/>
        <v>0</v>
      </c>
    </row>
    <row r="52" spans="1:31" x14ac:dyDescent="0.2">
      <c r="A52" s="278">
        <f>A51+1</f>
        <v>43</v>
      </c>
      <c r="B52" s="279">
        <v>400</v>
      </c>
      <c r="C52" s="279">
        <v>489021</v>
      </c>
      <c r="D52" s="279" t="s">
        <v>688</v>
      </c>
      <c r="E52" s="280" t="s">
        <v>645</v>
      </c>
      <c r="F52" s="80">
        <v>2</v>
      </c>
      <c r="G52" s="281">
        <v>965172.12999999989</v>
      </c>
      <c r="H52" s="267">
        <f>Q52/SUM($Q$52:$Q$56)*$G$51</f>
        <v>16558.455901668247</v>
      </c>
      <c r="I52" s="267">
        <f>'SRC-3 (S.D. Riders)'!F31+'SRC-3 (S.D. Riders)'!F41</f>
        <v>33.160000000000004</v>
      </c>
      <c r="J52" s="267">
        <v>0</v>
      </c>
      <c r="K52" s="267">
        <v>0</v>
      </c>
      <c r="L52" s="267">
        <v>0</v>
      </c>
      <c r="M52" s="283">
        <v>40150</v>
      </c>
      <c r="N52" s="267">
        <f t="shared" si="1"/>
        <v>1021913.7459016682</v>
      </c>
      <c r="O52" s="267">
        <f>'SRC-3 (S.D. Riders)'!H31+'SRC-3 (S.D. Riders)'!H36</f>
        <v>0</v>
      </c>
      <c r="P52" s="283">
        <f>75189.69*('SRC-1 (S.D. Sales)'!L27/('SRC-1 (S.D. Sales)'!L27+'SRC-1 (S.D. Sales)'!L29))</f>
        <v>71112.993998925303</v>
      </c>
      <c r="Q52" s="73">
        <f>-('SRC-5 (Monthly Sales)'!U24+'SRC-5 (Monthly Sales)'!V24)</f>
        <v>247096.44</v>
      </c>
      <c r="R52" s="282">
        <f>N52-O52-P52</f>
        <v>950800.75190274289</v>
      </c>
    </row>
    <row r="53" spans="1:31" x14ac:dyDescent="0.2">
      <c r="A53" s="278">
        <f t="shared" si="0"/>
        <v>44</v>
      </c>
      <c r="B53" s="279">
        <v>400</v>
      </c>
      <c r="C53" s="279">
        <v>489021</v>
      </c>
      <c r="D53" s="279" t="s">
        <v>688</v>
      </c>
      <c r="E53" s="280" t="s">
        <v>647</v>
      </c>
      <c r="F53" s="80">
        <v>1</v>
      </c>
      <c r="G53" s="281">
        <v>107835.25000000001</v>
      </c>
      <c r="H53" s="267">
        <f>Q53/SUM($Q$52:$Q$56)*$G$51</f>
        <v>1918.979127084722</v>
      </c>
      <c r="I53" s="267">
        <f>'SRC-3 (S.D. Riders)'!F32+'SRC-3 (S.D. Riders)'!F42</f>
        <v>-10.000000000000002</v>
      </c>
      <c r="J53" s="267">
        <v>0</v>
      </c>
      <c r="K53" s="267">
        <v>0</v>
      </c>
      <c r="L53" s="267">
        <v>0</v>
      </c>
      <c r="M53" s="283">
        <v>4483</v>
      </c>
      <c r="N53" s="267">
        <f t="shared" si="1"/>
        <v>114227.22912708473</v>
      </c>
      <c r="O53" s="267">
        <v>0</v>
      </c>
      <c r="P53" s="283">
        <f>75189.69-P52</f>
        <v>4076.6960010746989</v>
      </c>
      <c r="Q53" s="73">
        <f>-('SRC-5 (Monthly Sales)'!U26+'SRC-5 (Monthly Sales)'!V26)</f>
        <v>28636.3</v>
      </c>
      <c r="R53" s="282">
        <f t="shared" si="2"/>
        <v>110150.53312601004</v>
      </c>
    </row>
    <row r="54" spans="1:31" x14ac:dyDescent="0.2">
      <c r="A54" s="278">
        <f t="shared" si="0"/>
        <v>45</v>
      </c>
      <c r="B54" s="279">
        <v>400</v>
      </c>
      <c r="C54" s="279">
        <v>489022</v>
      </c>
      <c r="D54" s="279" t="s">
        <v>689</v>
      </c>
      <c r="E54" s="280" t="s">
        <v>644</v>
      </c>
      <c r="F54" s="80">
        <v>3</v>
      </c>
      <c r="G54" s="281">
        <v>1173972.1499999999</v>
      </c>
      <c r="H54" s="267">
        <f>Q54/SUM($Q$52:$Q$56)*$G$51</f>
        <v>24847.311483557649</v>
      </c>
      <c r="I54" s="267">
        <v>0</v>
      </c>
      <c r="J54" s="267">
        <v>0</v>
      </c>
      <c r="K54" s="267">
        <v>0</v>
      </c>
      <c r="L54" s="267">
        <v>0</v>
      </c>
      <c r="M54" s="267">
        <v>0</v>
      </c>
      <c r="N54" s="267">
        <f t="shared" si="1"/>
        <v>1198819.4614835575</v>
      </c>
      <c r="O54" s="267">
        <v>0</v>
      </c>
      <c r="P54" s="267">
        <v>0</v>
      </c>
      <c r="Q54" s="73">
        <f>-('SRC-5 (Monthly Sales)'!U22+'SRC-5 (Monthly Sales)'!V22+'SRC-5 (Monthly Sales)'!U23+'SRC-5 (Monthly Sales)'!V23)</f>
        <v>370788.33</v>
      </c>
      <c r="R54" s="282">
        <f t="shared" si="2"/>
        <v>1198819.4614835575</v>
      </c>
    </row>
    <row r="55" spans="1:31" x14ac:dyDescent="0.2">
      <c r="A55" s="278">
        <f t="shared" si="0"/>
        <v>46</v>
      </c>
      <c r="B55" s="279">
        <v>400</v>
      </c>
      <c r="C55" s="279">
        <v>489022</v>
      </c>
      <c r="D55" s="279" t="s">
        <v>689</v>
      </c>
      <c r="E55" s="280" t="s">
        <v>646</v>
      </c>
      <c r="F55" s="80">
        <v>2</v>
      </c>
      <c r="G55" s="281">
        <v>627086.4</v>
      </c>
      <c r="H55" s="267">
        <f>Q55/SUM($Q$52:$Q$56)*$G$51</f>
        <v>9658.1369819524461</v>
      </c>
      <c r="I55" s="267">
        <v>0</v>
      </c>
      <c r="J55" s="267">
        <v>0</v>
      </c>
      <c r="K55" s="267">
        <v>0</v>
      </c>
      <c r="L55" s="267">
        <v>0</v>
      </c>
      <c r="M55" s="283">
        <v>38270</v>
      </c>
      <c r="N55" s="267">
        <f t="shared" si="1"/>
        <v>675014.53698195249</v>
      </c>
      <c r="O55" s="267">
        <v>0</v>
      </c>
      <c r="P55" s="267">
        <v>0</v>
      </c>
      <c r="Q55" s="73">
        <f>-('SRC-5 (Monthly Sales)'!U25+'SRC-5 (Monthly Sales)'!V25)</f>
        <v>144125.23000000001</v>
      </c>
      <c r="R55" s="282">
        <f t="shared" si="2"/>
        <v>675014.53698195249</v>
      </c>
    </row>
    <row r="56" spans="1:31" x14ac:dyDescent="0.2">
      <c r="A56" s="278">
        <f>A55+1</f>
        <v>47</v>
      </c>
      <c r="B56" s="279">
        <v>400</v>
      </c>
      <c r="C56" s="279">
        <v>489022</v>
      </c>
      <c r="D56" s="279" t="s">
        <v>689</v>
      </c>
      <c r="E56" s="280" t="s">
        <v>648</v>
      </c>
      <c r="F56" s="80">
        <v>1</v>
      </c>
      <c r="G56" s="281">
        <v>1788.26</v>
      </c>
      <c r="H56" s="267">
        <f>Q56/SUM($Q$52:$Q$56)*$G$51</f>
        <v>19.496505736915349</v>
      </c>
      <c r="I56" s="267">
        <v>0</v>
      </c>
      <c r="J56" s="267">
        <v>0</v>
      </c>
      <c r="K56" s="267">
        <v>0</v>
      </c>
      <c r="L56" s="267">
        <v>0</v>
      </c>
      <c r="M56" s="283">
        <v>107</v>
      </c>
      <c r="N56" s="267">
        <f t="shared" si="1"/>
        <v>1914.7565057369154</v>
      </c>
      <c r="O56" s="267">
        <v>0</v>
      </c>
      <c r="P56" s="267">
        <v>0</v>
      </c>
      <c r="Q56" s="73">
        <f>-('SRC-5 (Monthly Sales)'!U27+'SRC-5 (Monthly Sales)'!V27)</f>
        <v>290.94</v>
      </c>
      <c r="R56" s="282">
        <f t="shared" si="2"/>
        <v>1914.7565057369154</v>
      </c>
    </row>
    <row r="57" spans="1:31" x14ac:dyDescent="0.2">
      <c r="B57" s="279"/>
      <c r="C57" s="279"/>
      <c r="D57" s="279"/>
      <c r="E57" s="2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Y57" s="145"/>
      <c r="Z57" s="145"/>
      <c r="AA57" s="145"/>
      <c r="AB57" s="145"/>
      <c r="AC57" s="145"/>
      <c r="AD57" s="145"/>
      <c r="AE57" s="145"/>
    </row>
    <row r="58" spans="1:31" ht="13.5" thickBot="1" x14ac:dyDescent="0.25">
      <c r="A58" s="278">
        <f>A56+1</f>
        <v>48</v>
      </c>
      <c r="B58" s="279"/>
      <c r="C58" s="279"/>
      <c r="D58" s="279"/>
      <c r="E58" s="280"/>
      <c r="F58" s="80"/>
      <c r="G58" s="268">
        <f>SUM(G10:G56)</f>
        <v>109212826.66999999</v>
      </c>
      <c r="H58" s="268">
        <f t="shared" ref="H58:Q58" si="8">SUM(H10:H56)</f>
        <v>1.744382416291046E-12</v>
      </c>
      <c r="I58" s="268">
        <f t="shared" si="8"/>
        <v>1.2434497875801753E-14</v>
      </c>
      <c r="J58" s="268">
        <f t="shared" si="8"/>
        <v>9.0221874415874481E-10</v>
      </c>
      <c r="K58" s="268">
        <f t="shared" si="8"/>
        <v>-1.7976731214730535E-12</v>
      </c>
      <c r="L58" s="268">
        <f t="shared" si="8"/>
        <v>390712.99999999994</v>
      </c>
      <c r="M58" s="268">
        <f t="shared" si="8"/>
        <v>894948.19900000002</v>
      </c>
      <c r="N58" s="268">
        <f t="shared" si="8"/>
        <v>110498487.869</v>
      </c>
      <c r="O58" s="268">
        <f t="shared" si="8"/>
        <v>-1.5987211554602254E-14</v>
      </c>
      <c r="P58" s="268">
        <f t="shared" si="8"/>
        <v>80455035.340000004</v>
      </c>
      <c r="Q58" s="268">
        <f t="shared" si="8"/>
        <v>29394359.780000005</v>
      </c>
      <c r="R58" s="268">
        <f>SUM(R10:R56)</f>
        <v>30043452.528999995</v>
      </c>
      <c r="Y58" s="145"/>
      <c r="Z58" s="145"/>
      <c r="AA58" s="145"/>
      <c r="AB58" s="145"/>
      <c r="AC58" s="145"/>
      <c r="AD58" s="145"/>
      <c r="AE58" s="145"/>
    </row>
    <row r="59" spans="1:31" ht="13.5" thickTop="1" x14ac:dyDescent="0.2">
      <c r="A59" s="278"/>
      <c r="B59" s="279"/>
      <c r="C59" s="279"/>
      <c r="D59" s="279"/>
      <c r="E59" s="280"/>
      <c r="F59" s="80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Y59" s="145"/>
      <c r="Z59" s="145"/>
      <c r="AA59" s="145"/>
      <c r="AB59" s="145"/>
      <c r="AC59" s="145"/>
      <c r="AD59" s="145"/>
      <c r="AE59" s="145"/>
    </row>
    <row r="60" spans="1:31" x14ac:dyDescent="0.2">
      <c r="A60" s="278"/>
      <c r="B60" s="279"/>
      <c r="C60" s="279"/>
      <c r="D60" s="279"/>
      <c r="E60" s="280"/>
      <c r="K60" s="68" t="s">
        <v>626</v>
      </c>
      <c r="L60" s="68" t="s">
        <v>690</v>
      </c>
      <c r="N60" s="282"/>
      <c r="Q60" s="68" t="s">
        <v>626</v>
      </c>
      <c r="R60" s="68" t="s">
        <v>690</v>
      </c>
      <c r="Y60" s="145"/>
      <c r="Z60" s="145"/>
      <c r="AA60" s="145"/>
      <c r="AB60" s="145"/>
      <c r="AC60" s="145"/>
      <c r="AD60" s="145"/>
      <c r="AE60" s="145"/>
    </row>
    <row r="61" spans="1:31" x14ac:dyDescent="0.2">
      <c r="A61" s="278">
        <f>A58+1</f>
        <v>49</v>
      </c>
      <c r="B61" s="279"/>
      <c r="C61" s="279"/>
      <c r="D61" s="279"/>
      <c r="E61" s="280"/>
      <c r="K61" s="285">
        <v>1</v>
      </c>
      <c r="L61" s="9">
        <f>SUMIF($F$10:$F$56,K61,L$10:L$56)</f>
        <v>338128.54621527804</v>
      </c>
      <c r="M61" s="282"/>
      <c r="P61" s="282"/>
      <c r="Q61" s="285">
        <v>1</v>
      </c>
      <c r="R61" s="9">
        <f>SUMIF($F$10:$F$56,Q61,R$10:R$56)</f>
        <v>24095592.091904566</v>
      </c>
      <c r="Y61" s="145"/>
      <c r="Z61" s="145"/>
      <c r="AA61" s="145"/>
      <c r="AB61" s="145"/>
      <c r="AC61" s="145"/>
      <c r="AD61" s="145"/>
      <c r="AE61" s="145"/>
    </row>
    <row r="62" spans="1:31" x14ac:dyDescent="0.2">
      <c r="A62" s="278">
        <f>A61+1</f>
        <v>50</v>
      </c>
      <c r="B62" s="279"/>
      <c r="C62" s="279"/>
      <c r="D62" s="279"/>
      <c r="E62" s="280"/>
      <c r="K62" s="285">
        <v>2</v>
      </c>
      <c r="L62" s="9">
        <f>SUMIF($F$10:$F$56,K62,L$10:L$56)</f>
        <v>51488.538579944485</v>
      </c>
      <c r="N62" s="282"/>
      <c r="Q62" s="285">
        <v>2</v>
      </c>
      <c r="R62" s="9">
        <f>SUMIF($F$10:$F$56,Q62,R$10:R$56)</f>
        <v>4538215.1057581306</v>
      </c>
      <c r="Y62" s="145"/>
      <c r="Z62" s="145"/>
      <c r="AA62" s="145"/>
      <c r="AB62" s="145"/>
      <c r="AC62" s="145"/>
      <c r="AD62" s="145"/>
      <c r="AE62" s="145"/>
    </row>
    <row r="63" spans="1:31" x14ac:dyDescent="0.2">
      <c r="A63" s="278">
        <f>A62+1</f>
        <v>51</v>
      </c>
      <c r="B63" s="279"/>
      <c r="C63" s="279"/>
      <c r="D63" s="279"/>
      <c r="E63" s="280"/>
      <c r="F63" s="80"/>
      <c r="K63" s="285">
        <v>3</v>
      </c>
      <c r="L63" s="9">
        <f>SUMIF($F$10:$F$56,K63,L$10:L$56)</f>
        <v>1095.9152047774367</v>
      </c>
      <c r="Q63" s="285">
        <v>3</v>
      </c>
      <c r="R63" s="9">
        <f>SUMIF($F$10:$F$56,Q63,R$10:R$56)</f>
        <v>1409645.3313372976</v>
      </c>
      <c r="Y63" s="145"/>
      <c r="Z63" s="145"/>
      <c r="AA63" s="145"/>
      <c r="AB63" s="145"/>
      <c r="AC63" s="145"/>
      <c r="AD63" s="145"/>
      <c r="AE63" s="145"/>
    </row>
    <row r="64" spans="1:31" x14ac:dyDescent="0.2">
      <c r="F64" s="81"/>
      <c r="Y64" s="145"/>
      <c r="Z64" s="145"/>
      <c r="AA64" s="145"/>
      <c r="AB64" s="145"/>
      <c r="AC64" s="145"/>
      <c r="AD64" s="145"/>
      <c r="AE64" s="145"/>
    </row>
    <row r="65" spans="1:31" x14ac:dyDescent="0.2">
      <c r="A65" s="32" t="s">
        <v>652</v>
      </c>
      <c r="B65" s="32"/>
      <c r="C65" s="32"/>
      <c r="D65" s="32"/>
      <c r="E65" s="52"/>
      <c r="F65" s="52"/>
      <c r="K65" s="81" t="s">
        <v>691</v>
      </c>
      <c r="S65" s="145"/>
      <c r="T65" s="145"/>
      <c r="U65" s="145"/>
      <c r="Y65" s="145"/>
      <c r="Z65" s="145"/>
      <c r="AA65" s="145"/>
      <c r="AB65" s="145"/>
      <c r="AC65" s="145"/>
      <c r="AD65" s="145"/>
      <c r="AE65" s="145"/>
    </row>
    <row r="66" spans="1:31" x14ac:dyDescent="0.2">
      <c r="A66" s="32" t="s">
        <v>692</v>
      </c>
      <c r="B66" s="32"/>
      <c r="C66" s="32"/>
      <c r="D66" s="32"/>
      <c r="E66" s="52"/>
      <c r="F66" s="52"/>
      <c r="K66" s="81" t="s">
        <v>693</v>
      </c>
      <c r="S66" s="145"/>
      <c r="T66" s="145"/>
      <c r="U66" s="145"/>
      <c r="Y66" s="145"/>
      <c r="Z66" s="145"/>
      <c r="AA66" s="145"/>
      <c r="AB66" s="145"/>
      <c r="AC66" s="145"/>
      <c r="AD66" s="145"/>
      <c r="AE66" s="145"/>
    </row>
    <row r="67" spans="1:31" x14ac:dyDescent="0.2">
      <c r="A67" s="32" t="s">
        <v>694</v>
      </c>
      <c r="B67" s="32"/>
      <c r="C67" s="32"/>
      <c r="D67" s="32"/>
      <c r="E67" s="52"/>
      <c r="F67" s="52"/>
      <c r="K67" s="81" t="s">
        <v>695</v>
      </c>
      <c r="S67" s="145"/>
      <c r="T67" s="145"/>
      <c r="U67" s="145"/>
      <c r="Y67" s="145"/>
      <c r="Z67" s="145"/>
      <c r="AA67" s="145"/>
      <c r="AB67" s="145"/>
      <c r="AC67" s="145"/>
      <c r="AD67" s="145"/>
      <c r="AE67" s="145"/>
    </row>
    <row r="68" spans="1:31" x14ac:dyDescent="0.2">
      <c r="A68" s="32" t="s">
        <v>696</v>
      </c>
      <c r="B68" s="32"/>
      <c r="C68" s="32"/>
      <c r="D68" s="32"/>
      <c r="E68" s="52"/>
      <c r="F68" s="52"/>
      <c r="S68" s="145"/>
      <c r="T68" s="145"/>
      <c r="U68" s="145"/>
      <c r="Y68" s="145"/>
      <c r="Z68" s="145"/>
      <c r="AA68" s="145"/>
      <c r="AB68" s="145"/>
      <c r="AC68" s="145"/>
      <c r="AD68" s="145"/>
      <c r="AE68" s="145"/>
    </row>
    <row r="69" spans="1:31" x14ac:dyDescent="0.2">
      <c r="A69" s="32" t="s">
        <v>697</v>
      </c>
      <c r="B69" s="32"/>
      <c r="C69" s="32"/>
      <c r="D69" s="32"/>
      <c r="E69" s="52"/>
      <c r="F69" s="52"/>
      <c r="S69" s="145"/>
      <c r="T69" s="145"/>
      <c r="U69" s="145"/>
      <c r="Y69" s="145"/>
      <c r="Z69" s="145"/>
      <c r="AA69" s="145"/>
      <c r="AB69" s="145"/>
      <c r="AC69" s="145"/>
      <c r="AD69" s="145"/>
      <c r="AE69" s="145"/>
    </row>
    <row r="70" spans="1:31" x14ac:dyDescent="0.2">
      <c r="A70" s="32" t="s">
        <v>698</v>
      </c>
      <c r="B70" s="32"/>
      <c r="C70" s="32"/>
      <c r="D70" s="32"/>
      <c r="E70" s="52"/>
      <c r="F70" s="52"/>
      <c r="S70" s="145"/>
      <c r="T70" s="145"/>
      <c r="U70" s="145"/>
      <c r="Y70" s="145"/>
      <c r="Z70" s="145"/>
      <c r="AA70" s="145"/>
      <c r="AB70" s="145"/>
      <c r="AC70" s="145"/>
      <c r="AD70" s="145"/>
      <c r="AE70" s="145"/>
    </row>
    <row r="71" spans="1:31" x14ac:dyDescent="0.2">
      <c r="A71" s="32" t="s">
        <v>699</v>
      </c>
      <c r="B71" s="32"/>
      <c r="C71" s="32"/>
      <c r="D71" s="32"/>
      <c r="E71" s="52"/>
      <c r="F71" s="52"/>
      <c r="S71" s="145"/>
      <c r="T71" s="145"/>
      <c r="U71" s="145"/>
      <c r="Y71" s="145"/>
      <c r="Z71" s="145"/>
      <c r="AA71" s="145"/>
      <c r="AB71" s="145"/>
      <c r="AC71" s="145"/>
      <c r="AD71" s="145"/>
      <c r="AE71" s="145"/>
    </row>
    <row r="72" spans="1:31" x14ac:dyDescent="0.2">
      <c r="A72" s="32" t="s">
        <v>700</v>
      </c>
      <c r="B72" s="32"/>
      <c r="C72" s="32"/>
      <c r="D72" s="32"/>
      <c r="E72" s="52"/>
      <c r="F72" s="52"/>
      <c r="S72" s="145"/>
      <c r="T72" s="145"/>
      <c r="U72" s="145"/>
      <c r="Y72" s="145"/>
      <c r="Z72" s="145"/>
      <c r="AA72" s="145"/>
      <c r="AB72" s="145"/>
      <c r="AC72" s="145"/>
      <c r="AD72" s="145"/>
      <c r="AE72" s="145"/>
    </row>
    <row r="73" spans="1:31" x14ac:dyDescent="0.2">
      <c r="A73" s="32"/>
      <c r="B73" s="32"/>
      <c r="C73" s="32"/>
      <c r="D73" s="32"/>
      <c r="E73" s="52"/>
      <c r="F73" s="52"/>
      <c r="S73" s="145"/>
      <c r="T73" s="145"/>
      <c r="U73" s="145"/>
      <c r="Y73" s="145"/>
      <c r="Z73" s="145"/>
      <c r="AA73" s="145"/>
      <c r="AB73" s="145"/>
      <c r="AC73" s="145"/>
      <c r="AD73" s="145"/>
      <c r="AE73" s="145"/>
    </row>
    <row r="74" spans="1:31" x14ac:dyDescent="0.2">
      <c r="A74" s="32" t="s">
        <v>701</v>
      </c>
      <c r="B74" s="32"/>
      <c r="C74" s="32"/>
      <c r="D74" s="32"/>
      <c r="E74" s="52"/>
      <c r="F74" s="52"/>
      <c r="S74" s="145"/>
      <c r="T74" s="145"/>
      <c r="U74" s="145"/>
      <c r="Y74" s="145"/>
      <c r="Z74" s="145"/>
      <c r="AA74" s="145"/>
      <c r="AB74" s="145"/>
      <c r="AC74" s="145"/>
      <c r="AD74" s="145"/>
      <c r="AE74" s="145"/>
    </row>
    <row r="75" spans="1:31" x14ac:dyDescent="0.2">
      <c r="A75" s="32"/>
      <c r="B75" s="32"/>
      <c r="C75" s="32"/>
      <c r="D75" s="32"/>
      <c r="E75" s="52"/>
      <c r="F75" s="52"/>
      <c r="S75" s="145"/>
      <c r="T75" s="145"/>
      <c r="U75" s="145"/>
      <c r="Y75" s="145"/>
      <c r="Z75" s="145"/>
      <c r="AA75" s="145"/>
      <c r="AB75" s="145"/>
      <c r="AC75" s="145"/>
      <c r="AD75" s="145"/>
      <c r="AE75" s="145"/>
    </row>
    <row r="76" spans="1:31" x14ac:dyDescent="0.2">
      <c r="A76" s="32"/>
      <c r="B76" s="32" t="s">
        <v>702</v>
      </c>
      <c r="C76" s="32"/>
      <c r="D76" s="32"/>
      <c r="E76" s="52"/>
      <c r="F76" s="52"/>
    </row>
    <row r="77" spans="1:31" x14ac:dyDescent="0.2">
      <c r="A77" s="32"/>
      <c r="B77" s="32"/>
      <c r="C77" s="32"/>
      <c r="D77" s="32"/>
      <c r="E77" s="52"/>
      <c r="F77" s="52"/>
    </row>
    <row r="78" spans="1:31" x14ac:dyDescent="0.2">
      <c r="A78" s="32"/>
      <c r="B78" s="32" t="s">
        <v>703</v>
      </c>
      <c r="C78" s="32"/>
      <c r="D78" s="32"/>
      <c r="E78" s="52"/>
      <c r="F78" s="52"/>
    </row>
    <row r="79" spans="1:31" x14ac:dyDescent="0.2">
      <c r="A79" s="32"/>
      <c r="B79" s="32" t="s">
        <v>704</v>
      </c>
      <c r="C79" s="32"/>
      <c r="D79" s="32"/>
      <c r="E79" s="52"/>
      <c r="F79" s="52"/>
    </row>
    <row r="80" spans="1:31" x14ac:dyDescent="0.2">
      <c r="A80" s="32"/>
      <c r="B80" s="32" t="s">
        <v>705</v>
      </c>
      <c r="C80" s="32"/>
      <c r="D80" s="32"/>
      <c r="E80" s="52"/>
      <c r="F80" s="52"/>
    </row>
    <row r="81" spans="1:6" x14ac:dyDescent="0.2">
      <c r="A81" s="32"/>
      <c r="B81" s="32"/>
      <c r="C81" s="32"/>
      <c r="D81" s="32"/>
      <c r="E81" s="52"/>
      <c r="F81" s="52"/>
    </row>
    <row r="82" spans="1:6" x14ac:dyDescent="0.2">
      <c r="A82" s="32"/>
      <c r="B82" s="32" t="s">
        <v>706</v>
      </c>
      <c r="C82" s="32"/>
      <c r="D82" s="32"/>
      <c r="E82" s="52"/>
      <c r="F82" s="52"/>
    </row>
    <row r="83" spans="1:6" x14ac:dyDescent="0.2">
      <c r="A83" s="32"/>
      <c r="B83" s="32" t="s">
        <v>707</v>
      </c>
      <c r="C83" s="32"/>
      <c r="D83" s="32"/>
      <c r="E83" s="52"/>
      <c r="F83" s="52"/>
    </row>
    <row r="84" spans="1:6" x14ac:dyDescent="0.2">
      <c r="A84" s="32"/>
      <c r="B84" s="32"/>
      <c r="C84" s="32"/>
      <c r="D84" s="32"/>
      <c r="E84" s="52"/>
      <c r="F84" s="52"/>
    </row>
    <row r="85" spans="1:6" x14ac:dyDescent="0.2">
      <c r="A85" s="32"/>
      <c r="B85" s="32" t="s">
        <v>708</v>
      </c>
      <c r="C85" s="32"/>
      <c r="D85" s="32"/>
      <c r="E85" s="52"/>
      <c r="F85" s="52"/>
    </row>
    <row r="86" spans="1:6" x14ac:dyDescent="0.2">
      <c r="A86" s="32"/>
      <c r="B86" s="32"/>
      <c r="C86" s="32"/>
      <c r="D86" s="32"/>
      <c r="E86" s="52"/>
      <c r="F86" s="52"/>
    </row>
    <row r="87" spans="1:6" x14ac:dyDescent="0.2">
      <c r="A87" s="32" t="s">
        <v>709</v>
      </c>
      <c r="B87" s="32"/>
      <c r="C87" s="32"/>
      <c r="D87" s="32"/>
      <c r="E87" s="52"/>
      <c r="F87" s="52"/>
    </row>
    <row r="88" spans="1:6" x14ac:dyDescent="0.2">
      <c r="A88" s="32" t="s">
        <v>710</v>
      </c>
      <c r="B88" s="32"/>
      <c r="C88" s="32"/>
      <c r="D88" s="32"/>
      <c r="E88" s="52"/>
      <c r="F88" s="52"/>
    </row>
  </sheetData>
  <pageMargins left="0.7" right="0.7" top="1.4963541666666667" bottom="0.75" header="0.5" footer="0.25"/>
  <pageSetup scale="65" fitToWidth="2" fitToHeight="2" pageOrder="overThenDown" orientation="landscape" r:id="rId1"/>
  <headerFooter alignWithMargins="0">
    <oddHeader>&amp;CRULE 20:10:13:98
STATEMENT O WORKPAPER - Tab &amp;A
South Dakota Jurisdictional Revenues by Rate Code
Test Year Ending December 31, 2021
Utility: MidAmerican Energy Company
Docket No. NG22-___
Individual Responsible: Amanda Hosch</oddHeader>
    <oddFooter>&amp;C20:10:13:98
Statement O Workpaper - Tab &amp;A
&amp;P of &amp;N</oddFooter>
  </headerFooter>
  <colBreaks count="1" manualBreakCount="1">
    <brk id="10" max="8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50"/>
  </sheetPr>
  <dimension ref="A1:U75"/>
  <sheetViews>
    <sheetView view="pageLayout" zoomScale="70" zoomScaleNormal="100" zoomScalePageLayoutView="70" workbookViewId="0">
      <selection activeCell="A4" sqref="A4"/>
    </sheetView>
  </sheetViews>
  <sheetFormatPr defaultRowHeight="12.75" x14ac:dyDescent="0.2"/>
  <cols>
    <col min="1" max="1" width="6.85546875" style="32" customWidth="1"/>
    <col min="2" max="2" width="28" style="32" customWidth="1"/>
    <col min="3" max="3" width="20.85546875" style="32" customWidth="1"/>
    <col min="4" max="4" width="15.7109375" style="32" customWidth="1"/>
    <col min="5" max="5" width="16.140625" style="32" customWidth="1"/>
    <col min="6" max="6" width="13.85546875" style="32" customWidth="1"/>
    <col min="7" max="7" width="13.5703125" style="32" bestFit="1" customWidth="1"/>
    <col min="8" max="8" width="15" style="32" customWidth="1"/>
    <col min="9" max="9" width="15.42578125" style="32" customWidth="1"/>
    <col min="10" max="10" width="9.140625" style="32"/>
    <col min="11" max="11" width="12.28515625" style="32" customWidth="1"/>
    <col min="12" max="12" width="12.140625" style="32" customWidth="1"/>
    <col min="13" max="251" width="9.140625" style="32"/>
    <col min="252" max="252" width="20.7109375" style="32" bestFit="1" customWidth="1"/>
    <col min="253" max="253" width="37.7109375" style="32" bestFit="1" customWidth="1"/>
    <col min="254" max="254" width="39.140625" style="32" bestFit="1" customWidth="1"/>
    <col min="255" max="255" width="36.5703125" style="32" bestFit="1" customWidth="1"/>
    <col min="256" max="260" width="9.140625" style="32"/>
    <col min="261" max="261" width="10.5703125" style="32" bestFit="1" customWidth="1"/>
    <col min="262" max="507" width="9.140625" style="32"/>
    <col min="508" max="508" width="20.7109375" style="32" bestFit="1" customWidth="1"/>
    <col min="509" max="509" width="37.7109375" style="32" bestFit="1" customWidth="1"/>
    <col min="510" max="510" width="39.140625" style="32" bestFit="1" customWidth="1"/>
    <col min="511" max="511" width="36.5703125" style="32" bestFit="1" customWidth="1"/>
    <col min="512" max="516" width="9.140625" style="32"/>
    <col min="517" max="517" width="10.5703125" style="32" bestFit="1" customWidth="1"/>
    <col min="518" max="763" width="9.140625" style="32"/>
    <col min="764" max="764" width="20.7109375" style="32" bestFit="1" customWidth="1"/>
    <col min="765" max="765" width="37.7109375" style="32" bestFit="1" customWidth="1"/>
    <col min="766" max="766" width="39.140625" style="32" bestFit="1" customWidth="1"/>
    <col min="767" max="767" width="36.5703125" style="32" bestFit="1" customWidth="1"/>
    <col min="768" max="772" width="9.140625" style="32"/>
    <col min="773" max="773" width="10.5703125" style="32" bestFit="1" customWidth="1"/>
    <col min="774" max="1019" width="9.140625" style="32"/>
    <col min="1020" max="1020" width="20.7109375" style="32" bestFit="1" customWidth="1"/>
    <col min="1021" max="1021" width="37.7109375" style="32" bestFit="1" customWidth="1"/>
    <col min="1022" max="1022" width="39.140625" style="32" bestFit="1" customWidth="1"/>
    <col min="1023" max="1023" width="36.5703125" style="32" bestFit="1" customWidth="1"/>
    <col min="1024" max="1028" width="9.140625" style="32"/>
    <col min="1029" max="1029" width="10.5703125" style="32" bestFit="1" customWidth="1"/>
    <col min="1030" max="1275" width="9.140625" style="32"/>
    <col min="1276" max="1276" width="20.7109375" style="32" bestFit="1" customWidth="1"/>
    <col min="1277" max="1277" width="37.7109375" style="32" bestFit="1" customWidth="1"/>
    <col min="1278" max="1278" width="39.140625" style="32" bestFit="1" customWidth="1"/>
    <col min="1279" max="1279" width="36.5703125" style="32" bestFit="1" customWidth="1"/>
    <col min="1280" max="1284" width="9.140625" style="32"/>
    <col min="1285" max="1285" width="10.5703125" style="32" bestFit="1" customWidth="1"/>
    <col min="1286" max="1531" width="9.140625" style="32"/>
    <col min="1532" max="1532" width="20.7109375" style="32" bestFit="1" customWidth="1"/>
    <col min="1533" max="1533" width="37.7109375" style="32" bestFit="1" customWidth="1"/>
    <col min="1534" max="1534" width="39.140625" style="32" bestFit="1" customWidth="1"/>
    <col min="1535" max="1535" width="36.5703125" style="32" bestFit="1" customWidth="1"/>
    <col min="1536" max="1540" width="9.140625" style="32"/>
    <col min="1541" max="1541" width="10.5703125" style="32" bestFit="1" customWidth="1"/>
    <col min="1542" max="1787" width="9.140625" style="32"/>
    <col min="1788" max="1788" width="20.7109375" style="32" bestFit="1" customWidth="1"/>
    <col min="1789" max="1789" width="37.7109375" style="32" bestFit="1" customWidth="1"/>
    <col min="1790" max="1790" width="39.140625" style="32" bestFit="1" customWidth="1"/>
    <col min="1791" max="1791" width="36.5703125" style="32" bestFit="1" customWidth="1"/>
    <col min="1792" max="1796" width="9.140625" style="32"/>
    <col min="1797" max="1797" width="10.5703125" style="32" bestFit="1" customWidth="1"/>
    <col min="1798" max="2043" width="9.140625" style="32"/>
    <col min="2044" max="2044" width="20.7109375" style="32" bestFit="1" customWidth="1"/>
    <col min="2045" max="2045" width="37.7109375" style="32" bestFit="1" customWidth="1"/>
    <col min="2046" max="2046" width="39.140625" style="32" bestFit="1" customWidth="1"/>
    <col min="2047" max="2047" width="36.5703125" style="32" bestFit="1" customWidth="1"/>
    <col min="2048" max="2052" width="9.140625" style="32"/>
    <col min="2053" max="2053" width="10.5703125" style="32" bestFit="1" customWidth="1"/>
    <col min="2054" max="2299" width="9.140625" style="32"/>
    <col min="2300" max="2300" width="20.7109375" style="32" bestFit="1" customWidth="1"/>
    <col min="2301" max="2301" width="37.7109375" style="32" bestFit="1" customWidth="1"/>
    <col min="2302" max="2302" width="39.140625" style="32" bestFit="1" customWidth="1"/>
    <col min="2303" max="2303" width="36.5703125" style="32" bestFit="1" customWidth="1"/>
    <col min="2304" max="2308" width="9.140625" style="32"/>
    <col min="2309" max="2309" width="10.5703125" style="32" bestFit="1" customWidth="1"/>
    <col min="2310" max="2555" width="9.140625" style="32"/>
    <col min="2556" max="2556" width="20.7109375" style="32" bestFit="1" customWidth="1"/>
    <col min="2557" max="2557" width="37.7109375" style="32" bestFit="1" customWidth="1"/>
    <col min="2558" max="2558" width="39.140625" style="32" bestFit="1" customWidth="1"/>
    <col min="2559" max="2559" width="36.5703125" style="32" bestFit="1" customWidth="1"/>
    <col min="2560" max="2564" width="9.140625" style="32"/>
    <col min="2565" max="2565" width="10.5703125" style="32" bestFit="1" customWidth="1"/>
    <col min="2566" max="2811" width="9.140625" style="32"/>
    <col min="2812" max="2812" width="20.7109375" style="32" bestFit="1" customWidth="1"/>
    <col min="2813" max="2813" width="37.7109375" style="32" bestFit="1" customWidth="1"/>
    <col min="2814" max="2814" width="39.140625" style="32" bestFit="1" customWidth="1"/>
    <col min="2815" max="2815" width="36.5703125" style="32" bestFit="1" customWidth="1"/>
    <col min="2816" max="2820" width="9.140625" style="32"/>
    <col min="2821" max="2821" width="10.5703125" style="32" bestFit="1" customWidth="1"/>
    <col min="2822" max="3067" width="9.140625" style="32"/>
    <col min="3068" max="3068" width="20.7109375" style="32" bestFit="1" customWidth="1"/>
    <col min="3069" max="3069" width="37.7109375" style="32" bestFit="1" customWidth="1"/>
    <col min="3070" max="3070" width="39.140625" style="32" bestFit="1" customWidth="1"/>
    <col min="3071" max="3071" width="36.5703125" style="32" bestFit="1" customWidth="1"/>
    <col min="3072" max="3076" width="9.140625" style="32"/>
    <col min="3077" max="3077" width="10.5703125" style="32" bestFit="1" customWidth="1"/>
    <col min="3078" max="3323" width="9.140625" style="32"/>
    <col min="3324" max="3324" width="20.7109375" style="32" bestFit="1" customWidth="1"/>
    <col min="3325" max="3325" width="37.7109375" style="32" bestFit="1" customWidth="1"/>
    <col min="3326" max="3326" width="39.140625" style="32" bestFit="1" customWidth="1"/>
    <col min="3327" max="3327" width="36.5703125" style="32" bestFit="1" customWidth="1"/>
    <col min="3328" max="3332" width="9.140625" style="32"/>
    <col min="3333" max="3333" width="10.5703125" style="32" bestFit="1" customWidth="1"/>
    <col min="3334" max="3579" width="9.140625" style="32"/>
    <col min="3580" max="3580" width="20.7109375" style="32" bestFit="1" customWidth="1"/>
    <col min="3581" max="3581" width="37.7109375" style="32" bestFit="1" customWidth="1"/>
    <col min="3582" max="3582" width="39.140625" style="32" bestFit="1" customWidth="1"/>
    <col min="3583" max="3583" width="36.5703125" style="32" bestFit="1" customWidth="1"/>
    <col min="3584" max="3588" width="9.140625" style="32"/>
    <col min="3589" max="3589" width="10.5703125" style="32" bestFit="1" customWidth="1"/>
    <col min="3590" max="3835" width="9.140625" style="32"/>
    <col min="3836" max="3836" width="20.7109375" style="32" bestFit="1" customWidth="1"/>
    <col min="3837" max="3837" width="37.7109375" style="32" bestFit="1" customWidth="1"/>
    <col min="3838" max="3838" width="39.140625" style="32" bestFit="1" customWidth="1"/>
    <col min="3839" max="3839" width="36.5703125" style="32" bestFit="1" customWidth="1"/>
    <col min="3840" max="3844" width="9.140625" style="32"/>
    <col min="3845" max="3845" width="10.5703125" style="32" bestFit="1" customWidth="1"/>
    <col min="3846" max="4091" width="9.140625" style="32"/>
    <col min="4092" max="4092" width="20.7109375" style="32" bestFit="1" customWidth="1"/>
    <col min="4093" max="4093" width="37.7109375" style="32" bestFit="1" customWidth="1"/>
    <col min="4094" max="4094" width="39.140625" style="32" bestFit="1" customWidth="1"/>
    <col min="4095" max="4095" width="36.5703125" style="32" bestFit="1" customWidth="1"/>
    <col min="4096" max="4100" width="9.140625" style="32"/>
    <col min="4101" max="4101" width="10.5703125" style="32" bestFit="1" customWidth="1"/>
    <col min="4102" max="4347" width="9.140625" style="32"/>
    <col min="4348" max="4348" width="20.7109375" style="32" bestFit="1" customWidth="1"/>
    <col min="4349" max="4349" width="37.7109375" style="32" bestFit="1" customWidth="1"/>
    <col min="4350" max="4350" width="39.140625" style="32" bestFit="1" customWidth="1"/>
    <col min="4351" max="4351" width="36.5703125" style="32" bestFit="1" customWidth="1"/>
    <col min="4352" max="4356" width="9.140625" style="32"/>
    <col min="4357" max="4357" width="10.5703125" style="32" bestFit="1" customWidth="1"/>
    <col min="4358" max="4603" width="9.140625" style="32"/>
    <col min="4604" max="4604" width="20.7109375" style="32" bestFit="1" customWidth="1"/>
    <col min="4605" max="4605" width="37.7109375" style="32" bestFit="1" customWidth="1"/>
    <col min="4606" max="4606" width="39.140625" style="32" bestFit="1" customWidth="1"/>
    <col min="4607" max="4607" width="36.5703125" style="32" bestFit="1" customWidth="1"/>
    <col min="4608" max="4612" width="9.140625" style="32"/>
    <col min="4613" max="4613" width="10.5703125" style="32" bestFit="1" customWidth="1"/>
    <col min="4614" max="4859" width="9.140625" style="32"/>
    <col min="4860" max="4860" width="20.7109375" style="32" bestFit="1" customWidth="1"/>
    <col min="4861" max="4861" width="37.7109375" style="32" bestFit="1" customWidth="1"/>
    <col min="4862" max="4862" width="39.140625" style="32" bestFit="1" customWidth="1"/>
    <col min="4863" max="4863" width="36.5703125" style="32" bestFit="1" customWidth="1"/>
    <col min="4864" max="4868" width="9.140625" style="32"/>
    <col min="4869" max="4869" width="10.5703125" style="32" bestFit="1" customWidth="1"/>
    <col min="4870" max="5115" width="9.140625" style="32"/>
    <col min="5116" max="5116" width="20.7109375" style="32" bestFit="1" customWidth="1"/>
    <col min="5117" max="5117" width="37.7109375" style="32" bestFit="1" customWidth="1"/>
    <col min="5118" max="5118" width="39.140625" style="32" bestFit="1" customWidth="1"/>
    <col min="5119" max="5119" width="36.5703125" style="32" bestFit="1" customWidth="1"/>
    <col min="5120" max="5124" width="9.140625" style="32"/>
    <col min="5125" max="5125" width="10.5703125" style="32" bestFit="1" customWidth="1"/>
    <col min="5126" max="5371" width="9.140625" style="32"/>
    <col min="5372" max="5372" width="20.7109375" style="32" bestFit="1" customWidth="1"/>
    <col min="5373" max="5373" width="37.7109375" style="32" bestFit="1" customWidth="1"/>
    <col min="5374" max="5374" width="39.140625" style="32" bestFit="1" customWidth="1"/>
    <col min="5375" max="5375" width="36.5703125" style="32" bestFit="1" customWidth="1"/>
    <col min="5376" max="5380" width="9.140625" style="32"/>
    <col min="5381" max="5381" width="10.5703125" style="32" bestFit="1" customWidth="1"/>
    <col min="5382" max="5627" width="9.140625" style="32"/>
    <col min="5628" max="5628" width="20.7109375" style="32" bestFit="1" customWidth="1"/>
    <col min="5629" max="5629" width="37.7109375" style="32" bestFit="1" customWidth="1"/>
    <col min="5630" max="5630" width="39.140625" style="32" bestFit="1" customWidth="1"/>
    <col min="5631" max="5631" width="36.5703125" style="32" bestFit="1" customWidth="1"/>
    <col min="5632" max="5636" width="9.140625" style="32"/>
    <col min="5637" max="5637" width="10.5703125" style="32" bestFit="1" customWidth="1"/>
    <col min="5638" max="5883" width="9.140625" style="32"/>
    <col min="5884" max="5884" width="20.7109375" style="32" bestFit="1" customWidth="1"/>
    <col min="5885" max="5885" width="37.7109375" style="32" bestFit="1" customWidth="1"/>
    <col min="5886" max="5886" width="39.140625" style="32" bestFit="1" customWidth="1"/>
    <col min="5887" max="5887" width="36.5703125" style="32" bestFit="1" customWidth="1"/>
    <col min="5888" max="5892" width="9.140625" style="32"/>
    <col min="5893" max="5893" width="10.5703125" style="32" bestFit="1" customWidth="1"/>
    <col min="5894" max="6139" width="9.140625" style="32"/>
    <col min="6140" max="6140" width="20.7109375" style="32" bestFit="1" customWidth="1"/>
    <col min="6141" max="6141" width="37.7109375" style="32" bestFit="1" customWidth="1"/>
    <col min="6142" max="6142" width="39.140625" style="32" bestFit="1" customWidth="1"/>
    <col min="6143" max="6143" width="36.5703125" style="32" bestFit="1" customWidth="1"/>
    <col min="6144" max="6148" width="9.140625" style="32"/>
    <col min="6149" max="6149" width="10.5703125" style="32" bestFit="1" customWidth="1"/>
    <col min="6150" max="6395" width="9.140625" style="32"/>
    <col min="6396" max="6396" width="20.7109375" style="32" bestFit="1" customWidth="1"/>
    <col min="6397" max="6397" width="37.7109375" style="32" bestFit="1" customWidth="1"/>
    <col min="6398" max="6398" width="39.140625" style="32" bestFit="1" customWidth="1"/>
    <col min="6399" max="6399" width="36.5703125" style="32" bestFit="1" customWidth="1"/>
    <col min="6400" max="6404" width="9.140625" style="32"/>
    <col min="6405" max="6405" width="10.5703125" style="32" bestFit="1" customWidth="1"/>
    <col min="6406" max="6651" width="9.140625" style="32"/>
    <col min="6652" max="6652" width="20.7109375" style="32" bestFit="1" customWidth="1"/>
    <col min="6653" max="6653" width="37.7109375" style="32" bestFit="1" customWidth="1"/>
    <col min="6654" max="6654" width="39.140625" style="32" bestFit="1" customWidth="1"/>
    <col min="6655" max="6655" width="36.5703125" style="32" bestFit="1" customWidth="1"/>
    <col min="6656" max="6660" width="9.140625" style="32"/>
    <col min="6661" max="6661" width="10.5703125" style="32" bestFit="1" customWidth="1"/>
    <col min="6662" max="6907" width="9.140625" style="32"/>
    <col min="6908" max="6908" width="20.7109375" style="32" bestFit="1" customWidth="1"/>
    <col min="6909" max="6909" width="37.7109375" style="32" bestFit="1" customWidth="1"/>
    <col min="6910" max="6910" width="39.140625" style="32" bestFit="1" customWidth="1"/>
    <col min="6911" max="6911" width="36.5703125" style="32" bestFit="1" customWidth="1"/>
    <col min="6912" max="6916" width="9.140625" style="32"/>
    <col min="6917" max="6917" width="10.5703125" style="32" bestFit="1" customWidth="1"/>
    <col min="6918" max="7163" width="9.140625" style="32"/>
    <col min="7164" max="7164" width="20.7109375" style="32" bestFit="1" customWidth="1"/>
    <col min="7165" max="7165" width="37.7109375" style="32" bestFit="1" customWidth="1"/>
    <col min="7166" max="7166" width="39.140625" style="32" bestFit="1" customWidth="1"/>
    <col min="7167" max="7167" width="36.5703125" style="32" bestFit="1" customWidth="1"/>
    <col min="7168" max="7172" width="9.140625" style="32"/>
    <col min="7173" max="7173" width="10.5703125" style="32" bestFit="1" customWidth="1"/>
    <col min="7174" max="7419" width="9.140625" style="32"/>
    <col min="7420" max="7420" width="20.7109375" style="32" bestFit="1" customWidth="1"/>
    <col min="7421" max="7421" width="37.7109375" style="32" bestFit="1" customWidth="1"/>
    <col min="7422" max="7422" width="39.140625" style="32" bestFit="1" customWidth="1"/>
    <col min="7423" max="7423" width="36.5703125" style="32" bestFit="1" customWidth="1"/>
    <col min="7424" max="7428" width="9.140625" style="32"/>
    <col min="7429" max="7429" width="10.5703125" style="32" bestFit="1" customWidth="1"/>
    <col min="7430" max="7675" width="9.140625" style="32"/>
    <col min="7676" max="7676" width="20.7109375" style="32" bestFit="1" customWidth="1"/>
    <col min="7677" max="7677" width="37.7109375" style="32" bestFit="1" customWidth="1"/>
    <col min="7678" max="7678" width="39.140625" style="32" bestFit="1" customWidth="1"/>
    <col min="7679" max="7679" width="36.5703125" style="32" bestFit="1" customWidth="1"/>
    <col min="7680" max="7684" width="9.140625" style="32"/>
    <col min="7685" max="7685" width="10.5703125" style="32" bestFit="1" customWidth="1"/>
    <col min="7686" max="7931" width="9.140625" style="32"/>
    <col min="7932" max="7932" width="20.7109375" style="32" bestFit="1" customWidth="1"/>
    <col min="7933" max="7933" width="37.7109375" style="32" bestFit="1" customWidth="1"/>
    <col min="7934" max="7934" width="39.140625" style="32" bestFit="1" customWidth="1"/>
    <col min="7935" max="7935" width="36.5703125" style="32" bestFit="1" customWidth="1"/>
    <col min="7936" max="7940" width="9.140625" style="32"/>
    <col min="7941" max="7941" width="10.5703125" style="32" bestFit="1" customWidth="1"/>
    <col min="7942" max="8187" width="9.140625" style="32"/>
    <col min="8188" max="8188" width="20.7109375" style="32" bestFit="1" customWidth="1"/>
    <col min="8189" max="8189" width="37.7109375" style="32" bestFit="1" customWidth="1"/>
    <col min="8190" max="8190" width="39.140625" style="32" bestFit="1" customWidth="1"/>
    <col min="8191" max="8191" width="36.5703125" style="32" bestFit="1" customWidth="1"/>
    <col min="8192" max="8196" width="9.140625" style="32"/>
    <col min="8197" max="8197" width="10.5703125" style="32" bestFit="1" customWidth="1"/>
    <col min="8198" max="8443" width="9.140625" style="32"/>
    <col min="8444" max="8444" width="20.7109375" style="32" bestFit="1" customWidth="1"/>
    <col min="8445" max="8445" width="37.7109375" style="32" bestFit="1" customWidth="1"/>
    <col min="8446" max="8446" width="39.140625" style="32" bestFit="1" customWidth="1"/>
    <col min="8447" max="8447" width="36.5703125" style="32" bestFit="1" customWidth="1"/>
    <col min="8448" max="8452" width="9.140625" style="32"/>
    <col min="8453" max="8453" width="10.5703125" style="32" bestFit="1" customWidth="1"/>
    <col min="8454" max="8699" width="9.140625" style="32"/>
    <col min="8700" max="8700" width="20.7109375" style="32" bestFit="1" customWidth="1"/>
    <col min="8701" max="8701" width="37.7109375" style="32" bestFit="1" customWidth="1"/>
    <col min="8702" max="8702" width="39.140625" style="32" bestFit="1" customWidth="1"/>
    <col min="8703" max="8703" width="36.5703125" style="32" bestFit="1" customWidth="1"/>
    <col min="8704" max="8708" width="9.140625" style="32"/>
    <col min="8709" max="8709" width="10.5703125" style="32" bestFit="1" customWidth="1"/>
    <col min="8710" max="8955" width="9.140625" style="32"/>
    <col min="8956" max="8956" width="20.7109375" style="32" bestFit="1" customWidth="1"/>
    <col min="8957" max="8957" width="37.7109375" style="32" bestFit="1" customWidth="1"/>
    <col min="8958" max="8958" width="39.140625" style="32" bestFit="1" customWidth="1"/>
    <col min="8959" max="8959" width="36.5703125" style="32" bestFit="1" customWidth="1"/>
    <col min="8960" max="8964" width="9.140625" style="32"/>
    <col min="8965" max="8965" width="10.5703125" style="32" bestFit="1" customWidth="1"/>
    <col min="8966" max="9211" width="9.140625" style="32"/>
    <col min="9212" max="9212" width="20.7109375" style="32" bestFit="1" customWidth="1"/>
    <col min="9213" max="9213" width="37.7109375" style="32" bestFit="1" customWidth="1"/>
    <col min="9214" max="9214" width="39.140625" style="32" bestFit="1" customWidth="1"/>
    <col min="9215" max="9215" width="36.5703125" style="32" bestFit="1" customWidth="1"/>
    <col min="9216" max="9220" width="9.140625" style="32"/>
    <col min="9221" max="9221" width="10.5703125" style="32" bestFit="1" customWidth="1"/>
    <col min="9222" max="9467" width="9.140625" style="32"/>
    <col min="9468" max="9468" width="20.7109375" style="32" bestFit="1" customWidth="1"/>
    <col min="9469" max="9469" width="37.7109375" style="32" bestFit="1" customWidth="1"/>
    <col min="9470" max="9470" width="39.140625" style="32" bestFit="1" customWidth="1"/>
    <col min="9471" max="9471" width="36.5703125" style="32" bestFit="1" customWidth="1"/>
    <col min="9472" max="9476" width="9.140625" style="32"/>
    <col min="9477" max="9477" width="10.5703125" style="32" bestFit="1" customWidth="1"/>
    <col min="9478" max="9723" width="9.140625" style="32"/>
    <col min="9724" max="9724" width="20.7109375" style="32" bestFit="1" customWidth="1"/>
    <col min="9725" max="9725" width="37.7109375" style="32" bestFit="1" customWidth="1"/>
    <col min="9726" max="9726" width="39.140625" style="32" bestFit="1" customWidth="1"/>
    <col min="9727" max="9727" width="36.5703125" style="32" bestFit="1" customWidth="1"/>
    <col min="9728" max="9732" width="9.140625" style="32"/>
    <col min="9733" max="9733" width="10.5703125" style="32" bestFit="1" customWidth="1"/>
    <col min="9734" max="9979" width="9.140625" style="32"/>
    <col min="9980" max="9980" width="20.7109375" style="32" bestFit="1" customWidth="1"/>
    <col min="9981" max="9981" width="37.7109375" style="32" bestFit="1" customWidth="1"/>
    <col min="9982" max="9982" width="39.140625" style="32" bestFit="1" customWidth="1"/>
    <col min="9983" max="9983" width="36.5703125" style="32" bestFit="1" customWidth="1"/>
    <col min="9984" max="9988" width="9.140625" style="32"/>
    <col min="9989" max="9989" width="10.5703125" style="32" bestFit="1" customWidth="1"/>
    <col min="9990" max="10235" width="9.140625" style="32"/>
    <col min="10236" max="10236" width="20.7109375" style="32" bestFit="1" customWidth="1"/>
    <col min="10237" max="10237" width="37.7109375" style="32" bestFit="1" customWidth="1"/>
    <col min="10238" max="10238" width="39.140625" style="32" bestFit="1" customWidth="1"/>
    <col min="10239" max="10239" width="36.5703125" style="32" bestFit="1" customWidth="1"/>
    <col min="10240" max="10244" width="9.140625" style="32"/>
    <col min="10245" max="10245" width="10.5703125" style="32" bestFit="1" customWidth="1"/>
    <col min="10246" max="10491" width="9.140625" style="32"/>
    <col min="10492" max="10492" width="20.7109375" style="32" bestFit="1" customWidth="1"/>
    <col min="10493" max="10493" width="37.7109375" style="32" bestFit="1" customWidth="1"/>
    <col min="10494" max="10494" width="39.140625" style="32" bestFit="1" customWidth="1"/>
    <col min="10495" max="10495" width="36.5703125" style="32" bestFit="1" customWidth="1"/>
    <col min="10496" max="10500" width="9.140625" style="32"/>
    <col min="10501" max="10501" width="10.5703125" style="32" bestFit="1" customWidth="1"/>
    <col min="10502" max="10747" width="9.140625" style="32"/>
    <col min="10748" max="10748" width="20.7109375" style="32" bestFit="1" customWidth="1"/>
    <col min="10749" max="10749" width="37.7109375" style="32" bestFit="1" customWidth="1"/>
    <col min="10750" max="10750" width="39.140625" style="32" bestFit="1" customWidth="1"/>
    <col min="10751" max="10751" width="36.5703125" style="32" bestFit="1" customWidth="1"/>
    <col min="10752" max="10756" width="9.140625" style="32"/>
    <col min="10757" max="10757" width="10.5703125" style="32" bestFit="1" customWidth="1"/>
    <col min="10758" max="11003" width="9.140625" style="32"/>
    <col min="11004" max="11004" width="20.7109375" style="32" bestFit="1" customWidth="1"/>
    <col min="11005" max="11005" width="37.7109375" style="32" bestFit="1" customWidth="1"/>
    <col min="11006" max="11006" width="39.140625" style="32" bestFit="1" customWidth="1"/>
    <col min="11007" max="11007" width="36.5703125" style="32" bestFit="1" customWidth="1"/>
    <col min="11008" max="11012" width="9.140625" style="32"/>
    <col min="11013" max="11013" width="10.5703125" style="32" bestFit="1" customWidth="1"/>
    <col min="11014" max="11259" width="9.140625" style="32"/>
    <col min="11260" max="11260" width="20.7109375" style="32" bestFit="1" customWidth="1"/>
    <col min="11261" max="11261" width="37.7109375" style="32" bestFit="1" customWidth="1"/>
    <col min="11262" max="11262" width="39.140625" style="32" bestFit="1" customWidth="1"/>
    <col min="11263" max="11263" width="36.5703125" style="32" bestFit="1" customWidth="1"/>
    <col min="11264" max="11268" width="9.140625" style="32"/>
    <col min="11269" max="11269" width="10.5703125" style="32" bestFit="1" customWidth="1"/>
    <col min="11270" max="11515" width="9.140625" style="32"/>
    <col min="11516" max="11516" width="20.7109375" style="32" bestFit="1" customWidth="1"/>
    <col min="11517" max="11517" width="37.7109375" style="32" bestFit="1" customWidth="1"/>
    <col min="11518" max="11518" width="39.140625" style="32" bestFit="1" customWidth="1"/>
    <col min="11519" max="11519" width="36.5703125" style="32" bestFit="1" customWidth="1"/>
    <col min="11520" max="11524" width="9.140625" style="32"/>
    <col min="11525" max="11525" width="10.5703125" style="32" bestFit="1" customWidth="1"/>
    <col min="11526" max="11771" width="9.140625" style="32"/>
    <col min="11772" max="11772" width="20.7109375" style="32" bestFit="1" customWidth="1"/>
    <col min="11773" max="11773" width="37.7109375" style="32" bestFit="1" customWidth="1"/>
    <col min="11774" max="11774" width="39.140625" style="32" bestFit="1" customWidth="1"/>
    <col min="11775" max="11775" width="36.5703125" style="32" bestFit="1" customWidth="1"/>
    <col min="11776" max="11780" width="9.140625" style="32"/>
    <col min="11781" max="11781" width="10.5703125" style="32" bestFit="1" customWidth="1"/>
    <col min="11782" max="12027" width="9.140625" style="32"/>
    <col min="12028" max="12028" width="20.7109375" style="32" bestFit="1" customWidth="1"/>
    <col min="12029" max="12029" width="37.7109375" style="32" bestFit="1" customWidth="1"/>
    <col min="12030" max="12030" width="39.140625" style="32" bestFit="1" customWidth="1"/>
    <col min="12031" max="12031" width="36.5703125" style="32" bestFit="1" customWidth="1"/>
    <col min="12032" max="12036" width="9.140625" style="32"/>
    <col min="12037" max="12037" width="10.5703125" style="32" bestFit="1" customWidth="1"/>
    <col min="12038" max="12283" width="9.140625" style="32"/>
    <col min="12284" max="12284" width="20.7109375" style="32" bestFit="1" customWidth="1"/>
    <col min="12285" max="12285" width="37.7109375" style="32" bestFit="1" customWidth="1"/>
    <col min="12286" max="12286" width="39.140625" style="32" bestFit="1" customWidth="1"/>
    <col min="12287" max="12287" width="36.5703125" style="32" bestFit="1" customWidth="1"/>
    <col min="12288" max="12292" width="9.140625" style="32"/>
    <col min="12293" max="12293" width="10.5703125" style="32" bestFit="1" customWidth="1"/>
    <col min="12294" max="12539" width="9.140625" style="32"/>
    <col min="12540" max="12540" width="20.7109375" style="32" bestFit="1" customWidth="1"/>
    <col min="12541" max="12541" width="37.7109375" style="32" bestFit="1" customWidth="1"/>
    <col min="12542" max="12542" width="39.140625" style="32" bestFit="1" customWidth="1"/>
    <col min="12543" max="12543" width="36.5703125" style="32" bestFit="1" customWidth="1"/>
    <col min="12544" max="12548" width="9.140625" style="32"/>
    <col min="12549" max="12549" width="10.5703125" style="32" bestFit="1" customWidth="1"/>
    <col min="12550" max="12795" width="9.140625" style="32"/>
    <col min="12796" max="12796" width="20.7109375" style="32" bestFit="1" customWidth="1"/>
    <col min="12797" max="12797" width="37.7109375" style="32" bestFit="1" customWidth="1"/>
    <col min="12798" max="12798" width="39.140625" style="32" bestFit="1" customWidth="1"/>
    <col min="12799" max="12799" width="36.5703125" style="32" bestFit="1" customWidth="1"/>
    <col min="12800" max="12804" width="9.140625" style="32"/>
    <col min="12805" max="12805" width="10.5703125" style="32" bestFit="1" customWidth="1"/>
    <col min="12806" max="13051" width="9.140625" style="32"/>
    <col min="13052" max="13052" width="20.7109375" style="32" bestFit="1" customWidth="1"/>
    <col min="13053" max="13053" width="37.7109375" style="32" bestFit="1" customWidth="1"/>
    <col min="13054" max="13054" width="39.140625" style="32" bestFit="1" customWidth="1"/>
    <col min="13055" max="13055" width="36.5703125" style="32" bestFit="1" customWidth="1"/>
    <col min="13056" max="13060" width="9.140625" style="32"/>
    <col min="13061" max="13061" width="10.5703125" style="32" bestFit="1" customWidth="1"/>
    <col min="13062" max="13307" width="9.140625" style="32"/>
    <col min="13308" max="13308" width="20.7109375" style="32" bestFit="1" customWidth="1"/>
    <col min="13309" max="13309" width="37.7109375" style="32" bestFit="1" customWidth="1"/>
    <col min="13310" max="13310" width="39.140625" style="32" bestFit="1" customWidth="1"/>
    <col min="13311" max="13311" width="36.5703125" style="32" bestFit="1" customWidth="1"/>
    <col min="13312" max="13316" width="9.140625" style="32"/>
    <col min="13317" max="13317" width="10.5703125" style="32" bestFit="1" customWidth="1"/>
    <col min="13318" max="13563" width="9.140625" style="32"/>
    <col min="13564" max="13564" width="20.7109375" style="32" bestFit="1" customWidth="1"/>
    <col min="13565" max="13565" width="37.7109375" style="32" bestFit="1" customWidth="1"/>
    <col min="13566" max="13566" width="39.140625" style="32" bestFit="1" customWidth="1"/>
    <col min="13567" max="13567" width="36.5703125" style="32" bestFit="1" customWidth="1"/>
    <col min="13568" max="13572" width="9.140625" style="32"/>
    <col min="13573" max="13573" width="10.5703125" style="32" bestFit="1" customWidth="1"/>
    <col min="13574" max="13819" width="9.140625" style="32"/>
    <col min="13820" max="13820" width="20.7109375" style="32" bestFit="1" customWidth="1"/>
    <col min="13821" max="13821" width="37.7109375" style="32" bestFit="1" customWidth="1"/>
    <col min="13822" max="13822" width="39.140625" style="32" bestFit="1" customWidth="1"/>
    <col min="13823" max="13823" width="36.5703125" style="32" bestFit="1" customWidth="1"/>
    <col min="13824" max="13828" width="9.140625" style="32"/>
    <col min="13829" max="13829" width="10.5703125" style="32" bestFit="1" customWidth="1"/>
    <col min="13830" max="14075" width="9.140625" style="32"/>
    <col min="14076" max="14076" width="20.7109375" style="32" bestFit="1" customWidth="1"/>
    <col min="14077" max="14077" width="37.7109375" style="32" bestFit="1" customWidth="1"/>
    <col min="14078" max="14078" width="39.140625" style="32" bestFit="1" customWidth="1"/>
    <col min="14079" max="14079" width="36.5703125" style="32" bestFit="1" customWidth="1"/>
    <col min="14080" max="14084" width="9.140625" style="32"/>
    <col min="14085" max="14085" width="10.5703125" style="32" bestFit="1" customWidth="1"/>
    <col min="14086" max="14331" width="9.140625" style="32"/>
    <col min="14332" max="14332" width="20.7109375" style="32" bestFit="1" customWidth="1"/>
    <col min="14333" max="14333" width="37.7109375" style="32" bestFit="1" customWidth="1"/>
    <col min="14334" max="14334" width="39.140625" style="32" bestFit="1" customWidth="1"/>
    <col min="14335" max="14335" width="36.5703125" style="32" bestFit="1" customWidth="1"/>
    <col min="14336" max="14340" width="9.140625" style="32"/>
    <col min="14341" max="14341" width="10.5703125" style="32" bestFit="1" customWidth="1"/>
    <col min="14342" max="14587" width="9.140625" style="32"/>
    <col min="14588" max="14588" width="20.7109375" style="32" bestFit="1" customWidth="1"/>
    <col min="14589" max="14589" width="37.7109375" style="32" bestFit="1" customWidth="1"/>
    <col min="14590" max="14590" width="39.140625" style="32" bestFit="1" customWidth="1"/>
    <col min="14591" max="14591" width="36.5703125" style="32" bestFit="1" customWidth="1"/>
    <col min="14592" max="14596" width="9.140625" style="32"/>
    <col min="14597" max="14597" width="10.5703125" style="32" bestFit="1" customWidth="1"/>
    <col min="14598" max="14843" width="9.140625" style="32"/>
    <col min="14844" max="14844" width="20.7109375" style="32" bestFit="1" customWidth="1"/>
    <col min="14845" max="14845" width="37.7109375" style="32" bestFit="1" customWidth="1"/>
    <col min="14846" max="14846" width="39.140625" style="32" bestFit="1" customWidth="1"/>
    <col min="14847" max="14847" width="36.5703125" style="32" bestFit="1" customWidth="1"/>
    <col min="14848" max="14852" width="9.140625" style="32"/>
    <col min="14853" max="14853" width="10.5703125" style="32" bestFit="1" customWidth="1"/>
    <col min="14854" max="15099" width="9.140625" style="32"/>
    <col min="15100" max="15100" width="20.7109375" style="32" bestFit="1" customWidth="1"/>
    <col min="15101" max="15101" width="37.7109375" style="32" bestFit="1" customWidth="1"/>
    <col min="15102" max="15102" width="39.140625" style="32" bestFit="1" customWidth="1"/>
    <col min="15103" max="15103" width="36.5703125" style="32" bestFit="1" customWidth="1"/>
    <col min="15104" max="15108" width="9.140625" style="32"/>
    <col min="15109" max="15109" width="10.5703125" style="32" bestFit="1" customWidth="1"/>
    <col min="15110" max="15355" width="9.140625" style="32"/>
    <col min="15356" max="15356" width="20.7109375" style="32" bestFit="1" customWidth="1"/>
    <col min="15357" max="15357" width="37.7109375" style="32" bestFit="1" customWidth="1"/>
    <col min="15358" max="15358" width="39.140625" style="32" bestFit="1" customWidth="1"/>
    <col min="15359" max="15359" width="36.5703125" style="32" bestFit="1" customWidth="1"/>
    <col min="15360" max="15364" width="9.140625" style="32"/>
    <col min="15365" max="15365" width="10.5703125" style="32" bestFit="1" customWidth="1"/>
    <col min="15366" max="15611" width="9.140625" style="32"/>
    <col min="15612" max="15612" width="20.7109375" style="32" bestFit="1" customWidth="1"/>
    <col min="15613" max="15613" width="37.7109375" style="32" bestFit="1" customWidth="1"/>
    <col min="15614" max="15614" width="39.140625" style="32" bestFit="1" customWidth="1"/>
    <col min="15615" max="15615" width="36.5703125" style="32" bestFit="1" customWidth="1"/>
    <col min="15616" max="15620" width="9.140625" style="32"/>
    <col min="15621" max="15621" width="10.5703125" style="32" bestFit="1" customWidth="1"/>
    <col min="15622" max="15867" width="9.140625" style="32"/>
    <col min="15868" max="15868" width="20.7109375" style="32" bestFit="1" customWidth="1"/>
    <col min="15869" max="15869" width="37.7109375" style="32" bestFit="1" customWidth="1"/>
    <col min="15870" max="15870" width="39.140625" style="32" bestFit="1" customWidth="1"/>
    <col min="15871" max="15871" width="36.5703125" style="32" bestFit="1" customWidth="1"/>
    <col min="15872" max="15876" width="9.140625" style="32"/>
    <col min="15877" max="15877" width="10.5703125" style="32" bestFit="1" customWidth="1"/>
    <col min="15878" max="16123" width="9.140625" style="32"/>
    <col min="16124" max="16124" width="20.7109375" style="32" bestFit="1" customWidth="1"/>
    <col min="16125" max="16125" width="37.7109375" style="32" bestFit="1" customWidth="1"/>
    <col min="16126" max="16126" width="39.140625" style="32" bestFit="1" customWidth="1"/>
    <col min="16127" max="16127" width="36.5703125" style="32" bestFit="1" customWidth="1"/>
    <col min="16128" max="16132" width="9.140625" style="32"/>
    <col min="16133" max="16133" width="10.5703125" style="32" bestFit="1" customWidth="1"/>
    <col min="16134" max="16384" width="9.140625" style="32"/>
  </cols>
  <sheetData>
    <row r="1" spans="1:9" ht="15" x14ac:dyDescent="0.2">
      <c r="A1" s="125" t="s">
        <v>711</v>
      </c>
    </row>
    <row r="2" spans="1:9" x14ac:dyDescent="0.2">
      <c r="A2" s="32" t="s">
        <v>10</v>
      </c>
      <c r="F2" s="271"/>
    </row>
    <row r="3" spans="1:9" x14ac:dyDescent="0.2">
      <c r="A3" s="31" t="s">
        <v>1098</v>
      </c>
      <c r="B3" s="31" t="s">
        <v>712</v>
      </c>
      <c r="C3" s="31" t="s">
        <v>713</v>
      </c>
      <c r="D3" s="46" t="s">
        <v>665</v>
      </c>
      <c r="E3" s="46" t="s">
        <v>109</v>
      </c>
      <c r="F3" s="46" t="s">
        <v>662</v>
      </c>
      <c r="G3" s="46" t="s">
        <v>663</v>
      </c>
      <c r="H3" s="46" t="s">
        <v>714</v>
      </c>
      <c r="I3" s="46" t="s">
        <v>715</v>
      </c>
    </row>
    <row r="4" spans="1:9" x14ac:dyDescent="0.2">
      <c r="B4" s="52" t="s">
        <v>24</v>
      </c>
      <c r="C4" s="52" t="s">
        <v>25</v>
      </c>
      <c r="D4" s="52" t="s">
        <v>26</v>
      </c>
      <c r="E4" s="52" t="s">
        <v>27</v>
      </c>
      <c r="F4" s="52" t="s">
        <v>28</v>
      </c>
      <c r="G4" s="52" t="s">
        <v>29</v>
      </c>
      <c r="H4" s="52" t="s">
        <v>30</v>
      </c>
      <c r="I4" s="52" t="s">
        <v>31</v>
      </c>
    </row>
    <row r="6" spans="1:9" x14ac:dyDescent="0.2">
      <c r="A6" s="214">
        <v>1</v>
      </c>
      <c r="B6" s="32" t="s">
        <v>716</v>
      </c>
      <c r="C6" s="32" t="s">
        <v>631</v>
      </c>
      <c r="D6" s="223">
        <v>-0.52</v>
      </c>
      <c r="E6" s="223">
        <v>146056.96000000002</v>
      </c>
      <c r="F6" s="272">
        <f>D6/SUM(D$6:D$7)*D$8</f>
        <v>0.52849961449498861</v>
      </c>
      <c r="G6" s="272">
        <f>E6/SUM(E$6:E$7)*E$8</f>
        <v>24948.256566561671</v>
      </c>
      <c r="H6" s="272">
        <f t="shared" ref="H6:I8" si="0">D6+F6</f>
        <v>8.4996144949885943E-3</v>
      </c>
      <c r="I6" s="272">
        <f t="shared" si="0"/>
        <v>171005.21656656169</v>
      </c>
    </row>
    <row r="7" spans="1:9" x14ac:dyDescent="0.2">
      <c r="A7" s="214">
        <f>A6+1</f>
        <v>2</v>
      </c>
      <c r="C7" s="32" t="s">
        <v>632</v>
      </c>
      <c r="D7" s="223">
        <v>65.369999999999976</v>
      </c>
      <c r="E7" s="223">
        <v>39350666.920000002</v>
      </c>
      <c r="F7" s="272">
        <f>D7/SUM(D$6:D$7)*D$8</f>
        <v>-66.438499614494987</v>
      </c>
      <c r="G7" s="272">
        <f>E7/SUM(E$6:E$7)*E$8</f>
        <v>6721559.4134334382</v>
      </c>
      <c r="H7" s="272">
        <f t="shared" si="0"/>
        <v>-1.0684996144950105</v>
      </c>
      <c r="I7" s="272">
        <f t="shared" si="0"/>
        <v>46072226.333433442</v>
      </c>
    </row>
    <row r="8" spans="1:9" x14ac:dyDescent="0.2">
      <c r="A8" s="77">
        <f>A7+1</f>
        <v>3</v>
      </c>
      <c r="B8" s="31"/>
      <c r="C8" s="31" t="s">
        <v>717</v>
      </c>
      <c r="D8" s="273">
        <v>-65.91</v>
      </c>
      <c r="E8" s="273">
        <v>6746507.6699999999</v>
      </c>
      <c r="F8" s="274">
        <f>-D8</f>
        <v>65.91</v>
      </c>
      <c r="G8" s="274">
        <f>-E8</f>
        <v>-6746507.6699999999</v>
      </c>
      <c r="H8" s="274">
        <f t="shared" si="0"/>
        <v>0</v>
      </c>
      <c r="I8" s="274">
        <f t="shared" si="0"/>
        <v>0</v>
      </c>
    </row>
    <row r="9" spans="1:9" x14ac:dyDescent="0.2">
      <c r="A9" s="214">
        <f>A8+1</f>
        <v>4</v>
      </c>
      <c r="D9" s="272">
        <f t="shared" ref="D9:I9" si="1">SUM(D6:D8)</f>
        <v>-1.0600000000000165</v>
      </c>
      <c r="E9" s="272">
        <f t="shared" si="1"/>
        <v>46243231.550000004</v>
      </c>
      <c r="F9" s="272">
        <f t="shared" si="1"/>
        <v>0</v>
      </c>
      <c r="G9" s="272">
        <f t="shared" si="1"/>
        <v>0</v>
      </c>
      <c r="H9" s="272">
        <f t="shared" si="1"/>
        <v>-1.0600000000000218</v>
      </c>
      <c r="I9" s="272">
        <f t="shared" si="1"/>
        <v>46243231.550000004</v>
      </c>
    </row>
    <row r="10" spans="1:9" x14ac:dyDescent="0.2">
      <c r="A10" s="214"/>
      <c r="D10" s="272"/>
      <c r="E10" s="272"/>
      <c r="F10" s="272"/>
      <c r="G10" s="272"/>
      <c r="H10" s="272"/>
      <c r="I10" s="272"/>
    </row>
    <row r="11" spans="1:9" x14ac:dyDescent="0.2">
      <c r="A11" s="214">
        <f>A9+1</f>
        <v>5</v>
      </c>
      <c r="B11" s="32" t="s">
        <v>718</v>
      </c>
      <c r="C11" s="32" t="s">
        <v>635</v>
      </c>
      <c r="D11" s="223">
        <v>0</v>
      </c>
      <c r="E11" s="223">
        <v>357226.81</v>
      </c>
      <c r="F11" s="272">
        <f>D11/SUM(D$11:D$16)*D$17</f>
        <v>0</v>
      </c>
      <c r="G11" s="272">
        <f>E11/SUM(E$11:E$16)*E$17</f>
        <v>58779.831937251882</v>
      </c>
      <c r="H11" s="272">
        <f t="shared" ref="H11:I17" si="2">D11+F11</f>
        <v>0</v>
      </c>
      <c r="I11" s="272">
        <f t="shared" si="2"/>
        <v>416006.6419372519</v>
      </c>
    </row>
    <row r="12" spans="1:9" x14ac:dyDescent="0.2">
      <c r="A12" s="214">
        <f>A11+1</f>
        <v>6</v>
      </c>
      <c r="C12" s="32" t="s">
        <v>636</v>
      </c>
      <c r="D12" s="223">
        <v>-66.91</v>
      </c>
      <c r="E12" s="223">
        <v>15669799.680000002</v>
      </c>
      <c r="F12" s="272">
        <f t="shared" ref="F12:F16" si="3">D12/SUM(D$11:D$16)*D$17</f>
        <v>68.341663302381917</v>
      </c>
      <c r="G12" s="272">
        <f t="shared" ref="G12:G16" si="4">E12/SUM(E$11:E$16)*E$17</f>
        <v>2578384.8409384601</v>
      </c>
      <c r="H12" s="272">
        <f t="shared" si="2"/>
        <v>1.4316633023819207</v>
      </c>
      <c r="I12" s="272">
        <f t="shared" si="2"/>
        <v>18248184.520938464</v>
      </c>
    </row>
    <row r="13" spans="1:9" x14ac:dyDescent="0.2">
      <c r="A13" s="214">
        <f t="shared" ref="A13:A17" si="5">A12+1</f>
        <v>7</v>
      </c>
      <c r="C13" s="32" t="s">
        <v>631</v>
      </c>
      <c r="D13" s="223">
        <v>0</v>
      </c>
      <c r="E13" s="223">
        <v>22558.31</v>
      </c>
      <c r="F13" s="272">
        <f t="shared" si="3"/>
        <v>0</v>
      </c>
      <c r="G13" s="272">
        <f t="shared" si="4"/>
        <v>3711.8537396127372</v>
      </c>
      <c r="H13" s="272">
        <f>D13+F13</f>
        <v>0</v>
      </c>
      <c r="I13" s="272">
        <f t="shared" si="2"/>
        <v>26270.163739612737</v>
      </c>
    </row>
    <row r="14" spans="1:9" x14ac:dyDescent="0.2">
      <c r="A14" s="214">
        <f t="shared" si="5"/>
        <v>8</v>
      </c>
      <c r="C14" s="32" t="s">
        <v>637</v>
      </c>
      <c r="D14" s="223">
        <v>0</v>
      </c>
      <c r="E14" s="223">
        <v>15728.7</v>
      </c>
      <c r="F14" s="272">
        <f t="shared" si="3"/>
        <v>0</v>
      </c>
      <c r="G14" s="272">
        <f t="shared" si="4"/>
        <v>2588.0765852693248</v>
      </c>
      <c r="H14" s="272">
        <f t="shared" si="2"/>
        <v>0</v>
      </c>
      <c r="I14" s="272">
        <f t="shared" si="2"/>
        <v>18316.776585269326</v>
      </c>
    </row>
    <row r="15" spans="1:9" x14ac:dyDescent="0.2">
      <c r="A15" s="214">
        <f t="shared" si="5"/>
        <v>9</v>
      </c>
      <c r="C15" s="32" t="s">
        <v>638</v>
      </c>
      <c r="D15" s="223">
        <v>0</v>
      </c>
      <c r="E15" s="223">
        <v>60782.29</v>
      </c>
      <c r="F15" s="272">
        <f t="shared" si="3"/>
        <v>0</v>
      </c>
      <c r="G15" s="272">
        <f t="shared" si="4"/>
        <v>10001.412802586978</v>
      </c>
      <c r="H15" s="272">
        <f t="shared" si="2"/>
        <v>0</v>
      </c>
      <c r="I15" s="272">
        <f t="shared" si="2"/>
        <v>70783.70280258698</v>
      </c>
    </row>
    <row r="16" spans="1:9" x14ac:dyDescent="0.2">
      <c r="A16" s="214">
        <f t="shared" si="5"/>
        <v>10</v>
      </c>
      <c r="C16" s="32" t="s">
        <v>632</v>
      </c>
      <c r="D16" s="223">
        <v>17.369999999999997</v>
      </c>
      <c r="E16" s="223">
        <v>10780227.530000001</v>
      </c>
      <c r="F16" s="272">
        <f t="shared" si="3"/>
        <v>-17.741663302381912</v>
      </c>
      <c r="G16" s="272">
        <f t="shared" si="4"/>
        <v>1773830.923996819</v>
      </c>
      <c r="H16" s="272">
        <f t="shared" si="2"/>
        <v>-0.37166330238191492</v>
      </c>
      <c r="I16" s="272">
        <f t="shared" si="2"/>
        <v>12554058.45399682</v>
      </c>
    </row>
    <row r="17" spans="1:9" x14ac:dyDescent="0.2">
      <c r="A17" s="77">
        <f t="shared" si="5"/>
        <v>11</v>
      </c>
      <c r="B17" s="31"/>
      <c r="C17" s="31" t="s">
        <v>717</v>
      </c>
      <c r="D17" s="273">
        <v>50.6</v>
      </c>
      <c r="E17" s="273">
        <v>4427296.9399999995</v>
      </c>
      <c r="F17" s="274">
        <f>-D17</f>
        <v>-50.6</v>
      </c>
      <c r="G17" s="274">
        <f>-E17</f>
        <v>-4427296.9399999995</v>
      </c>
      <c r="H17" s="274">
        <f t="shared" si="2"/>
        <v>0</v>
      </c>
      <c r="I17" s="274">
        <f t="shared" si="2"/>
        <v>0</v>
      </c>
    </row>
    <row r="18" spans="1:9" x14ac:dyDescent="0.2">
      <c r="A18" s="214">
        <f>A17+1</f>
        <v>12</v>
      </c>
      <c r="D18" s="272">
        <f>SUM(D11:D17)</f>
        <v>1.0600000000000023</v>
      </c>
      <c r="E18" s="272">
        <f>SUM(E11:E17)</f>
        <v>31333620.259999998</v>
      </c>
      <c r="F18" s="272">
        <f t="shared" ref="F18:I18" si="6">SUM(F11:F17)</f>
        <v>0</v>
      </c>
      <c r="G18" s="272">
        <f t="shared" si="6"/>
        <v>0</v>
      </c>
      <c r="H18" s="272">
        <f>SUM(H11:H17)</f>
        <v>1.0600000000000058</v>
      </c>
      <c r="I18" s="272">
        <f t="shared" si="6"/>
        <v>31333620.260000005</v>
      </c>
    </row>
    <row r="19" spans="1:9" x14ac:dyDescent="0.2">
      <c r="A19" s="214"/>
      <c r="D19" s="272"/>
      <c r="E19" s="272"/>
      <c r="F19" s="272"/>
      <c r="G19" s="272"/>
      <c r="H19" s="272"/>
      <c r="I19" s="272"/>
    </row>
    <row r="20" spans="1:9" x14ac:dyDescent="0.2">
      <c r="A20" s="214">
        <f>A18+1</f>
        <v>13</v>
      </c>
      <c r="B20" s="32" t="s">
        <v>6</v>
      </c>
      <c r="C20" s="32" t="s">
        <v>636</v>
      </c>
      <c r="D20" s="223">
        <v>-6.77</v>
      </c>
      <c r="E20" s="223">
        <v>753634.26</v>
      </c>
      <c r="F20" s="272">
        <f t="shared" ref="F20:G22" si="7">D20/SUM(D$20:D$22)*D$23</f>
        <v>6.7700000000000005</v>
      </c>
      <c r="G20" s="272">
        <f t="shared" si="7"/>
        <v>123244.92049812674</v>
      </c>
      <c r="H20" s="272">
        <f t="shared" ref="H20:I23" si="8">D20+F20</f>
        <v>0</v>
      </c>
      <c r="I20" s="272">
        <f t="shared" si="8"/>
        <v>876879.18049812678</v>
      </c>
    </row>
    <row r="21" spans="1:9" x14ac:dyDescent="0.2">
      <c r="A21" s="214">
        <f>A20+1</f>
        <v>14</v>
      </c>
      <c r="C21" s="32" t="s">
        <v>638</v>
      </c>
      <c r="D21" s="223">
        <v>0</v>
      </c>
      <c r="E21" s="223">
        <v>54560.810000000005</v>
      </c>
      <c r="F21" s="272">
        <f t="shared" si="7"/>
        <v>0</v>
      </c>
      <c r="G21" s="272">
        <f t="shared" si="7"/>
        <v>8922.5544108934209</v>
      </c>
      <c r="H21" s="272">
        <f t="shared" ref="H21" si="9">D21+F21</f>
        <v>0</v>
      </c>
      <c r="I21" s="272">
        <f t="shared" ref="I21" si="10">E21+G21</f>
        <v>63483.364410893424</v>
      </c>
    </row>
    <row r="22" spans="1:9" x14ac:dyDescent="0.2">
      <c r="A22" s="214">
        <f>A21+1</f>
        <v>15</v>
      </c>
      <c r="C22" s="32" t="s">
        <v>632</v>
      </c>
      <c r="D22" s="223">
        <v>8.1999999999999993</v>
      </c>
      <c r="E22" s="223">
        <v>43501.41</v>
      </c>
      <c r="F22" s="272">
        <f t="shared" si="7"/>
        <v>-8.2000000000000011</v>
      </c>
      <c r="G22" s="272">
        <f t="shared" si="7"/>
        <v>7113.9650909798293</v>
      </c>
      <c r="H22" s="272">
        <f t="shared" si="8"/>
        <v>0</v>
      </c>
      <c r="I22" s="272">
        <f t="shared" si="8"/>
        <v>50615.375090979833</v>
      </c>
    </row>
    <row r="23" spans="1:9" x14ac:dyDescent="0.2">
      <c r="A23" s="77">
        <f>A22+1</f>
        <v>16</v>
      </c>
      <c r="B23" s="31"/>
      <c r="C23" s="31" t="s">
        <v>717</v>
      </c>
      <c r="D23" s="273">
        <v>-1.43</v>
      </c>
      <c r="E23" s="273">
        <v>139281.44</v>
      </c>
      <c r="F23" s="274">
        <f>-D23</f>
        <v>1.43</v>
      </c>
      <c r="G23" s="274">
        <f>-E23</f>
        <v>-139281.44</v>
      </c>
      <c r="H23" s="274">
        <f t="shared" si="8"/>
        <v>0</v>
      </c>
      <c r="I23" s="274">
        <f>E23+G23</f>
        <v>0</v>
      </c>
    </row>
    <row r="24" spans="1:9" x14ac:dyDescent="0.2">
      <c r="A24" s="214">
        <f>A23+1</f>
        <v>17</v>
      </c>
      <c r="D24" s="272">
        <f t="shared" ref="D24:I24" si="11">SUM(D20:D23)</f>
        <v>0</v>
      </c>
      <c r="E24" s="272">
        <f t="shared" si="11"/>
        <v>990977.92000000016</v>
      </c>
      <c r="F24" s="272">
        <f t="shared" si="11"/>
        <v>0</v>
      </c>
      <c r="G24" s="272">
        <f t="shared" si="11"/>
        <v>0</v>
      </c>
      <c r="H24" s="272">
        <f t="shared" si="11"/>
        <v>0</v>
      </c>
      <c r="I24" s="272">
        <f t="shared" si="11"/>
        <v>990977.92</v>
      </c>
    </row>
    <row r="25" spans="1:9" x14ac:dyDescent="0.2">
      <c r="A25" s="214"/>
      <c r="D25" s="272"/>
      <c r="E25" s="272"/>
      <c r="F25" s="272"/>
      <c r="G25" s="272"/>
      <c r="H25" s="272"/>
      <c r="I25" s="272"/>
    </row>
    <row r="26" spans="1:9" x14ac:dyDescent="0.2">
      <c r="A26" s="214">
        <f>A24+1</f>
        <v>18</v>
      </c>
      <c r="B26" s="32" t="s">
        <v>719</v>
      </c>
      <c r="C26" s="32" t="s">
        <v>636</v>
      </c>
      <c r="D26" s="223">
        <v>0</v>
      </c>
      <c r="E26" s="223">
        <v>13507.770000000002</v>
      </c>
      <c r="F26" s="272">
        <v>0</v>
      </c>
      <c r="G26" s="272">
        <f>E26/SUM(E$26:E$26)*E$28</f>
        <v>0</v>
      </c>
      <c r="H26" s="272">
        <f t="shared" ref="H26:H28" si="12">D26+F26</f>
        <v>0</v>
      </c>
      <c r="I26" s="272">
        <f>E26+G26</f>
        <v>13507.770000000002</v>
      </c>
    </row>
    <row r="27" spans="1:9" x14ac:dyDescent="0.2">
      <c r="A27" s="214">
        <f>A26+1</f>
        <v>19</v>
      </c>
      <c r="C27" s="32" t="s">
        <v>632</v>
      </c>
      <c r="D27" s="223">
        <v>0</v>
      </c>
      <c r="E27" s="223">
        <v>7890.2300000000005</v>
      </c>
      <c r="F27" s="272">
        <v>0</v>
      </c>
      <c r="G27" s="272">
        <f>E27/SUM(E$26:E$27)*E$28</f>
        <v>0</v>
      </c>
      <c r="H27" s="272">
        <f t="shared" si="12"/>
        <v>0</v>
      </c>
      <c r="I27" s="272">
        <f>E27+G27</f>
        <v>7890.2300000000005</v>
      </c>
    </row>
    <row r="28" spans="1:9" x14ac:dyDescent="0.2">
      <c r="A28" s="77">
        <f>A27+1</f>
        <v>20</v>
      </c>
      <c r="B28" s="31"/>
      <c r="C28" s="31" t="s">
        <v>717</v>
      </c>
      <c r="D28" s="273">
        <v>0</v>
      </c>
      <c r="E28" s="273">
        <v>0</v>
      </c>
      <c r="F28" s="274">
        <f>-D28</f>
        <v>0</v>
      </c>
      <c r="G28" s="274">
        <f>-E28</f>
        <v>0</v>
      </c>
      <c r="H28" s="274">
        <f t="shared" si="12"/>
        <v>0</v>
      </c>
      <c r="I28" s="274">
        <f>E28+G28</f>
        <v>0</v>
      </c>
    </row>
    <row r="29" spans="1:9" x14ac:dyDescent="0.2">
      <c r="A29" s="214">
        <f>A28+1</f>
        <v>21</v>
      </c>
      <c r="D29" s="272">
        <f t="shared" ref="D29:I29" si="13">SUM(D26:D28)</f>
        <v>0</v>
      </c>
      <c r="E29" s="272">
        <f t="shared" si="13"/>
        <v>21398.000000000004</v>
      </c>
      <c r="F29" s="272">
        <f t="shared" si="13"/>
        <v>0</v>
      </c>
      <c r="G29" s="272">
        <f t="shared" si="13"/>
        <v>0</v>
      </c>
      <c r="H29" s="272">
        <f t="shared" si="13"/>
        <v>0</v>
      </c>
      <c r="I29" s="272">
        <f t="shared" si="13"/>
        <v>21398.000000000004</v>
      </c>
    </row>
    <row r="30" spans="1:9" x14ac:dyDescent="0.2">
      <c r="A30" s="214"/>
      <c r="D30" s="272"/>
      <c r="E30" s="272"/>
      <c r="F30" s="272"/>
      <c r="G30" s="272"/>
      <c r="H30" s="272"/>
      <c r="I30" s="272"/>
    </row>
    <row r="31" spans="1:9" x14ac:dyDescent="0.2">
      <c r="A31" s="214">
        <f>A29+1</f>
        <v>22</v>
      </c>
      <c r="B31" s="32" t="s">
        <v>720</v>
      </c>
      <c r="C31" s="32" t="s">
        <v>645</v>
      </c>
      <c r="D31" s="223">
        <v>-26.8</v>
      </c>
      <c r="E31" s="223">
        <v>0</v>
      </c>
      <c r="F31" s="272">
        <f>D31/SUM(D$31:D$32)*D$33</f>
        <v>26.8</v>
      </c>
      <c r="G31" s="272">
        <v>0</v>
      </c>
      <c r="H31" s="272">
        <f t="shared" ref="H31:I33" si="14">D31+F31</f>
        <v>0</v>
      </c>
      <c r="I31" s="272">
        <f t="shared" si="14"/>
        <v>0</v>
      </c>
    </row>
    <row r="32" spans="1:9" x14ac:dyDescent="0.2">
      <c r="A32" s="214">
        <f>A31+1</f>
        <v>23</v>
      </c>
      <c r="C32" s="32" t="s">
        <v>647</v>
      </c>
      <c r="D32" s="223">
        <v>9.92</v>
      </c>
      <c r="E32" s="223">
        <v>0</v>
      </c>
      <c r="F32" s="272">
        <f>D32/SUM(D$31:D$32)*D$33</f>
        <v>-9.9200000000000017</v>
      </c>
      <c r="G32" s="272">
        <v>0</v>
      </c>
      <c r="H32" s="272">
        <f t="shared" si="14"/>
        <v>0</v>
      </c>
      <c r="I32" s="272">
        <f t="shared" si="14"/>
        <v>0</v>
      </c>
    </row>
    <row r="33" spans="1:16" x14ac:dyDescent="0.2">
      <c r="A33" s="77">
        <f>A32+1</f>
        <v>24</v>
      </c>
      <c r="B33" s="31"/>
      <c r="C33" s="31" t="s">
        <v>717</v>
      </c>
      <c r="D33" s="273">
        <v>16.880000000000003</v>
      </c>
      <c r="E33" s="273">
        <v>0</v>
      </c>
      <c r="F33" s="274">
        <f>-D33</f>
        <v>-16.880000000000003</v>
      </c>
      <c r="G33" s="274">
        <v>0</v>
      </c>
      <c r="H33" s="274">
        <f t="shared" si="14"/>
        <v>0</v>
      </c>
      <c r="I33" s="274">
        <f t="shared" si="14"/>
        <v>0</v>
      </c>
    </row>
    <row r="34" spans="1:16" x14ac:dyDescent="0.2">
      <c r="A34" s="214">
        <f>A33+1</f>
        <v>25</v>
      </c>
      <c r="D34" s="272">
        <f>SUM(D31:D33)</f>
        <v>0</v>
      </c>
      <c r="E34" s="272">
        <f t="shared" ref="E34:H34" si="15">SUM(E31:E33)</f>
        <v>0</v>
      </c>
      <c r="F34" s="272">
        <f t="shared" si="15"/>
        <v>0</v>
      </c>
      <c r="G34" s="272">
        <f t="shared" si="15"/>
        <v>0</v>
      </c>
      <c r="H34" s="272">
        <f t="shared" si="15"/>
        <v>0</v>
      </c>
      <c r="I34" s="272">
        <f>SUM(I31:I33)</f>
        <v>0</v>
      </c>
    </row>
    <row r="35" spans="1:16" x14ac:dyDescent="0.2">
      <c r="A35" s="214"/>
      <c r="D35" s="272"/>
      <c r="E35" s="272"/>
      <c r="F35" s="272"/>
      <c r="G35" s="272"/>
      <c r="H35" s="272"/>
      <c r="I35" s="272"/>
    </row>
    <row r="36" spans="1:16" x14ac:dyDescent="0.2">
      <c r="A36" s="214">
        <f>A34+1</f>
        <v>26</v>
      </c>
      <c r="B36" s="32" t="s">
        <v>721</v>
      </c>
      <c r="C36" s="32" t="s">
        <v>645</v>
      </c>
      <c r="D36" s="223">
        <v>0</v>
      </c>
      <c r="E36" s="223">
        <v>0</v>
      </c>
      <c r="F36" s="272">
        <v>0</v>
      </c>
      <c r="G36" s="272">
        <v>0</v>
      </c>
      <c r="H36" s="272">
        <f t="shared" ref="H36:I38" si="16">D36+F36</f>
        <v>0</v>
      </c>
      <c r="I36" s="272">
        <f t="shared" si="16"/>
        <v>0</v>
      </c>
    </row>
    <row r="37" spans="1:16" x14ac:dyDescent="0.2">
      <c r="A37" s="214">
        <f>A36+1</f>
        <v>27</v>
      </c>
      <c r="C37" s="32" t="s">
        <v>647</v>
      </c>
      <c r="D37" s="223">
        <v>0</v>
      </c>
      <c r="E37" s="223">
        <v>0</v>
      </c>
      <c r="F37" s="272">
        <v>0</v>
      </c>
      <c r="G37" s="272">
        <v>0</v>
      </c>
      <c r="H37" s="272">
        <f t="shared" si="16"/>
        <v>0</v>
      </c>
      <c r="I37" s="272">
        <f t="shared" si="16"/>
        <v>0</v>
      </c>
      <c r="K37" s="145"/>
      <c r="L37" s="145"/>
      <c r="M37" s="145"/>
      <c r="N37" s="145"/>
      <c r="O37" s="145"/>
      <c r="P37" s="145"/>
    </row>
    <row r="38" spans="1:16" x14ac:dyDescent="0.2">
      <c r="A38" s="77">
        <f>A37+1</f>
        <v>28</v>
      </c>
      <c r="B38" s="31"/>
      <c r="C38" s="31" t="s">
        <v>717</v>
      </c>
      <c r="D38" s="273">
        <v>0</v>
      </c>
      <c r="E38" s="273">
        <v>0</v>
      </c>
      <c r="F38" s="274">
        <f>-D38</f>
        <v>0</v>
      </c>
      <c r="G38" s="274">
        <v>0</v>
      </c>
      <c r="H38" s="274">
        <f t="shared" si="16"/>
        <v>0</v>
      </c>
      <c r="I38" s="274">
        <f t="shared" si="16"/>
        <v>0</v>
      </c>
      <c r="K38" s="145"/>
      <c r="L38" s="145"/>
      <c r="M38" s="145"/>
      <c r="N38" s="145"/>
      <c r="O38" s="145"/>
      <c r="P38" s="145"/>
    </row>
    <row r="39" spans="1:16" x14ac:dyDescent="0.2">
      <c r="A39" s="214">
        <f t="shared" ref="A39" si="17">A38+1</f>
        <v>29</v>
      </c>
      <c r="D39" s="272">
        <f t="shared" ref="D39:G39" si="18">SUM(D36:D38)</f>
        <v>0</v>
      </c>
      <c r="E39" s="272">
        <f t="shared" si="18"/>
        <v>0</v>
      </c>
      <c r="F39" s="272">
        <f t="shared" si="18"/>
        <v>0</v>
      </c>
      <c r="G39" s="272">
        <f t="shared" si="18"/>
        <v>0</v>
      </c>
      <c r="H39" s="272">
        <f>SUM(H36:H38)</f>
        <v>0</v>
      </c>
      <c r="I39" s="272">
        <f>SUM(I36:I38)</f>
        <v>0</v>
      </c>
      <c r="K39" s="145"/>
      <c r="L39" s="145"/>
      <c r="M39" s="145"/>
      <c r="N39" s="145"/>
      <c r="O39" s="145"/>
      <c r="P39" s="145"/>
    </row>
    <row r="40" spans="1:16" x14ac:dyDescent="0.2">
      <c r="A40" s="214"/>
      <c r="D40" s="272"/>
      <c r="E40" s="272"/>
      <c r="F40" s="272"/>
      <c r="G40" s="272"/>
      <c r="H40" s="272"/>
      <c r="I40" s="272"/>
      <c r="K40" s="145"/>
      <c r="L40" s="145"/>
      <c r="M40" s="145"/>
      <c r="N40" s="145"/>
      <c r="O40" s="145"/>
      <c r="P40" s="145"/>
    </row>
    <row r="41" spans="1:16" x14ac:dyDescent="0.2">
      <c r="A41" s="214">
        <f>A39+1</f>
        <v>30</v>
      </c>
      <c r="B41" s="32" t="s">
        <v>722</v>
      </c>
      <c r="C41" s="32" t="s">
        <v>645</v>
      </c>
      <c r="D41" s="223">
        <v>-6.36</v>
      </c>
      <c r="E41" s="223">
        <v>0</v>
      </c>
      <c r="F41" s="272">
        <f>D41/SUM(D$41:D$42)*D$43</f>
        <v>6.36</v>
      </c>
      <c r="G41" s="272">
        <v>0</v>
      </c>
      <c r="H41" s="272">
        <f t="shared" ref="H41:I43" si="19">D41+F41</f>
        <v>0</v>
      </c>
      <c r="I41" s="272">
        <f t="shared" si="19"/>
        <v>0</v>
      </c>
      <c r="K41" s="145"/>
      <c r="L41" s="145"/>
      <c r="M41" s="145"/>
      <c r="N41" s="145"/>
      <c r="O41" s="145"/>
      <c r="P41" s="145"/>
    </row>
    <row r="42" spans="1:16" x14ac:dyDescent="0.2">
      <c r="A42" s="214">
        <f>A41+1</f>
        <v>31</v>
      </c>
      <c r="C42" s="32" t="s">
        <v>647</v>
      </c>
      <c r="D42" s="223">
        <v>0.08</v>
      </c>
      <c r="E42" s="223">
        <v>0</v>
      </c>
      <c r="F42" s="272">
        <f>D42/SUM(D$41:D$42)*D$43</f>
        <v>-0.08</v>
      </c>
      <c r="G42" s="272">
        <v>0</v>
      </c>
      <c r="H42" s="272">
        <f t="shared" si="19"/>
        <v>0</v>
      </c>
      <c r="I42" s="272">
        <f t="shared" si="19"/>
        <v>0</v>
      </c>
      <c r="K42" s="145"/>
      <c r="L42" s="145"/>
      <c r="M42" s="145"/>
      <c r="N42" s="145"/>
      <c r="O42" s="145"/>
      <c r="P42" s="145"/>
    </row>
    <row r="43" spans="1:16" x14ac:dyDescent="0.2">
      <c r="A43" s="77">
        <f>A42+1</f>
        <v>32</v>
      </c>
      <c r="B43" s="31"/>
      <c r="C43" s="31" t="s">
        <v>717</v>
      </c>
      <c r="D43" s="273">
        <v>6.28</v>
      </c>
      <c r="E43" s="273">
        <v>0</v>
      </c>
      <c r="F43" s="274">
        <f>-D43</f>
        <v>-6.28</v>
      </c>
      <c r="G43" s="274">
        <v>0</v>
      </c>
      <c r="H43" s="274">
        <f t="shared" si="19"/>
        <v>0</v>
      </c>
      <c r="I43" s="274">
        <f t="shared" si="19"/>
        <v>0</v>
      </c>
      <c r="K43" s="145"/>
      <c r="L43" s="145"/>
      <c r="M43" s="145"/>
      <c r="N43" s="145"/>
      <c r="O43" s="145"/>
      <c r="P43" s="145"/>
    </row>
    <row r="44" spans="1:16" x14ac:dyDescent="0.2">
      <c r="A44" s="214">
        <f>A43+1</f>
        <v>33</v>
      </c>
      <c r="D44" s="272">
        <f>SUM(D41:D43)</f>
        <v>0</v>
      </c>
      <c r="E44" s="272">
        <f t="shared" ref="E44:G44" si="20">SUM(E41:E43)</f>
        <v>0</v>
      </c>
      <c r="F44" s="272">
        <f t="shared" si="20"/>
        <v>0</v>
      </c>
      <c r="G44" s="272">
        <f t="shared" si="20"/>
        <v>0</v>
      </c>
      <c r="H44" s="272">
        <f>SUM(H41:H43)</f>
        <v>0</v>
      </c>
      <c r="I44" s="272">
        <f>SUM(I41:I43)</f>
        <v>0</v>
      </c>
      <c r="K44" s="145"/>
      <c r="L44" s="145"/>
      <c r="M44" s="145"/>
      <c r="N44" s="145"/>
      <c r="O44" s="145"/>
      <c r="P44" s="145"/>
    </row>
    <row r="45" spans="1:16" x14ac:dyDescent="0.2">
      <c r="A45" s="214"/>
      <c r="D45" s="272"/>
      <c r="E45" s="272"/>
      <c r="F45" s="272"/>
      <c r="G45" s="272"/>
      <c r="H45" s="272"/>
      <c r="I45" s="272"/>
      <c r="K45" s="145"/>
      <c r="L45" s="145"/>
      <c r="M45" s="145"/>
      <c r="N45" s="145"/>
      <c r="O45" s="145"/>
      <c r="P45" s="145"/>
    </row>
    <row r="46" spans="1:16" x14ac:dyDescent="0.2">
      <c r="A46" s="214">
        <f>A44+1</f>
        <v>34</v>
      </c>
      <c r="B46" s="32" t="s">
        <v>716</v>
      </c>
      <c r="D46" s="272">
        <f>D9</f>
        <v>-1.0600000000000165</v>
      </c>
      <c r="E46" s="272">
        <f>E9</f>
        <v>46243231.550000004</v>
      </c>
      <c r="F46" s="272">
        <f>F9</f>
        <v>0</v>
      </c>
      <c r="G46" s="272">
        <f>G9</f>
        <v>0</v>
      </c>
      <c r="H46" s="272">
        <f t="shared" ref="H46:I50" si="21">D46+F46</f>
        <v>-1.0600000000000165</v>
      </c>
      <c r="I46" s="272">
        <f t="shared" si="21"/>
        <v>46243231.550000004</v>
      </c>
      <c r="K46" s="145"/>
      <c r="L46" s="145"/>
      <c r="M46" s="145"/>
      <c r="N46" s="145"/>
      <c r="O46" s="145"/>
      <c r="P46" s="145"/>
    </row>
    <row r="47" spans="1:16" x14ac:dyDescent="0.2">
      <c r="A47" s="214">
        <f>A46+1</f>
        <v>35</v>
      </c>
      <c r="B47" s="32" t="s">
        <v>718</v>
      </c>
      <c r="D47" s="272">
        <f>D18</f>
        <v>1.0600000000000023</v>
      </c>
      <c r="E47" s="272">
        <f>E18</f>
        <v>31333620.259999998</v>
      </c>
      <c r="F47" s="272">
        <f>F18</f>
        <v>0</v>
      </c>
      <c r="G47" s="272">
        <f>G18</f>
        <v>0</v>
      </c>
      <c r="H47" s="272">
        <f t="shared" si="21"/>
        <v>1.0600000000000023</v>
      </c>
      <c r="I47" s="272">
        <f t="shared" si="21"/>
        <v>31333620.259999998</v>
      </c>
      <c r="K47" s="145"/>
      <c r="L47" s="145"/>
      <c r="M47" s="145"/>
      <c r="N47" s="145"/>
      <c r="O47" s="145"/>
      <c r="P47" s="145"/>
    </row>
    <row r="48" spans="1:16" x14ac:dyDescent="0.2">
      <c r="A48" s="214">
        <f t="shared" ref="A48:A52" si="22">A47+1</f>
        <v>36</v>
      </c>
      <c r="B48" s="32" t="s">
        <v>6</v>
      </c>
      <c r="D48" s="272">
        <f>D24</f>
        <v>0</v>
      </c>
      <c r="E48" s="272">
        <f>E24</f>
        <v>990977.92000000016</v>
      </c>
      <c r="F48" s="272">
        <f>F24</f>
        <v>0</v>
      </c>
      <c r="G48" s="272">
        <f>G24</f>
        <v>0</v>
      </c>
      <c r="H48" s="272">
        <f t="shared" si="21"/>
        <v>0</v>
      </c>
      <c r="I48" s="272">
        <f t="shared" si="21"/>
        <v>990977.92000000016</v>
      </c>
      <c r="K48" s="145"/>
      <c r="L48" s="145"/>
      <c r="M48" s="145"/>
      <c r="N48" s="145"/>
      <c r="O48" s="145"/>
      <c r="P48" s="145"/>
    </row>
    <row r="49" spans="1:21" x14ac:dyDescent="0.2">
      <c r="A49" s="214">
        <f t="shared" si="22"/>
        <v>37</v>
      </c>
      <c r="B49" s="32" t="s">
        <v>719</v>
      </c>
      <c r="D49" s="272">
        <f>D29</f>
        <v>0</v>
      </c>
      <c r="E49" s="272">
        <f>E29</f>
        <v>21398.000000000004</v>
      </c>
      <c r="F49" s="272">
        <f>F29</f>
        <v>0</v>
      </c>
      <c r="G49" s="272">
        <f>G29</f>
        <v>0</v>
      </c>
      <c r="H49" s="272">
        <f t="shared" si="21"/>
        <v>0</v>
      </c>
      <c r="I49" s="272">
        <f t="shared" si="21"/>
        <v>21398.000000000004</v>
      </c>
      <c r="K49" s="145"/>
      <c r="L49" s="145"/>
      <c r="M49" s="145"/>
      <c r="N49" s="145"/>
      <c r="O49" s="145"/>
      <c r="P49" s="145"/>
    </row>
    <row r="50" spans="1:21" x14ac:dyDescent="0.2">
      <c r="A50" s="214">
        <f t="shared" si="22"/>
        <v>38</v>
      </c>
      <c r="B50" s="32" t="s">
        <v>720</v>
      </c>
      <c r="D50" s="272">
        <f>D34</f>
        <v>0</v>
      </c>
      <c r="E50" s="272">
        <f>E34</f>
        <v>0</v>
      </c>
      <c r="F50" s="272">
        <f>F34</f>
        <v>0</v>
      </c>
      <c r="G50" s="272">
        <f>G34</f>
        <v>0</v>
      </c>
      <c r="H50" s="272">
        <f t="shared" si="21"/>
        <v>0</v>
      </c>
      <c r="I50" s="272">
        <f t="shared" si="21"/>
        <v>0</v>
      </c>
      <c r="K50" s="145"/>
      <c r="L50" s="145"/>
      <c r="M50" s="145"/>
      <c r="N50" s="145"/>
      <c r="O50" s="145"/>
      <c r="P50" s="145"/>
    </row>
    <row r="51" spans="1:21" x14ac:dyDescent="0.2">
      <c r="A51" s="214">
        <f t="shared" si="22"/>
        <v>39</v>
      </c>
      <c r="B51" s="32" t="s">
        <v>721</v>
      </c>
      <c r="D51" s="272">
        <f>D39</f>
        <v>0</v>
      </c>
      <c r="E51" s="272">
        <f t="shared" ref="E51:I51" si="23">E39</f>
        <v>0</v>
      </c>
      <c r="F51" s="272">
        <f t="shared" si="23"/>
        <v>0</v>
      </c>
      <c r="G51" s="272">
        <f t="shared" si="23"/>
        <v>0</v>
      </c>
      <c r="H51" s="272">
        <f t="shared" si="23"/>
        <v>0</v>
      </c>
      <c r="I51" s="272">
        <f t="shared" si="23"/>
        <v>0</v>
      </c>
      <c r="K51" s="145"/>
      <c r="L51" s="145"/>
      <c r="M51" s="145"/>
      <c r="N51" s="145"/>
      <c r="O51" s="145"/>
      <c r="P51" s="145"/>
    </row>
    <row r="52" spans="1:21" x14ac:dyDescent="0.2">
      <c r="A52" s="214">
        <f t="shared" si="22"/>
        <v>40</v>
      </c>
      <c r="B52" s="32" t="s">
        <v>722</v>
      </c>
      <c r="D52" s="272">
        <f>D44</f>
        <v>0</v>
      </c>
      <c r="E52" s="272">
        <f t="shared" ref="E52:I52" si="24">E44</f>
        <v>0</v>
      </c>
      <c r="F52" s="272">
        <f t="shared" si="24"/>
        <v>0</v>
      </c>
      <c r="G52" s="272">
        <f t="shared" si="24"/>
        <v>0</v>
      </c>
      <c r="H52" s="272">
        <f t="shared" si="24"/>
        <v>0</v>
      </c>
      <c r="I52" s="272">
        <f t="shared" si="24"/>
        <v>0</v>
      </c>
      <c r="K52" s="145"/>
      <c r="L52" s="145"/>
      <c r="M52" s="145"/>
      <c r="N52" s="145"/>
      <c r="O52" s="145"/>
      <c r="P52" s="145"/>
    </row>
    <row r="53" spans="1:21" x14ac:dyDescent="0.2">
      <c r="A53" s="214"/>
      <c r="D53" s="272"/>
      <c r="E53" s="272"/>
      <c r="F53" s="272"/>
      <c r="G53" s="272"/>
      <c r="H53" s="272"/>
      <c r="I53" s="272"/>
      <c r="K53" s="145"/>
      <c r="L53" s="145"/>
      <c r="M53" s="145"/>
      <c r="N53" s="145"/>
      <c r="O53" s="145"/>
      <c r="P53" s="145"/>
    </row>
    <row r="54" spans="1:21" x14ac:dyDescent="0.2">
      <c r="A54" s="214">
        <f>A52+1</f>
        <v>41</v>
      </c>
      <c r="B54" s="32" t="s">
        <v>723</v>
      </c>
      <c r="D54" s="272">
        <f t="shared" ref="D54:I54" si="25">SUM(D46:D52)-D49</f>
        <v>-1.4210854715202004E-14</v>
      </c>
      <c r="E54" s="272">
        <f>SUM(E46:E52)-E49</f>
        <v>78567829.730000004</v>
      </c>
      <c r="F54" s="272">
        <f t="shared" si="25"/>
        <v>0</v>
      </c>
      <c r="G54" s="272">
        <f t="shared" si="25"/>
        <v>0</v>
      </c>
      <c r="H54" s="272">
        <f t="shared" si="25"/>
        <v>-1.4210854715202004E-14</v>
      </c>
      <c r="I54" s="272">
        <f t="shared" si="25"/>
        <v>78567829.730000004</v>
      </c>
      <c r="K54" s="145"/>
      <c r="L54" s="145"/>
      <c r="M54" s="145"/>
      <c r="N54" s="145"/>
      <c r="O54" s="145"/>
      <c r="P54" s="145"/>
    </row>
    <row r="55" spans="1:21" x14ac:dyDescent="0.2">
      <c r="A55" s="214"/>
      <c r="D55" s="272"/>
      <c r="E55" s="275"/>
      <c r="F55" s="272"/>
      <c r="G55" s="272"/>
      <c r="H55" s="272"/>
      <c r="I55" s="272"/>
      <c r="K55" s="145"/>
      <c r="L55" s="145"/>
      <c r="M55" s="145"/>
      <c r="N55" s="145"/>
      <c r="O55" s="145"/>
      <c r="P55" s="145"/>
    </row>
    <row r="56" spans="1:21" x14ac:dyDescent="0.2">
      <c r="A56" s="214">
        <f>A54+1</f>
        <v>42</v>
      </c>
      <c r="B56" s="32" t="s">
        <v>724</v>
      </c>
      <c r="D56" s="272">
        <f t="shared" ref="D56:G62" si="26">-D46</f>
        <v>1.0600000000000165</v>
      </c>
      <c r="E56" s="272">
        <f>-E46</f>
        <v>-46243231.550000004</v>
      </c>
      <c r="F56" s="272">
        <f t="shared" si="26"/>
        <v>0</v>
      </c>
      <c r="G56" s="272">
        <f t="shared" si="26"/>
        <v>0</v>
      </c>
      <c r="H56" s="272">
        <f t="shared" ref="H56:I60" si="27">D56+F56</f>
        <v>1.0600000000000165</v>
      </c>
      <c r="I56" s="272">
        <f t="shared" si="27"/>
        <v>-46243231.550000004</v>
      </c>
      <c r="K56" s="145"/>
      <c r="L56" s="145"/>
      <c r="M56" s="145"/>
      <c r="N56" s="145"/>
      <c r="O56" s="145"/>
      <c r="P56" s="145"/>
    </row>
    <row r="57" spans="1:21" x14ac:dyDescent="0.2">
      <c r="A57" s="214">
        <f>A56+1</f>
        <v>43</v>
      </c>
      <c r="B57" s="32" t="s">
        <v>725</v>
      </c>
      <c r="D57" s="272">
        <f t="shared" si="26"/>
        <v>-1.0600000000000023</v>
      </c>
      <c r="E57" s="272">
        <f t="shared" si="26"/>
        <v>-31333620.259999998</v>
      </c>
      <c r="F57" s="272">
        <f t="shared" si="26"/>
        <v>0</v>
      </c>
      <c r="G57" s="272">
        <f t="shared" si="26"/>
        <v>0</v>
      </c>
      <c r="H57" s="272">
        <f t="shared" si="27"/>
        <v>-1.0600000000000023</v>
      </c>
      <c r="I57" s="272">
        <f t="shared" si="27"/>
        <v>-31333620.259999998</v>
      </c>
      <c r="K57" s="145"/>
      <c r="L57" s="145"/>
      <c r="M57" s="145"/>
      <c r="N57" s="145"/>
      <c r="O57" s="145"/>
      <c r="P57" s="145"/>
    </row>
    <row r="58" spans="1:21" x14ac:dyDescent="0.2">
      <c r="A58" s="214">
        <f t="shared" ref="A58:A62" si="28">A57+1</f>
        <v>44</v>
      </c>
      <c r="B58" s="32" t="s">
        <v>726</v>
      </c>
      <c r="D58" s="272">
        <f t="shared" si="26"/>
        <v>0</v>
      </c>
      <c r="E58" s="272">
        <f t="shared" si="26"/>
        <v>-990977.92000000016</v>
      </c>
      <c r="F58" s="272">
        <f t="shared" si="26"/>
        <v>0</v>
      </c>
      <c r="G58" s="272">
        <f t="shared" si="26"/>
        <v>0</v>
      </c>
      <c r="H58" s="272">
        <f t="shared" si="27"/>
        <v>0</v>
      </c>
      <c r="I58" s="272">
        <f t="shared" si="27"/>
        <v>-990977.92000000016</v>
      </c>
    </row>
    <row r="59" spans="1:21" x14ac:dyDescent="0.2">
      <c r="A59" s="214">
        <f t="shared" si="28"/>
        <v>45</v>
      </c>
      <c r="B59" s="32" t="s">
        <v>727</v>
      </c>
      <c r="D59" s="272">
        <f t="shared" si="26"/>
        <v>0</v>
      </c>
      <c r="E59" s="272">
        <f t="shared" si="26"/>
        <v>-21398.000000000004</v>
      </c>
      <c r="F59" s="272">
        <f t="shared" si="26"/>
        <v>0</v>
      </c>
      <c r="G59" s="272">
        <f t="shared" si="26"/>
        <v>0</v>
      </c>
      <c r="H59" s="272">
        <f t="shared" si="27"/>
        <v>0</v>
      </c>
      <c r="I59" s="272">
        <f t="shared" si="27"/>
        <v>-21398.000000000004</v>
      </c>
    </row>
    <row r="60" spans="1:21" x14ac:dyDescent="0.2">
      <c r="A60" s="214">
        <f t="shared" si="28"/>
        <v>46</v>
      </c>
      <c r="B60" s="32" t="s">
        <v>728</v>
      </c>
      <c r="D60" s="272">
        <f t="shared" si="26"/>
        <v>0</v>
      </c>
      <c r="E60" s="272">
        <f t="shared" si="26"/>
        <v>0</v>
      </c>
      <c r="F60" s="272">
        <f t="shared" si="26"/>
        <v>0</v>
      </c>
      <c r="G60" s="272">
        <f t="shared" si="26"/>
        <v>0</v>
      </c>
      <c r="H60" s="272">
        <f t="shared" si="27"/>
        <v>0</v>
      </c>
      <c r="I60" s="272">
        <f t="shared" si="27"/>
        <v>0</v>
      </c>
    </row>
    <row r="61" spans="1:21" x14ac:dyDescent="0.2">
      <c r="A61" s="214">
        <f t="shared" si="28"/>
        <v>47</v>
      </c>
      <c r="B61" s="32" t="s">
        <v>729</v>
      </c>
      <c r="D61" s="272">
        <f t="shared" si="26"/>
        <v>0</v>
      </c>
      <c r="E61" s="272">
        <f t="shared" si="26"/>
        <v>0</v>
      </c>
      <c r="F61" s="272">
        <f t="shared" si="26"/>
        <v>0</v>
      </c>
      <c r="G61" s="272">
        <f t="shared" si="26"/>
        <v>0</v>
      </c>
      <c r="H61" s="272">
        <f t="shared" ref="H61" si="29">D61+F61</f>
        <v>0</v>
      </c>
      <c r="I61" s="272">
        <f t="shared" ref="I61" si="30">E61+G61</f>
        <v>0</v>
      </c>
    </row>
    <row r="62" spans="1:21" x14ac:dyDescent="0.2">
      <c r="A62" s="214">
        <f t="shared" si="28"/>
        <v>48</v>
      </c>
      <c r="B62" s="32" t="s">
        <v>730</v>
      </c>
      <c r="D62" s="272">
        <f t="shared" si="26"/>
        <v>0</v>
      </c>
      <c r="E62" s="272">
        <f t="shared" si="26"/>
        <v>0</v>
      </c>
      <c r="F62" s="272">
        <f t="shared" si="26"/>
        <v>0</v>
      </c>
      <c r="G62" s="272">
        <f t="shared" si="26"/>
        <v>0</v>
      </c>
      <c r="H62" s="272">
        <f t="shared" ref="H62" si="31">D62+F62</f>
        <v>0</v>
      </c>
      <c r="I62" s="272">
        <f t="shared" ref="I62" si="32">E62+G62</f>
        <v>0</v>
      </c>
    </row>
    <row r="63" spans="1:21" x14ac:dyDescent="0.2">
      <c r="A63" s="214"/>
    </row>
    <row r="64" spans="1:21" x14ac:dyDescent="0.2">
      <c r="D64" s="32" t="s">
        <v>652</v>
      </c>
      <c r="E64" s="52"/>
      <c r="Q64" s="52"/>
      <c r="R64" s="276"/>
      <c r="T64" s="271"/>
      <c r="U64" s="271"/>
    </row>
    <row r="65" spans="4:21" x14ac:dyDescent="0.2">
      <c r="D65" s="32" t="s">
        <v>731</v>
      </c>
      <c r="E65" s="52"/>
      <c r="Q65" s="52"/>
      <c r="R65" s="276"/>
      <c r="T65" s="271"/>
      <c r="U65" s="271"/>
    </row>
    <row r="66" spans="4:21" x14ac:dyDescent="0.2">
      <c r="E66" s="52"/>
      <c r="Q66" s="52"/>
      <c r="R66" s="276"/>
      <c r="T66" s="271"/>
      <c r="U66" s="271"/>
    </row>
    <row r="67" spans="4:21" x14ac:dyDescent="0.2">
      <c r="D67" s="32" t="s">
        <v>732</v>
      </c>
      <c r="E67" s="52"/>
    </row>
    <row r="68" spans="4:21" x14ac:dyDescent="0.2">
      <c r="D68" s="32" t="s">
        <v>733</v>
      </c>
      <c r="E68" s="52"/>
    </row>
    <row r="69" spans="4:21" x14ac:dyDescent="0.2">
      <c r="D69" s="32" t="s">
        <v>734</v>
      </c>
      <c r="E69" s="52"/>
    </row>
    <row r="70" spans="4:21" x14ac:dyDescent="0.2">
      <c r="E70" s="52"/>
    </row>
    <row r="71" spans="4:21" x14ac:dyDescent="0.2">
      <c r="D71" s="32" t="s">
        <v>83</v>
      </c>
    </row>
    <row r="72" spans="4:21" x14ac:dyDescent="0.2">
      <c r="D72" s="32" t="s">
        <v>735</v>
      </c>
    </row>
    <row r="73" spans="4:21" x14ac:dyDescent="0.2">
      <c r="D73" s="32" t="s">
        <v>736</v>
      </c>
    </row>
    <row r="74" spans="4:21" x14ac:dyDescent="0.2">
      <c r="D74" s="32" t="s">
        <v>737</v>
      </c>
    </row>
    <row r="75" spans="4:21" x14ac:dyDescent="0.2">
      <c r="D75" s="32" t="s">
        <v>738</v>
      </c>
    </row>
  </sheetData>
  <pageMargins left="0.7" right="0.7" top="1.21875" bottom="0.75" header="0.3" footer="0.3"/>
  <pageSetup scale="60" pageOrder="overThenDown" orientation="landscape" useFirstPageNumber="1" r:id="rId1"/>
  <headerFooter>
    <oddHeader>&amp;CRULE 20:10:13:98
STATEMENT O WORKPAPER - Tab &amp;A
South Dakota Jurisdictional Rider Revenue by Rate Code
Test Year Ending December 31, 2021
Utility: MidAmerican Energy Company
Docket No. NG22-___
Individual Responsible: Amanda Hosch</oddHeader>
    <oddFooter>&amp;C20:10:13:98
Statement O Workpaper - Tab &amp;A
&amp;P of &amp;N</oddFooter>
  </headerFooter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03F8DD-8A7F-4F92-BA1F-F12F16086B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EDB5F7-F3F9-4AAF-AAD7-A2DEFE97C824}">
  <ds:schemaRefs>
    <ds:schemaRef ds:uri="ec465538-51ad-4a49-97bb-3af48443968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a6bdf0c3-ccba-4ad4-a261-da85c323314a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6B85A4A-7EFE-4B3B-89A5-929FA2CEE1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FUN-1 (Results)</vt:lpstr>
      <vt:lpstr>FUN-2 (Test Year)</vt:lpstr>
      <vt:lpstr>FUN-3 (Functional COS)</vt:lpstr>
      <vt:lpstr>FUN-4 (Functional Allocators)</vt:lpstr>
      <vt:lpstr>FUN-5 (Payroll)</vt:lpstr>
      <vt:lpstr>CLS1-1 (Class COS)</vt:lpstr>
      <vt:lpstr>SRC-1 (S.D. Sales)</vt:lpstr>
      <vt:lpstr>SRC-2 (S.D. Revenue)</vt:lpstr>
      <vt:lpstr>SRC-3 (S.D. Riders)</vt:lpstr>
      <vt:lpstr>SRC-4 (S.D. Customers)</vt:lpstr>
      <vt:lpstr>SRC-5 (Monthly Sales)</vt:lpstr>
      <vt:lpstr>ALO-1 (Design Day Peak)</vt:lpstr>
      <vt:lpstr>RD-1 (SV)</vt:lpstr>
      <vt:lpstr>RD-2 (MV)</vt:lpstr>
      <vt:lpstr>RD-3 (LV)</vt:lpstr>
      <vt:lpstr>RD-4 (MTR)</vt:lpstr>
      <vt:lpstr>RD-5 (INTRVL METER) </vt:lpstr>
      <vt:lpstr>RD-6 (NF RATE SCHEDULE)</vt:lpstr>
      <vt:lpstr>Billing Determinants</vt:lpstr>
      <vt:lpstr>Rate Summary</vt:lpstr>
      <vt:lpstr>AlocList</vt:lpstr>
      <vt:lpstr>AlocTable</vt:lpstr>
      <vt:lpstr>'RD-5 (INTRVL METER) '!Print_Area</vt:lpstr>
      <vt:lpstr>'RD-6 (NF RATE SCHEDULE)'!Print_Area</vt:lpstr>
      <vt:lpstr>'ALO-1 (Design Day Peak)'!Print_Titles</vt:lpstr>
      <vt:lpstr>'CLS1-1 (Class COS)'!Print_Titles</vt:lpstr>
      <vt:lpstr>'FUN-1 (Results)'!Print_Titles</vt:lpstr>
      <vt:lpstr>'FUN-2 (Test Year)'!Print_Titles</vt:lpstr>
      <vt:lpstr>'FUN-3 (Functional COS)'!Print_Titles</vt:lpstr>
      <vt:lpstr>'FUN-4 (Functional Allocators)'!Print_Titles</vt:lpstr>
      <vt:lpstr>'FUN-5 (Payroll)'!Print_Titles</vt:lpstr>
      <vt:lpstr>'RD-4 (MTR)'!Print_Titles</vt:lpstr>
      <vt:lpstr>'RD-6 (NF RATE SCHEDULE)'!Print_Titles</vt:lpstr>
      <vt:lpstr>'SRC-1 (S.D. Sales)'!Print_Titles</vt:lpstr>
      <vt:lpstr>'SRC-2 (S.D. Revenue)'!Print_Titles</vt:lpstr>
      <vt:lpstr>'SRC-3 (S.D. Riders)'!Print_Titles</vt:lpstr>
      <vt:lpstr>'SRC-4 (S.D. Customers)'!Print_Titles</vt:lpstr>
      <vt:lpstr>'SRC-5 (Monthly Sales)'!Print_Titles</vt:lpstr>
    </vt:vector>
  </TitlesOfParts>
  <Manager/>
  <Company>MidAmerican Energy Holdings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Charles B</dc:creator>
  <cp:keywords/>
  <dc:description/>
  <cp:lastModifiedBy>White, Renee (MidAmerican)</cp:lastModifiedBy>
  <cp:revision/>
  <cp:lastPrinted>2022-05-14T00:18:40Z</cp:lastPrinted>
  <dcterms:created xsi:type="dcterms:W3CDTF">2013-05-07T14:10:49Z</dcterms:created>
  <dcterms:modified xsi:type="dcterms:W3CDTF">2022-05-17T13:23:52Z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