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14 Statement N/"/>
    </mc:Choice>
  </mc:AlternateContent>
  <xr:revisionPtr revIDLastSave="102" documentId="13_ncr:1_{D6CC7B2D-6B74-42D2-B31C-FD6EFBDF0DA6}" xr6:coauthVersionLast="47" xr6:coauthVersionMax="47" xr10:uidLastSave="{CC1FB6D1-1C67-4697-A6B6-8CD85BC7E323}"/>
  <bookViews>
    <workbookView xWindow="3450" yWindow="0" windowWidth="25365" windowHeight="15525" tabRatio="867" xr2:uid="{AB6883AD-4987-49C3-87DD-05B2C8B4ED03}"/>
  </bookViews>
  <sheets>
    <sheet name="Statement N(1)" sheetId="1" r:id="rId1"/>
    <sheet name="Statement N(2)" sheetId="2" r:id="rId2"/>
    <sheet name="Statement N(3)" sheetId="8" r:id="rId3"/>
    <sheet name="Statement N(4)" sheetId="4" r:id="rId4"/>
    <sheet name="Statement N(5)" sheetId="5" r:id="rId5"/>
    <sheet name="Statement N(6)" sheetId="6" r:id="rId6"/>
    <sheet name="Statement N(7)" sheetId="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 localSheetId="3">[1]CONSLPGA!#REF!</definedName>
    <definedName name="\a">[1]CONSLPGA!#REF!</definedName>
    <definedName name="\b" localSheetId="3">[1]CONSLPGA!#REF!</definedName>
    <definedName name="\b">[1]CONSLPGA!#REF!</definedName>
    <definedName name="\c" localSheetId="3">[1]CONSLPGA!#REF!</definedName>
    <definedName name="\c">[1]CONSLPGA!#REF!</definedName>
    <definedName name="\d" localSheetId="3">[1]CONSLPGA!#REF!</definedName>
    <definedName name="\d">[1]CONSLPGA!#REF!</definedName>
    <definedName name="AlocList" localSheetId="4">'[2]FUN-4 (Functional Allocators)'!$B$6:$B$29</definedName>
    <definedName name="AlocList">'[3]FUN-4 (Functional Allocators)'!$B$6:$B$29</definedName>
    <definedName name="AlocTable" localSheetId="4">'[2]FUN-4 (Functional Allocators)'!$B$6:$M$29</definedName>
    <definedName name="AlocTable">'[3]FUN-4 (Functional Allocators)'!$B$6:$N$29</definedName>
    <definedName name="_xlnm.Print_Area" localSheetId="0">'Statement N(1)'!$A$1:$T$262</definedName>
    <definedName name="_xlnm.Print_Area" localSheetId="1">'Statement N(2)'!$A$1:$J$22</definedName>
    <definedName name="_xlnm.Print_Area" localSheetId="2">'Statement N(3)'!$A$1:$J$22</definedName>
    <definedName name="Print_Area_MI" localSheetId="3">[1]CONSLPGA!#REF!</definedName>
    <definedName name="Print_Area_MI">[1]CONSLPGA!#REF!</definedName>
    <definedName name="_xlnm.Print_Titles" localSheetId="0">'Statement N(1)'!$A:$G,'Statement N(1)'!$1:$5</definedName>
    <definedName name="_xlnm.Print_Titles" localSheetId="3">'Statement N(4)'!$4:$12</definedName>
    <definedName name="qryIADemand" localSheetId="3">#REF!</definedName>
    <definedName name="qryIADemand" localSheetId="4">#REF!</definedName>
    <definedName name="qryIADemand">#REF!</definedName>
    <definedName name="Recover" localSheetId="4">[4]Macro1!$A$638</definedName>
    <definedName name="Recover">[5]Macro1!$A$638</definedName>
    <definedName name="TableName">"Dummy"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9" i="1" l="1"/>
  <c r="T257" i="1"/>
  <c r="G10" i="5"/>
  <c r="G12" i="5" s="1"/>
  <c r="D10" i="5"/>
  <c r="E10" i="5"/>
  <c r="C10" i="5"/>
  <c r="A6" i="5"/>
  <c r="A7" i="5" s="1"/>
  <c r="A10" i="5" s="1"/>
  <c r="A11" i="5" s="1"/>
  <c r="A12" i="5" s="1"/>
  <c r="G7" i="5"/>
  <c r="E7" i="5"/>
  <c r="D7" i="5"/>
  <c r="C7" i="5"/>
  <c r="F5" i="5"/>
  <c r="F7" i="5" s="1"/>
  <c r="H7" i="5" l="1"/>
  <c r="D12" i="5"/>
  <c r="E12" i="5"/>
  <c r="F10" i="5" l="1"/>
  <c r="F12" i="5" s="1"/>
  <c r="H12" i="5" s="1"/>
  <c r="C12" i="5"/>
  <c r="F14" i="4" l="1"/>
  <c r="C3" i="4" s="1"/>
  <c r="F3" i="4" s="1"/>
  <c r="F15" i="4"/>
  <c r="F16" i="4"/>
  <c r="F17" i="4"/>
  <c r="E3" i="4" s="1"/>
  <c r="F18" i="4"/>
  <c r="D3" i="4" s="1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13" i="4"/>
  <c r="R255" i="1" l="1"/>
  <c r="O255" i="1"/>
  <c r="N255" i="1"/>
  <c r="L255" i="1"/>
  <c r="J255" i="1"/>
  <c r="S255" i="1"/>
  <c r="H253" i="1"/>
  <c r="H251" i="1"/>
  <c r="Q238" i="1"/>
  <c r="S238" i="1"/>
  <c r="R238" i="1"/>
  <c r="K238" i="1"/>
  <c r="I238" i="1"/>
  <c r="O206" i="1"/>
  <c r="Q206" i="1"/>
  <c r="H206" i="1"/>
  <c r="T184" i="1"/>
  <c r="T106" i="1"/>
  <c r="T101" i="1"/>
  <c r="T96" i="1"/>
  <c r="H82" i="1"/>
  <c r="T80" i="1"/>
  <c r="Q82" i="1"/>
  <c r="O82" i="1"/>
  <c r="M82" i="1"/>
  <c r="K82" i="1"/>
  <c r="Q74" i="1"/>
  <c r="Q84" i="1" s="1"/>
  <c r="I74" i="1"/>
  <c r="T58" i="1"/>
  <c r="Q51" i="1"/>
  <c r="O51" i="1"/>
  <c r="M51" i="1"/>
  <c r="L51" i="1"/>
  <c r="S51" i="1"/>
  <c r="R51" i="1"/>
  <c r="K51" i="1"/>
  <c r="J51" i="1"/>
  <c r="P51" i="1"/>
  <c r="Q47" i="1"/>
  <c r="P47" i="1"/>
  <c r="O47" i="1"/>
  <c r="T33" i="1"/>
  <c r="H43" i="1"/>
  <c r="T23" i="1"/>
  <c r="T19" i="1"/>
  <c r="T13" i="1"/>
  <c r="A11" i="1"/>
  <c r="A12" i="1" s="1"/>
  <c r="A13" i="1" s="1"/>
  <c r="A14" i="1" s="1"/>
  <c r="A15" i="1" s="1"/>
  <c r="A16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6" i="1" s="1"/>
  <c r="A47" i="1" s="1"/>
  <c r="A50" i="1" s="1"/>
  <c r="A51" i="1" s="1"/>
  <c r="A53" i="1" s="1"/>
  <c r="A57" i="1" s="1"/>
  <c r="A58" i="1" s="1"/>
  <c r="A59" i="1" s="1"/>
  <c r="A60" i="1" s="1"/>
  <c r="A61" i="1" s="1"/>
  <c r="A62" i="1" s="1"/>
  <c r="A64" i="1" s="1"/>
  <c r="A69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2" i="1" s="1"/>
  <c r="A84" i="1" s="1"/>
  <c r="A86" i="1" s="1"/>
  <c r="A93" i="1" s="1"/>
  <c r="A94" i="1" s="1"/>
  <c r="A95" i="1" s="1"/>
  <c r="A96" i="1" s="1"/>
  <c r="A97" i="1" s="1"/>
  <c r="A98" i="1" s="1"/>
  <c r="A100" i="1" s="1"/>
  <c r="A101" i="1" s="1"/>
  <c r="A102" i="1" s="1"/>
  <c r="A104" i="1" s="1"/>
  <c r="A105" i="1" s="1"/>
  <c r="A106" i="1" s="1"/>
  <c r="A107" i="1" s="1"/>
  <c r="A108" i="1" s="1"/>
  <c r="A112" i="1" s="1"/>
  <c r="A113" i="1" s="1"/>
  <c r="A114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2" i="1" s="1"/>
  <c r="A153" i="1" s="1"/>
  <c r="A154" i="1" s="1"/>
  <c r="A155" i="1" s="1"/>
  <c r="A156" i="1" s="1"/>
  <c r="A157" i="1" s="1"/>
  <c r="A158" i="1" s="1"/>
  <c r="A161" i="1" s="1"/>
  <c r="A162" i="1" s="1"/>
  <c r="A163" i="1" s="1"/>
  <c r="A164" i="1" s="1"/>
  <c r="A167" i="1" s="1"/>
  <c r="A168" i="1" s="1"/>
  <c r="A169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5" i="1" s="1"/>
  <c r="A186" i="1" s="1"/>
  <c r="A188" i="1" s="1"/>
  <c r="A189" i="1" s="1"/>
  <c r="A192" i="1" s="1"/>
  <c r="A193" i="1" s="1"/>
  <c r="A194" i="1" s="1"/>
  <c r="A195" i="1" s="1"/>
  <c r="A196" i="1" s="1"/>
  <c r="A197" i="1" s="1"/>
  <c r="A198" i="1" s="1"/>
  <c r="A199" i="1" s="1"/>
  <c r="A202" i="1" s="1"/>
  <c r="A203" i="1" s="1"/>
  <c r="A204" i="1" s="1"/>
  <c r="A205" i="1" s="1"/>
  <c r="A206" i="1" s="1"/>
  <c r="A208" i="1" s="1"/>
  <c r="A212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6" i="1" s="1"/>
  <c r="A229" i="1" s="1"/>
  <c r="A230" i="1" s="1"/>
  <c r="A231" i="1" s="1"/>
  <c r="A233" i="1" s="1"/>
  <c r="A236" i="1" s="1"/>
  <c r="A237" i="1" s="1"/>
  <c r="A238" i="1" s="1"/>
  <c r="A240" i="1" s="1"/>
  <c r="A244" i="1" s="1"/>
  <c r="A245" i="1" s="1"/>
  <c r="A246" i="1" s="1"/>
  <c r="A247" i="1" s="1"/>
  <c r="A248" i="1" s="1"/>
  <c r="A249" i="1" s="1"/>
  <c r="A250" i="1" s="1"/>
  <c r="A251" i="1" s="1"/>
  <c r="A253" i="1" s="1"/>
  <c r="A255" i="1" s="1"/>
  <c r="A257" i="1" s="1"/>
  <c r="A259" i="1" s="1"/>
  <c r="A261" i="1" s="1"/>
  <c r="P74" i="1" l="1"/>
  <c r="T27" i="1"/>
  <c r="Q64" i="1"/>
  <c r="Q62" i="1"/>
  <c r="M74" i="1"/>
  <c r="M84" i="1" s="1"/>
  <c r="K74" i="1"/>
  <c r="K84" i="1" s="1"/>
  <c r="R28" i="1"/>
  <c r="O74" i="1"/>
  <c r="O84" i="1" s="1"/>
  <c r="T26" i="1"/>
  <c r="T38" i="1"/>
  <c r="S64" i="1"/>
  <c r="H74" i="1"/>
  <c r="I28" i="1"/>
  <c r="K28" i="1"/>
  <c r="T24" i="1"/>
  <c r="T41" i="1"/>
  <c r="I51" i="1"/>
  <c r="T12" i="1"/>
  <c r="T14" i="1"/>
  <c r="T22" i="1"/>
  <c r="J28" i="1"/>
  <c r="T32" i="1"/>
  <c r="T34" i="1"/>
  <c r="T36" i="1"/>
  <c r="K47" i="1"/>
  <c r="H47" i="1"/>
  <c r="K64" i="1"/>
  <c r="T61" i="1"/>
  <c r="J74" i="1"/>
  <c r="T78" i="1"/>
  <c r="S82" i="1"/>
  <c r="L108" i="1"/>
  <c r="M108" i="1"/>
  <c r="I108" i="1"/>
  <c r="J158" i="1"/>
  <c r="T174" i="1"/>
  <c r="J186" i="1"/>
  <c r="N186" i="1"/>
  <c r="K16" i="1"/>
  <c r="S28" i="1"/>
  <c r="M28" i="1"/>
  <c r="T138" i="1"/>
  <c r="T146" i="1"/>
  <c r="T162" i="1"/>
  <c r="T168" i="1"/>
  <c r="N169" i="1"/>
  <c r="N206" i="1"/>
  <c r="P28" i="1"/>
  <c r="T11" i="1"/>
  <c r="S16" i="1"/>
  <c r="M47" i="1"/>
  <c r="R82" i="1"/>
  <c r="L16" i="1"/>
  <c r="T10" i="1"/>
  <c r="N16" i="1"/>
  <c r="H16" i="1"/>
  <c r="L28" i="1"/>
  <c r="N28" i="1"/>
  <c r="T37" i="1"/>
  <c r="N47" i="1"/>
  <c r="T70" i="1"/>
  <c r="T79" i="1"/>
  <c r="N108" i="1"/>
  <c r="T95" i="1"/>
  <c r="O108" i="1"/>
  <c r="T104" i="1"/>
  <c r="T121" i="1"/>
  <c r="H149" i="1"/>
  <c r="T25" i="1"/>
  <c r="M16" i="1"/>
  <c r="O16" i="1"/>
  <c r="O28" i="1"/>
  <c r="O43" i="1"/>
  <c r="T40" i="1"/>
  <c r="H62" i="1"/>
  <c r="H64" i="1"/>
  <c r="T57" i="1"/>
  <c r="I62" i="1"/>
  <c r="S62" i="1"/>
  <c r="T76" i="1"/>
  <c r="T135" i="1"/>
  <c r="T144" i="1"/>
  <c r="M164" i="1"/>
  <c r="T163" i="1"/>
  <c r="T73" i="1"/>
  <c r="Q108" i="1"/>
  <c r="Q125" i="1"/>
  <c r="T132" i="1"/>
  <c r="T133" i="1"/>
  <c r="Q16" i="1"/>
  <c r="Q53" i="1" s="1"/>
  <c r="Q86" i="1" s="1"/>
  <c r="Q259" i="1" s="1"/>
  <c r="T21" i="1"/>
  <c r="Q43" i="1"/>
  <c r="L82" i="1"/>
  <c r="R108" i="1"/>
  <c r="T98" i="1"/>
  <c r="S108" i="1"/>
  <c r="T105" i="1"/>
  <c r="R125" i="1"/>
  <c r="T116" i="1"/>
  <c r="T120" i="1"/>
  <c r="T131" i="1"/>
  <c r="P199" i="1"/>
  <c r="I206" i="1"/>
  <c r="H28" i="1"/>
  <c r="R43" i="1"/>
  <c r="L47" i="1"/>
  <c r="R47" i="1"/>
  <c r="J47" i="1"/>
  <c r="S47" i="1"/>
  <c r="T60" i="1"/>
  <c r="J64" i="1"/>
  <c r="I82" i="1"/>
  <c r="I84" i="1" s="1"/>
  <c r="H108" i="1"/>
  <c r="S125" i="1"/>
  <c r="K125" i="1"/>
  <c r="H125" i="1"/>
  <c r="T142" i="1"/>
  <c r="M224" i="1"/>
  <c r="Q28" i="1"/>
  <c r="I43" i="1"/>
  <c r="T35" i="1"/>
  <c r="P16" i="1"/>
  <c r="T15" i="1"/>
  <c r="I47" i="1"/>
  <c r="I64" i="1"/>
  <c r="K108" i="1"/>
  <c r="T100" i="1"/>
  <c r="T117" i="1"/>
  <c r="T137" i="1"/>
  <c r="S164" i="1"/>
  <c r="K164" i="1"/>
  <c r="Q164" i="1"/>
  <c r="I164" i="1"/>
  <c r="H164" i="1"/>
  <c r="R164" i="1"/>
  <c r="J164" i="1"/>
  <c r="N164" i="1"/>
  <c r="L164" i="1"/>
  <c r="S169" i="1"/>
  <c r="K169" i="1"/>
  <c r="I169" i="1"/>
  <c r="J169" i="1"/>
  <c r="H169" i="1"/>
  <c r="R169" i="1"/>
  <c r="L169" i="1"/>
  <c r="T42" i="1"/>
  <c r="N51" i="1"/>
  <c r="H51" i="1"/>
  <c r="P62" i="1"/>
  <c r="N74" i="1"/>
  <c r="P82" i="1"/>
  <c r="P108" i="1"/>
  <c r="H189" i="1"/>
  <c r="T113" i="1"/>
  <c r="T118" i="1"/>
  <c r="T122" i="1"/>
  <c r="T136" i="1"/>
  <c r="T141" i="1"/>
  <c r="T147" i="1"/>
  <c r="H158" i="1"/>
  <c r="T152" i="1"/>
  <c r="L158" i="1"/>
  <c r="T155" i="1"/>
  <c r="S206" i="1"/>
  <c r="T216" i="1"/>
  <c r="L199" i="1"/>
  <c r="L208" i="1" s="1"/>
  <c r="L230" i="1" s="1"/>
  <c r="K206" i="1"/>
  <c r="T39" i="1"/>
  <c r="T59" i="1"/>
  <c r="T72" i="1"/>
  <c r="T77" i="1"/>
  <c r="T81" i="1"/>
  <c r="T93" i="1"/>
  <c r="T97" i="1"/>
  <c r="T102" i="1"/>
  <c r="T114" i="1"/>
  <c r="T119" i="1"/>
  <c r="K149" i="1"/>
  <c r="O158" i="1"/>
  <c r="N158" i="1"/>
  <c r="T156" i="1"/>
  <c r="R186" i="1"/>
  <c r="K199" i="1"/>
  <c r="I199" i="1"/>
  <c r="I208" i="1" s="1"/>
  <c r="I230" i="1" s="1"/>
  <c r="R206" i="1"/>
  <c r="J206" i="1"/>
  <c r="O224" i="1"/>
  <c r="P224" i="1"/>
  <c r="T217" i="1"/>
  <c r="P158" i="1"/>
  <c r="T193" i="1"/>
  <c r="T145" i="1"/>
  <c r="T153" i="1"/>
  <c r="T176" i="1"/>
  <c r="T185" i="1"/>
  <c r="O238" i="1"/>
  <c r="T140" i="1"/>
  <c r="T143" i="1"/>
  <c r="T157" i="1"/>
  <c r="H186" i="1"/>
  <c r="T175" i="1"/>
  <c r="T177" i="1"/>
  <c r="T178" i="1"/>
  <c r="T179" i="1"/>
  <c r="T180" i="1"/>
  <c r="T182" i="1"/>
  <c r="T220" i="1"/>
  <c r="I224" i="1"/>
  <c r="Q158" i="1"/>
  <c r="T183" i="1"/>
  <c r="S199" i="1"/>
  <c r="T221" i="1"/>
  <c r="K224" i="1"/>
  <c r="T222" i="1"/>
  <c r="N199" i="1"/>
  <c r="N208" i="1" s="1"/>
  <c r="N230" i="1" s="1"/>
  <c r="M206" i="1"/>
  <c r="L206" i="1"/>
  <c r="H238" i="1"/>
  <c r="L238" i="1"/>
  <c r="N238" i="1"/>
  <c r="M238" i="1"/>
  <c r="R199" i="1"/>
  <c r="R208" i="1" s="1"/>
  <c r="R230" i="1" s="1"/>
  <c r="J199" i="1"/>
  <c r="M199" i="1"/>
  <c r="M208" i="1" s="1"/>
  <c r="M230" i="1" s="1"/>
  <c r="T194" i="1"/>
  <c r="T198" i="1"/>
  <c r="H199" i="1"/>
  <c r="T219" i="1"/>
  <c r="J238" i="1"/>
  <c r="O199" i="1"/>
  <c r="O208" i="1" s="1"/>
  <c r="O230" i="1" s="1"/>
  <c r="H224" i="1"/>
  <c r="N224" i="1"/>
  <c r="J224" i="1"/>
  <c r="S224" i="1"/>
  <c r="T223" i="1"/>
  <c r="T237" i="1"/>
  <c r="T245" i="1"/>
  <c r="T246" i="1"/>
  <c r="M255" i="1"/>
  <c r="P255" i="1"/>
  <c r="I255" i="1"/>
  <c r="Q255" i="1"/>
  <c r="K255" i="1"/>
  <c r="S208" i="1" l="1"/>
  <c r="S230" i="1" s="1"/>
  <c r="O53" i="1"/>
  <c r="O86" i="1" s="1"/>
  <c r="O259" i="1" s="1"/>
  <c r="M188" i="1"/>
  <c r="M229" i="1" s="1"/>
  <c r="M231" i="1" s="1"/>
  <c r="J208" i="1"/>
  <c r="J230" i="1" s="1"/>
  <c r="K189" i="1"/>
  <c r="Q189" i="1"/>
  <c r="T206" i="1"/>
  <c r="T249" i="1"/>
  <c r="K208" i="1"/>
  <c r="K230" i="1" s="1"/>
  <c r="L149" i="1"/>
  <c r="T250" i="1"/>
  <c r="L224" i="1"/>
  <c r="T236" i="1"/>
  <c r="I186" i="1"/>
  <c r="T203" i="1"/>
  <c r="S158" i="1"/>
  <c r="N82" i="1"/>
  <c r="N84" i="1" s="1"/>
  <c r="M169" i="1"/>
  <c r="P164" i="1"/>
  <c r="I125" i="1"/>
  <c r="I188" i="1" s="1"/>
  <c r="I229" i="1" s="1"/>
  <c r="I231" i="1" s="1"/>
  <c r="L125" i="1"/>
  <c r="L189" i="1" s="1"/>
  <c r="O149" i="1"/>
  <c r="O188" i="1" s="1"/>
  <c r="O229" i="1" s="1"/>
  <c r="O231" i="1" s="1"/>
  <c r="P64" i="1"/>
  <c r="P149" i="1"/>
  <c r="J62" i="1"/>
  <c r="T248" i="1"/>
  <c r="Q199" i="1"/>
  <c r="Q208" i="1" s="1"/>
  <c r="Q230" i="1" s="1"/>
  <c r="H226" i="1"/>
  <c r="P186" i="1"/>
  <c r="L186" i="1"/>
  <c r="T154" i="1"/>
  <c r="P206" i="1"/>
  <c r="P208" i="1" s="1"/>
  <c r="P230" i="1" s="1"/>
  <c r="T218" i="1"/>
  <c r="T238" i="1"/>
  <c r="T181" i="1"/>
  <c r="Q186" i="1"/>
  <c r="O169" i="1"/>
  <c r="T169" i="1" s="1"/>
  <c r="T161" i="1"/>
  <c r="T112" i="1"/>
  <c r="I149" i="1"/>
  <c r="T149" i="1" s="1"/>
  <c r="Q188" i="1"/>
  <c r="Q229" i="1" s="1"/>
  <c r="Q231" i="1" s="1"/>
  <c r="J125" i="1"/>
  <c r="J189" i="1" s="1"/>
  <c r="R16" i="1"/>
  <c r="R53" i="1" s="1"/>
  <c r="H208" i="1"/>
  <c r="T199" i="1"/>
  <c r="T197" i="1"/>
  <c r="R224" i="1"/>
  <c r="T224" i="1" s="1"/>
  <c r="T130" i="1"/>
  <c r="N125" i="1"/>
  <c r="T46" i="1"/>
  <c r="Q149" i="1"/>
  <c r="N62" i="1"/>
  <c r="N64" i="1"/>
  <c r="K53" i="1"/>
  <c r="K86" i="1" s="1"/>
  <c r="K259" i="1" s="1"/>
  <c r="J16" i="1"/>
  <c r="M158" i="1"/>
  <c r="Q224" i="1"/>
  <c r="T204" i="1"/>
  <c r="S186" i="1"/>
  <c r="T202" i="1"/>
  <c r="T192" i="1"/>
  <c r="P169" i="1"/>
  <c r="Q169" i="1"/>
  <c r="O164" i="1"/>
  <c r="J149" i="1"/>
  <c r="T107" i="1"/>
  <c r="J82" i="1"/>
  <c r="T20" i="1"/>
  <c r="T28" i="1" s="1"/>
  <c r="L53" i="1"/>
  <c r="M125" i="1"/>
  <c r="M189" i="1" s="1"/>
  <c r="T94" i="1"/>
  <c r="S74" i="1"/>
  <c r="S84" i="1" s="1"/>
  <c r="M64" i="1"/>
  <c r="M62" i="1"/>
  <c r="I16" i="1"/>
  <c r="I53" i="1" s="1"/>
  <c r="I86" i="1" s="1"/>
  <c r="I259" i="1" s="1"/>
  <c r="T51" i="1"/>
  <c r="I158" i="1"/>
  <c r="T158" i="1" s="1"/>
  <c r="R149" i="1"/>
  <c r="R189" i="1" s="1"/>
  <c r="S149" i="1"/>
  <c r="S188" i="1" s="1"/>
  <c r="S229" i="1" s="1"/>
  <c r="S231" i="1" s="1"/>
  <c r="M43" i="1"/>
  <c r="M53" i="1" s="1"/>
  <c r="M86" i="1" s="1"/>
  <c r="M149" i="1"/>
  <c r="J84" i="1"/>
  <c r="P238" i="1"/>
  <c r="J108" i="1"/>
  <c r="T108" i="1" s="1"/>
  <c r="T167" i="1"/>
  <c r="T164" i="1"/>
  <c r="J43" i="1"/>
  <c r="N149" i="1"/>
  <c r="O125" i="1"/>
  <c r="N43" i="1"/>
  <c r="N53" i="1" s="1"/>
  <c r="N86" i="1" s="1"/>
  <c r="T16" i="1"/>
  <c r="H53" i="1"/>
  <c r="P43" i="1"/>
  <c r="P53" i="1" s="1"/>
  <c r="P86" i="1" s="1"/>
  <c r="P259" i="1" s="1"/>
  <c r="T124" i="1"/>
  <c r="R74" i="1"/>
  <c r="R84" i="1" s="1"/>
  <c r="O64" i="1"/>
  <c r="O62" i="1"/>
  <c r="H84" i="1"/>
  <c r="K62" i="1"/>
  <c r="T62" i="1" s="1"/>
  <c r="T71" i="1"/>
  <c r="T215" i="1"/>
  <c r="R158" i="1"/>
  <c r="H188" i="1"/>
  <c r="R64" i="1"/>
  <c r="R62" i="1"/>
  <c r="L74" i="1"/>
  <c r="L84" i="1" s="1"/>
  <c r="T47" i="1"/>
  <c r="T31" i="1"/>
  <c r="S43" i="1"/>
  <c r="S53" i="1" s="1"/>
  <c r="S86" i="1" s="1"/>
  <c r="P84" i="1"/>
  <c r="M186" i="1"/>
  <c r="K186" i="1"/>
  <c r="K188" i="1" s="1"/>
  <c r="K229" i="1" s="1"/>
  <c r="K231" i="1" s="1"/>
  <c r="O186" i="1"/>
  <c r="T186" i="1" s="1"/>
  <c r="T148" i="1"/>
  <c r="T205" i="1"/>
  <c r="K158" i="1"/>
  <c r="T173" i="1"/>
  <c r="P125" i="1"/>
  <c r="P188" i="1" s="1"/>
  <c r="P229" i="1" s="1"/>
  <c r="L62" i="1"/>
  <c r="L64" i="1"/>
  <c r="T64" i="1" s="1"/>
  <c r="T69" i="1"/>
  <c r="L43" i="1"/>
  <c r="K43" i="1"/>
  <c r="T129" i="1"/>
  <c r="T50" i="1"/>
  <c r="F36" i="4" l="1"/>
  <c r="P231" i="1"/>
  <c r="M259" i="1"/>
  <c r="N259" i="1"/>
  <c r="S259" i="1"/>
  <c r="T43" i="1"/>
  <c r="H229" i="1"/>
  <c r="O189" i="1"/>
  <c r="J53" i="1"/>
  <c r="J86" i="1" s="1"/>
  <c r="N189" i="1"/>
  <c r="R86" i="1"/>
  <c r="P189" i="1"/>
  <c r="H86" i="1"/>
  <c r="T125" i="1"/>
  <c r="T189" i="1" s="1"/>
  <c r="R188" i="1"/>
  <c r="R229" i="1" s="1"/>
  <c r="R231" i="1" s="1"/>
  <c r="S189" i="1"/>
  <c r="T84" i="1"/>
  <c r="L86" i="1"/>
  <c r="I189" i="1"/>
  <c r="T74" i="1"/>
  <c r="H230" i="1"/>
  <c r="T230" i="1" s="1"/>
  <c r="T208" i="1"/>
  <c r="L188" i="1"/>
  <c r="L229" i="1" s="1"/>
  <c r="L231" i="1" s="1"/>
  <c r="T82" i="1"/>
  <c r="N188" i="1"/>
  <c r="N229" i="1" s="1"/>
  <c r="N231" i="1" s="1"/>
  <c r="J188" i="1"/>
  <c r="J229" i="1" s="1"/>
  <c r="J231" i="1" s="1"/>
  <c r="J259" i="1" l="1"/>
  <c r="T188" i="1"/>
  <c r="T53" i="1"/>
  <c r="L259" i="1"/>
  <c r="R259" i="1"/>
  <c r="H231" i="1"/>
  <c r="T229" i="1"/>
  <c r="H259" i="1"/>
  <c r="T86" i="1"/>
  <c r="T231" i="1" l="1"/>
  <c r="H233" i="1"/>
  <c r="H240" i="1" l="1"/>
  <c r="H257" i="1"/>
  <c r="H261" i="1" s="1"/>
  <c r="I212" i="1" l="1"/>
  <c r="O212" i="1"/>
  <c r="O226" i="1" s="1"/>
  <c r="O233" i="1" s="1"/>
  <c r="Q212" i="1"/>
  <c r="Q226" i="1" s="1"/>
  <c r="Q233" i="1" s="1"/>
  <c r="K212" i="1"/>
  <c r="K226" i="1" s="1"/>
  <c r="K233" i="1" s="1"/>
  <c r="N212" i="1"/>
  <c r="N226" i="1" s="1"/>
  <c r="N233" i="1" s="1"/>
  <c r="M212" i="1"/>
  <c r="M226" i="1" s="1"/>
  <c r="M233" i="1" s="1"/>
  <c r="P212" i="1"/>
  <c r="P226" i="1" s="1"/>
  <c r="P233" i="1" s="1"/>
  <c r="S212" i="1"/>
  <c r="S226" i="1" s="1"/>
  <c r="S233" i="1" s="1"/>
  <c r="J212" i="1"/>
  <c r="J226" i="1" s="1"/>
  <c r="J233" i="1" s="1"/>
  <c r="L212" i="1"/>
  <c r="L226" i="1" s="1"/>
  <c r="L233" i="1" s="1"/>
  <c r="R212" i="1"/>
  <c r="R226" i="1" s="1"/>
  <c r="R233" i="1" s="1"/>
  <c r="P240" i="1" l="1"/>
  <c r="P244" i="1" s="1"/>
  <c r="P251" i="1" s="1"/>
  <c r="P253" i="1" s="1"/>
  <c r="P257" i="1" s="1"/>
  <c r="P261" i="1" s="1"/>
  <c r="R240" i="1"/>
  <c r="R244" i="1" s="1"/>
  <c r="R251" i="1" s="1"/>
  <c r="R253" i="1" s="1"/>
  <c r="R257" i="1" s="1"/>
  <c r="R261" i="1" s="1"/>
  <c r="M240" i="1"/>
  <c r="M244" i="1" s="1"/>
  <c r="M251" i="1" s="1"/>
  <c r="M253" i="1" s="1"/>
  <c r="M257" i="1" s="1"/>
  <c r="M261" i="1" s="1"/>
  <c r="K240" i="1"/>
  <c r="K244" i="1" s="1"/>
  <c r="K251" i="1" s="1"/>
  <c r="K253" i="1" s="1"/>
  <c r="K257" i="1" s="1"/>
  <c r="K261" i="1" s="1"/>
  <c r="O240" i="1"/>
  <c r="O244" i="1" s="1"/>
  <c r="O251" i="1" s="1"/>
  <c r="O253" i="1" s="1"/>
  <c r="O257" i="1" s="1"/>
  <c r="O261" i="1" s="1"/>
  <c r="S240" i="1"/>
  <c r="S244" i="1" s="1"/>
  <c r="S251" i="1" s="1"/>
  <c r="S253" i="1" s="1"/>
  <c r="S257" i="1" s="1"/>
  <c r="S261" i="1" s="1"/>
  <c r="N240" i="1"/>
  <c r="N244" i="1" s="1"/>
  <c r="N251" i="1" s="1"/>
  <c r="N253" i="1" s="1"/>
  <c r="N257" i="1" s="1"/>
  <c r="N261" i="1" s="1"/>
  <c r="Q240" i="1"/>
  <c r="Q244" i="1" s="1"/>
  <c r="Q251" i="1" s="1"/>
  <c r="Q253" i="1" s="1"/>
  <c r="Q257" i="1" s="1"/>
  <c r="Q261" i="1" s="1"/>
  <c r="L240" i="1"/>
  <c r="L244" i="1" s="1"/>
  <c r="L251" i="1" s="1"/>
  <c r="L253" i="1" s="1"/>
  <c r="L257" i="1"/>
  <c r="L261" i="1" s="1"/>
  <c r="J240" i="1"/>
  <c r="J244" i="1" s="1"/>
  <c r="J251" i="1" s="1"/>
  <c r="J253" i="1" s="1"/>
  <c r="J257" i="1" s="1"/>
  <c r="J261" i="1" s="1"/>
  <c r="I226" i="1"/>
  <c r="T212" i="1"/>
  <c r="I233" i="1" l="1"/>
  <c r="T226" i="1"/>
  <c r="I240" i="1" l="1"/>
  <c r="T233" i="1"/>
  <c r="I244" i="1" l="1"/>
  <c r="T240" i="1"/>
  <c r="I251" i="1" l="1"/>
  <c r="T244" i="1"/>
  <c r="I253" i="1" l="1"/>
  <c r="T251" i="1"/>
  <c r="T253" i="1" l="1"/>
  <c r="I257" i="1"/>
  <c r="I261" i="1" s="1"/>
</calcChain>
</file>

<file path=xl/sharedStrings.xml><?xml version="1.0" encoding="utf-8"?>
<sst xmlns="http://schemas.openxmlformats.org/spreadsheetml/2006/main" count="364" uniqueCount="274">
  <si>
    <t>Cost of Service Study</t>
  </si>
  <si>
    <t>South Dakota</t>
  </si>
  <si>
    <t>Daily</t>
  </si>
  <si>
    <t>Monthly</t>
  </si>
  <si>
    <t>Alloc</t>
  </si>
  <si>
    <t>Test Year</t>
  </si>
  <si>
    <t>Mains</t>
  </si>
  <si>
    <t>Industrial</t>
  </si>
  <si>
    <t>Customer</t>
  </si>
  <si>
    <t>Transport.</t>
  </si>
  <si>
    <t>Gas Supply</t>
  </si>
  <si>
    <t>Line</t>
  </si>
  <si>
    <t>Code</t>
  </si>
  <si>
    <t>Acct</t>
  </si>
  <si>
    <t>Description</t>
  </si>
  <si>
    <t>Jurisdictional</t>
  </si>
  <si>
    <t>Peak Facilities</t>
  </si>
  <si>
    <t>(Average)</t>
  </si>
  <si>
    <t>(Peaking)</t>
  </si>
  <si>
    <t>Services</t>
  </si>
  <si>
    <t>Meters</t>
  </si>
  <si>
    <t>Regulators</t>
  </si>
  <si>
    <t>Accounts</t>
  </si>
  <si>
    <t>Admin.</t>
  </si>
  <si>
    <t>(Non PGA)</t>
  </si>
  <si>
    <t>Variance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</si>
  <si>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</si>
  <si>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</si>
  <si>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</si>
  <si>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</si>
  <si>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</si>
  <si>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</si>
  <si>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</si>
  <si>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</si>
  <si>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</si>
  <si>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</si>
  <si>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</si>
  <si>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</si>
  <si>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</si>
  <si>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</si>
  <si>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</si>
  <si>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</si>
  <si>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</si>
  <si>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</si>
  <si>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Rate Base</t>
  </si>
  <si>
    <t>Manufactured Gas Plant</t>
  </si>
  <si>
    <t>Land and Land Rights</t>
  </si>
  <si>
    <t>Structures and Improvements</t>
  </si>
  <si>
    <t>Boilers</t>
  </si>
  <si>
    <t>Other Power Equipment</t>
  </si>
  <si>
    <t>Hydro Plant</t>
  </si>
  <si>
    <t>Other Plant</t>
  </si>
  <si>
    <t>310-346</t>
  </si>
  <si>
    <t>Manufactured Gas Plant Total</t>
  </si>
  <si>
    <t>Other Storage Plant</t>
  </si>
  <si>
    <t>Gas Holders</t>
  </si>
  <si>
    <t>Purification Equipment</t>
  </si>
  <si>
    <t>Liquification Equipment</t>
  </si>
  <si>
    <t>Vaporizing Equipment</t>
  </si>
  <si>
    <t>Compressor Equipment</t>
  </si>
  <si>
    <t>Measuring and Regulating Equipment</t>
  </si>
  <si>
    <t>Other Equipment</t>
  </si>
  <si>
    <t>Other Storage Plant Total</t>
  </si>
  <si>
    <t>Distribution Plant</t>
  </si>
  <si>
    <t>Structures and Station Equipment</t>
  </si>
  <si>
    <t>Compressor Station Equipment</t>
  </si>
  <si>
    <t>Meas &amp; Reg Station Equipment - Gen.</t>
  </si>
  <si>
    <t>Meas &amp; Reg Station Equipment - CG</t>
  </si>
  <si>
    <t>Meter Installations</t>
  </si>
  <si>
    <t>House Regulators</t>
  </si>
  <si>
    <t>House Regulator Installations</t>
  </si>
  <si>
    <t>Industrial Meas. &amp; Reg Station Equipment</t>
  </si>
  <si>
    <t>Distribution Plant Total</t>
  </si>
  <si>
    <t>General Plant</t>
  </si>
  <si>
    <t>389-398</t>
  </si>
  <si>
    <t>General Plant Total</t>
  </si>
  <si>
    <t>Intangible Plant</t>
  </si>
  <si>
    <t>301-303</t>
  </si>
  <si>
    <t>Intangible Plant Total</t>
  </si>
  <si>
    <t>Gross Natural Gas Plant in Service</t>
  </si>
  <si>
    <t>Additions to Rate Base</t>
  </si>
  <si>
    <t>Fuel Stocks</t>
  </si>
  <si>
    <t>Total Materials and Supplies</t>
  </si>
  <si>
    <t>Prepayments</t>
  </si>
  <si>
    <t>Cash Working Capital</t>
  </si>
  <si>
    <t>Other Working Capital</t>
  </si>
  <si>
    <t>Total Additions to Rate Base</t>
  </si>
  <si>
    <t>Deductions from Rate Base</t>
  </si>
  <si>
    <t>Accumulated Provision for Deprec and Amort</t>
  </si>
  <si>
    <t>108-111</t>
  </si>
  <si>
    <t>Production</t>
  </si>
  <si>
    <t>Distribution</t>
  </si>
  <si>
    <t>Intangible</t>
  </si>
  <si>
    <t>General</t>
  </si>
  <si>
    <t>Total Accumulated Depreciation</t>
  </si>
  <si>
    <t>Customer Advances</t>
  </si>
  <si>
    <t>Accum Deferred Income Taxes</t>
  </si>
  <si>
    <t>Customer Deposits</t>
  </si>
  <si>
    <t>Budget Plan Balances</t>
  </si>
  <si>
    <t>Accum Deferred Invest Tax Credit</t>
  </si>
  <si>
    <t>Reserve for Inj &amp; Damages/Misc/Pension</t>
  </si>
  <si>
    <t>Total Deductions from Rate Base</t>
  </si>
  <si>
    <t>Total Rate Base</t>
  </si>
  <si>
    <t>Expenses</t>
  </si>
  <si>
    <t>Production Expense</t>
  </si>
  <si>
    <t>MGP Plant</t>
  </si>
  <si>
    <t>Operation</t>
  </si>
  <si>
    <t>Supervision and Engineering</t>
  </si>
  <si>
    <t>Other Power Expenses</t>
  </si>
  <si>
    <t>Manufactured Gas Site Cleanup</t>
  </si>
  <si>
    <t>LPG Expense</t>
  </si>
  <si>
    <t>Liquified Petroleum Gas</t>
  </si>
  <si>
    <t>Miscellaneous</t>
  </si>
  <si>
    <t>Maintenance</t>
  </si>
  <si>
    <t>Structures &amp; Improvements</t>
  </si>
  <si>
    <t>Production Equipment</t>
  </si>
  <si>
    <t>Other Power Supply Expense</t>
  </si>
  <si>
    <t>800-807</t>
  </si>
  <si>
    <t>Purchased Gas</t>
  </si>
  <si>
    <t>Net Storage</t>
  </si>
  <si>
    <t>Gas Used for Other Utility Oper</t>
  </si>
  <si>
    <t>Other Expenses</t>
  </si>
  <si>
    <t>Total Production Expense</t>
  </si>
  <si>
    <t>Other Storage Expense</t>
  </si>
  <si>
    <t>Labor and Expenses</t>
  </si>
  <si>
    <t>Rents</t>
  </si>
  <si>
    <t>Measuring and Regulating Equip</t>
  </si>
  <si>
    <t>Total Other Storage Expense</t>
  </si>
  <si>
    <t>Distribution Expense</t>
  </si>
  <si>
    <t>Load Dispatching</t>
  </si>
  <si>
    <t>Mains and Services</t>
  </si>
  <si>
    <t>Meas &amp; Reg Sta Equipment - Gen.</t>
  </si>
  <si>
    <t>Meas &amp; Reg Sta Equipment - Ind</t>
  </si>
  <si>
    <t>Meas &amp; Reg Sta Equipment - CG</t>
  </si>
  <si>
    <t>Meters and House Regulators</t>
  </si>
  <si>
    <t>Customer Installation Expenses</t>
  </si>
  <si>
    <t>Total Distribution Expense</t>
  </si>
  <si>
    <t>Customer Accounting Expense</t>
  </si>
  <si>
    <t>Supervision</t>
  </si>
  <si>
    <t>Meter Reading</t>
  </si>
  <si>
    <t>Records and Collection (Cust Serv)</t>
  </si>
  <si>
    <t>Uncollectible Accounts</t>
  </si>
  <si>
    <t>Miscellaneous Expense</t>
  </si>
  <si>
    <t>---</t>
  </si>
  <si>
    <t>Transportation Administration</t>
  </si>
  <si>
    <t>Total Customer Accounting Expense</t>
  </si>
  <si>
    <t>Customer Service and Information Expense</t>
  </si>
  <si>
    <t>Customer Assistance Expense</t>
  </si>
  <si>
    <t>Information / Inst Advertising</t>
  </si>
  <si>
    <t>Total Customer Service and Information Expense</t>
  </si>
  <si>
    <t>Sales Expense</t>
  </si>
  <si>
    <t>Demo/Selling Expense</t>
  </si>
  <si>
    <t>Total Sales Expense</t>
  </si>
  <si>
    <t>Administration and General Expense</t>
  </si>
  <si>
    <t>Admin and General Salaries</t>
  </si>
  <si>
    <t>Office Supplies and Expense</t>
  </si>
  <si>
    <t>Admin Exp Transfer</t>
  </si>
  <si>
    <t>Outside Services</t>
  </si>
  <si>
    <t>Property Insurance</t>
  </si>
  <si>
    <t>Injuries and Damages</t>
  </si>
  <si>
    <t>Pensions and Benefits</t>
  </si>
  <si>
    <t>Regulatory Commission Expense</t>
  </si>
  <si>
    <t>Duplicate Charges Credit</t>
  </si>
  <si>
    <t>Miscellaneous General Expense</t>
  </si>
  <si>
    <t>Total A&amp;G Maintenance</t>
  </si>
  <si>
    <t>Total Administration and General Expense</t>
  </si>
  <si>
    <t>Total O&amp;M Expense</t>
  </si>
  <si>
    <t>Total Supervised O&amp;M Expense</t>
  </si>
  <si>
    <t>Depreciation and Amortization Expense</t>
  </si>
  <si>
    <t>403-404</t>
  </si>
  <si>
    <t>Production and Manufactured Gas</t>
  </si>
  <si>
    <t>Other</t>
  </si>
  <si>
    <t>Acquisition Adjustment</t>
  </si>
  <si>
    <t>Total Depreciation and Amortization Expense</t>
  </si>
  <si>
    <t>Taxes Other Than Income Taxes</t>
  </si>
  <si>
    <t>408111-408131</t>
  </si>
  <si>
    <t>Payroll Taxes</t>
  </si>
  <si>
    <t>408141-408143</t>
  </si>
  <si>
    <t>Total Property Taxes</t>
  </si>
  <si>
    <t>408162-408163</t>
  </si>
  <si>
    <t>Illinois Public Utility Taxes</t>
  </si>
  <si>
    <t>Occupation Tax &amp; Other</t>
  </si>
  <si>
    <t>Total Taxes Other Than Income Taxes</t>
  </si>
  <si>
    <t>Operating Revenues and Income Taxes</t>
  </si>
  <si>
    <t>480-481</t>
  </si>
  <si>
    <t>Retail Rate Revenues</t>
  </si>
  <si>
    <t>Other Operating Revenues</t>
  </si>
  <si>
    <t>Negative Balancing Cashout</t>
  </si>
  <si>
    <t>Wholesale Sales</t>
  </si>
  <si>
    <t>Interdepartmental Sales</t>
  </si>
  <si>
    <t>Forfeited Discounts</t>
  </si>
  <si>
    <t>Miscellaneous Service Revenue</t>
  </si>
  <si>
    <t>Transportation Revenue</t>
  </si>
  <si>
    <t>Rental Income-Gas Prop</t>
  </si>
  <si>
    <t>Illinois Public Utility Tax</t>
  </si>
  <si>
    <t>Other Gas Revenues</t>
  </si>
  <si>
    <t>Total Other Operating Revenues</t>
  </si>
  <si>
    <t>Total Operating Revenues</t>
  </si>
  <si>
    <t>Total Expenses</t>
  </si>
  <si>
    <t>O&amp;M Expense</t>
  </si>
  <si>
    <t>Other Expense</t>
  </si>
  <si>
    <t>Operating Income Before Taxes</t>
  </si>
  <si>
    <t>Adjustments to Taxable Income</t>
  </si>
  <si>
    <t>Interest on LTD - Acct 427</t>
  </si>
  <si>
    <t>Other Adjustments</t>
  </si>
  <si>
    <t>Total Adjustments to Taxable Income</t>
  </si>
  <si>
    <t>Net Taxable Income</t>
  </si>
  <si>
    <t>Income Taxes</t>
  </si>
  <si>
    <t>Current Federal Income Tax</t>
  </si>
  <si>
    <t>Current Tax Expense</t>
  </si>
  <si>
    <t>Interest Synchronization</t>
  </si>
  <si>
    <t>Current State Income Tax</t>
  </si>
  <si>
    <t>410s less 411s</t>
  </si>
  <si>
    <t>Deferred Income Tax - Net</t>
  </si>
  <si>
    <t>Amortization of Invest Tax Credit</t>
  </si>
  <si>
    <t>Subtotal</t>
  </si>
  <si>
    <t>Total Income Taxes</t>
  </si>
  <si>
    <t>Federal Tax Rate</t>
  </si>
  <si>
    <t>Operating Income</t>
  </si>
  <si>
    <t>Return on Rate Base</t>
  </si>
  <si>
    <t>Please refer to Statement N (1). Peak facilities and mains (peaking) functions are considered demand-related. Mains (average) and gas supply costs are considered energy‐related and all other categories are considered customer‐related.</t>
  </si>
  <si>
    <t>Not applicable to MidAmerican Energy Company.</t>
  </si>
  <si>
    <t>Total</t>
  </si>
  <si>
    <t>Small</t>
  </si>
  <si>
    <t>Medium</t>
  </si>
  <si>
    <t>Large</t>
  </si>
  <si>
    <r>
      <t>Company</t>
    </r>
    <r>
      <rPr>
        <b/>
        <vertAlign val="superscript"/>
        <sz val="10"/>
        <rFont val="Arial"/>
        <family val="2"/>
      </rPr>
      <t>(1)</t>
    </r>
  </si>
  <si>
    <t>Jurisdictional Source:</t>
  </si>
  <si>
    <t>Statement O Workpaper - Tab SRC-1 (S.D. Sales)</t>
  </si>
  <si>
    <t>(1) From Company books and records.</t>
  </si>
  <si>
    <t>Rate</t>
  </si>
  <si>
    <t>Unbilled</t>
  </si>
  <si>
    <t>Transport</t>
  </si>
  <si>
    <t>Total Billed plus</t>
  </si>
  <si>
    <t>Class</t>
  </si>
  <si>
    <t>per Books</t>
  </si>
  <si>
    <t>Reallocation</t>
  </si>
  <si>
    <t>Unbilled &amp; Transport Alloc.</t>
  </si>
  <si>
    <t>Unbilled Residential</t>
  </si>
  <si>
    <t>NFS</t>
  </si>
  <si>
    <t>SVS</t>
  </si>
  <si>
    <t>Unbilled Commercial</t>
  </si>
  <si>
    <t>LVI</t>
  </si>
  <si>
    <t>MVS</t>
  </si>
  <si>
    <t>SSS</t>
  </si>
  <si>
    <t>SVI</t>
  </si>
  <si>
    <t>Unbilled Industrial</t>
  </si>
  <si>
    <t>Negative Balance</t>
  </si>
  <si>
    <t>Transportation</t>
  </si>
  <si>
    <t>CPT</t>
  </si>
  <si>
    <t>LVT</t>
  </si>
  <si>
    <t>MTM</t>
  </si>
  <si>
    <t>MVT</t>
  </si>
  <si>
    <t>STM</t>
  </si>
  <si>
    <t>SVT</t>
  </si>
  <si>
    <t>Line No.</t>
  </si>
  <si>
    <t>Company</t>
  </si>
  <si>
    <t>% of Total</t>
  </si>
  <si>
    <t>Source</t>
  </si>
  <si>
    <t>On Design Peak Day</t>
  </si>
  <si>
    <t>Throughput on Design Peak Day</t>
  </si>
  <si>
    <t>Statement O - Tab ALO-1, Line 18 &amp; Company books and records.</t>
  </si>
  <si>
    <t>Loss Factors</t>
  </si>
  <si>
    <t>Assumed 1.0</t>
  </si>
  <si>
    <t>Demand at TBS</t>
  </si>
  <si>
    <t>Line 1 * Line 2</t>
  </si>
  <si>
    <t>Total Annual</t>
  </si>
  <si>
    <t>Annual Sales</t>
  </si>
  <si>
    <t>Statement N (4)</t>
  </si>
  <si>
    <t>Annual Sales at TBS</t>
  </si>
  <si>
    <t>Line 4 * Line 5</t>
  </si>
  <si>
    <t>Please refer to Statement N (1).</t>
  </si>
  <si>
    <t>Please refer to Statements N (1) and N (2).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</si>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</sst>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mm/dd/yy;@"/>
    <numFmt numFmtId="169" formatCode="0.0000"/>
    <numFmt numFmtId="170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4" applyFont="1"/>
    <xf numFmtId="0" fontId="1" fillId="0" borderId="0" xfId="4"/>
    <xf numFmtId="0" fontId="3" fillId="0" borderId="0" xfId="4" applyFont="1" applyAlignment="1">
      <alignment horizontal="right"/>
    </xf>
    <xf numFmtId="0" fontId="2" fillId="0" borderId="0" xfId="4" applyFont="1" applyAlignment="1">
      <alignment horizontal="left"/>
    </xf>
    <xf numFmtId="165" fontId="1" fillId="0" borderId="1" xfId="2" applyNumberFormat="1" applyFont="1" applyBorder="1"/>
    <xf numFmtId="165" fontId="4" fillId="0" borderId="0" xfId="2" applyNumberFormat="1" applyFont="1"/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/>
    </xf>
    <xf numFmtId="0" fontId="5" fillId="0" borderId="0" xfId="4" applyFont="1"/>
    <xf numFmtId="165" fontId="5" fillId="0" borderId="0" xfId="2" applyNumberFormat="1" applyFont="1" applyFill="1"/>
    <xf numFmtId="165" fontId="5" fillId="0" borderId="0" xfId="2" applyNumberFormat="1" applyFont="1"/>
    <xf numFmtId="165" fontId="5" fillId="0" borderId="0" xfId="4" applyNumberFormat="1" applyFont="1"/>
    <xf numFmtId="165" fontId="1" fillId="0" borderId="1" xfId="2" applyNumberFormat="1" applyFont="1" applyFill="1" applyBorder="1"/>
    <xf numFmtId="165" fontId="1" fillId="0" borderId="0" xfId="2" applyNumberFormat="1" applyFont="1" applyFill="1"/>
    <xf numFmtId="165" fontId="1" fillId="0" borderId="0" xfId="2" applyNumberFormat="1" applyFont="1"/>
    <xf numFmtId="165" fontId="4" fillId="0" borderId="0" xfId="4" applyNumberFormat="1" applyFont="1"/>
    <xf numFmtId="165" fontId="1" fillId="0" borderId="0" xfId="2" applyNumberFormat="1" applyFont="1" applyFill="1" applyBorder="1"/>
    <xf numFmtId="10" fontId="1" fillId="0" borderId="0" xfId="3" applyNumberFormat="1" applyFont="1" applyFill="1"/>
    <xf numFmtId="10" fontId="1" fillId="0" borderId="0" xfId="3" applyNumberFormat="1" applyFont="1"/>
    <xf numFmtId="0" fontId="1" fillId="0" borderId="0" xfId="5"/>
    <xf numFmtId="0" fontId="1" fillId="0" borderId="0" xfId="5" applyAlignment="1">
      <alignment horizontal="center"/>
    </xf>
    <xf numFmtId="0" fontId="1" fillId="0" borderId="0" xfId="5" quotePrefix="1" applyAlignment="1">
      <alignment horizontal="center"/>
    </xf>
    <xf numFmtId="166" fontId="1" fillId="0" borderId="0" xfId="5" applyNumberFormat="1"/>
    <xf numFmtId="0" fontId="5" fillId="0" borderId="0" xfId="5" applyFont="1" applyAlignment="1">
      <alignment horizontal="center"/>
    </xf>
    <xf numFmtId="49" fontId="5" fillId="0" borderId="0" xfId="5" applyNumberFormat="1" applyFont="1" applyAlignment="1">
      <alignment horizontal="center"/>
    </xf>
    <xf numFmtId="49" fontId="5" fillId="0" borderId="1" xfId="5" applyNumberFormat="1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1" fillId="0" borderId="0" xfId="5" applyAlignment="1">
      <alignment horizontal="left"/>
    </xf>
    <xf numFmtId="0" fontId="7" fillId="0" borderId="0" xfId="6" applyAlignment="1">
      <alignment wrapText="1"/>
    </xf>
    <xf numFmtId="0" fontId="7" fillId="0" borderId="0" xfId="6"/>
    <xf numFmtId="10" fontId="1" fillId="0" borderId="0" xfId="3" applyNumberFormat="1" applyBorder="1"/>
    <xf numFmtId="43" fontId="1" fillId="0" borderId="0" xfId="5" applyNumberFormat="1"/>
    <xf numFmtId="166" fontId="7" fillId="0" borderId="2" xfId="1" applyNumberFormat="1" applyFont="1" applyFill="1" applyBorder="1" applyAlignment="1">
      <alignment horizontal="right" wrapText="1"/>
    </xf>
    <xf numFmtId="166" fontId="1" fillId="0" borderId="0" xfId="1" applyNumberFormat="1"/>
    <xf numFmtId="0" fontId="5" fillId="0" borderId="0" xfId="5" applyFont="1" applyAlignment="1">
      <alignment horizontal="left"/>
    </xf>
    <xf numFmtId="0" fontId="9" fillId="0" borderId="0" xfId="7"/>
    <xf numFmtId="0" fontId="10" fillId="0" borderId="0" xfId="7" applyFont="1"/>
    <xf numFmtId="0" fontId="11" fillId="0" borderId="0" xfId="8" applyFont="1" applyAlignment="1">
      <alignment horizontal="center"/>
    </xf>
    <xf numFmtId="0" fontId="11" fillId="0" borderId="0" xfId="7" applyFont="1" applyAlignment="1">
      <alignment horizontal="center"/>
    </xf>
    <xf numFmtId="0" fontId="11" fillId="0" borderId="1" xfId="8" applyFont="1" applyBorder="1" applyAlignment="1">
      <alignment horizontal="center"/>
    </xf>
    <xf numFmtId="0" fontId="12" fillId="0" borderId="0" xfId="7" applyFont="1"/>
    <xf numFmtId="0" fontId="10" fillId="0" borderId="0" xfId="8" applyFont="1" applyAlignment="1">
      <alignment horizontal="right"/>
    </xf>
    <xf numFmtId="0" fontId="10" fillId="0" borderId="0" xfId="8" applyFont="1" applyAlignment="1">
      <alignment horizontal="center"/>
    </xf>
    <xf numFmtId="168" fontId="10" fillId="0" borderId="0" xfId="8" applyNumberFormat="1" applyFont="1"/>
    <xf numFmtId="166" fontId="1" fillId="0" borderId="0" xfId="9" applyNumberFormat="1" applyFont="1" applyFill="1"/>
    <xf numFmtId="166" fontId="10" fillId="0" borderId="0" xfId="7" applyNumberFormat="1" applyFont="1"/>
    <xf numFmtId="3" fontId="1" fillId="0" borderId="0" xfId="7" applyNumberFormat="1" applyFont="1" applyAlignment="1">
      <alignment horizontal="right"/>
    </xf>
    <xf numFmtId="169" fontId="10" fillId="0" borderId="0" xfId="7" applyNumberFormat="1" applyFont="1"/>
    <xf numFmtId="166" fontId="10" fillId="0" borderId="2" xfId="7" applyNumberFormat="1" applyFont="1" applyBorder="1"/>
    <xf numFmtId="164" fontId="10" fillId="0" borderId="0" xfId="10" applyNumberFormat="1" applyFont="1"/>
    <xf numFmtId="164" fontId="10" fillId="0" borderId="0" xfId="10" applyNumberFormat="1" applyFont="1" applyFill="1"/>
    <xf numFmtId="170" fontId="10" fillId="0" borderId="2" xfId="11" applyNumberFormat="1" applyFont="1" applyBorder="1"/>
    <xf numFmtId="166" fontId="10" fillId="0" borderId="0" xfId="10" applyNumberFormat="1" applyFont="1"/>
    <xf numFmtId="0" fontId="10" fillId="0" borderId="0" xfId="7" applyFont="1" applyAlignment="1">
      <alignment horizontal="center"/>
    </xf>
    <xf numFmtId="0" fontId="11" fillId="0" borderId="1" xfId="7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4" applyAlignment="1">
      <alignment horizontal="center"/>
    </xf>
    <xf numFmtId="0" fontId="13" fillId="0" borderId="0" xfId="4" applyFont="1" applyAlignment="1">
      <alignment horizontal="right"/>
    </xf>
    <xf numFmtId="164" fontId="13" fillId="0" borderId="0" xfId="1" applyNumberFormat="1" applyFont="1" applyAlignment="1">
      <alignment horizontal="right"/>
    </xf>
    <xf numFmtId="0" fontId="1" fillId="0" borderId="0" xfId="4" applyAlignment="1">
      <alignment horizontal="left"/>
    </xf>
    <xf numFmtId="0" fontId="1" fillId="0" borderId="0" xfId="4" applyAlignment="1">
      <alignment horizontal="right"/>
    </xf>
    <xf numFmtId="0" fontId="13" fillId="0" borderId="1" xfId="4" applyFont="1" applyBorder="1"/>
    <xf numFmtId="0" fontId="1" fillId="0" borderId="1" xfId="4" applyBorder="1" applyAlignment="1">
      <alignment horizontal="center"/>
    </xf>
    <xf numFmtId="0" fontId="1" fillId="0" borderId="1" xfId="4" applyBorder="1" applyAlignment="1">
      <alignment horizontal="left"/>
    </xf>
    <xf numFmtId="0" fontId="1" fillId="0" borderId="1" xfId="4" applyBorder="1"/>
    <xf numFmtId="0" fontId="1" fillId="0" borderId="1" xfId="4" applyBorder="1" applyAlignment="1">
      <alignment horizontal="right"/>
    </xf>
    <xf numFmtId="0" fontId="13" fillId="0" borderId="0" xfId="4" applyFont="1" applyAlignment="1">
      <alignment horizontal="center"/>
    </xf>
    <xf numFmtId="0" fontId="13" fillId="0" borderId="0" xfId="4" quotePrefix="1" applyFont="1" applyAlignment="1">
      <alignment horizontal="center"/>
    </xf>
    <xf numFmtId="0" fontId="13" fillId="0" borderId="0" xfId="4" applyFont="1" applyAlignment="1">
      <alignment horizontal="left"/>
    </xf>
    <xf numFmtId="0" fontId="1" fillId="0" borderId="0" xfId="4" quotePrefix="1" applyAlignment="1">
      <alignment horizontal="left"/>
    </xf>
    <xf numFmtId="0" fontId="13" fillId="0" borderId="0" xfId="4" applyFont="1"/>
    <xf numFmtId="165" fontId="13" fillId="0" borderId="0" xfId="2" applyNumberFormat="1" applyFont="1"/>
    <xf numFmtId="165" fontId="1" fillId="0" borderId="0" xfId="4" applyNumberFormat="1"/>
    <xf numFmtId="0" fontId="1" fillId="0" borderId="1" xfId="4" quotePrefix="1" applyBorder="1" applyAlignment="1">
      <alignment horizontal="left"/>
    </xf>
    <xf numFmtId="165" fontId="13" fillId="0" borderId="1" xfId="2" applyNumberFormat="1" applyFont="1" applyBorder="1"/>
    <xf numFmtId="165" fontId="1" fillId="0" borderId="1" xfId="4" applyNumberFormat="1" applyBorder="1"/>
    <xf numFmtId="165" fontId="13" fillId="0" borderId="0" xfId="2" applyNumberFormat="1" applyFont="1" applyFill="1"/>
    <xf numFmtId="0" fontId="1" fillId="0" borderId="0" xfId="4" quotePrefix="1"/>
    <xf numFmtId="43" fontId="13" fillId="0" borderId="0" xfId="1" applyFont="1" applyAlignment="1" applyProtection="1">
      <alignment horizontal="center"/>
    </xf>
    <xf numFmtId="3" fontId="1" fillId="0" borderId="0" xfId="4" applyNumberFormat="1"/>
    <xf numFmtId="0" fontId="13" fillId="0" borderId="0" xfId="4" applyFont="1" applyAlignment="1">
      <alignment horizontal="left" indent="2"/>
    </xf>
    <xf numFmtId="165" fontId="5" fillId="0" borderId="0" xfId="2" applyNumberFormat="1" applyFont="1" applyFill="1" applyBorder="1"/>
    <xf numFmtId="166" fontId="1" fillId="0" borderId="0" xfId="4" applyNumberFormat="1"/>
    <xf numFmtId="165" fontId="1" fillId="0" borderId="0" xfId="2" quotePrefix="1" applyNumberFormat="1" applyFont="1"/>
    <xf numFmtId="164" fontId="1" fillId="0" borderId="0" xfId="1" quotePrefix="1" applyNumberFormat="1" applyFont="1"/>
    <xf numFmtId="167" fontId="1" fillId="0" borderId="0" xfId="3" quotePrefix="1" applyNumberFormat="1" applyFont="1"/>
    <xf numFmtId="0" fontId="13" fillId="0" borderId="0" xfId="0" applyFont="1"/>
    <xf numFmtId="0" fontId="0" fillId="0" borderId="0" xfId="0" applyAlignment="1">
      <alignment horizontal="left" wrapText="1"/>
    </xf>
  </cellXfs>
  <cellStyles count="12">
    <cellStyle name="Comma" xfId="1" builtinId="3"/>
    <cellStyle name="Comma 2" xfId="10" xr:uid="{25F2B504-BCF4-4DE3-84A9-CB5B2FFE3C9B}"/>
    <cellStyle name="Comma 2 2" xfId="9" xr:uid="{F7D56FA4-DB29-44B8-80EB-D8101A38A9DE}"/>
    <cellStyle name="Currency" xfId="2" builtinId="4"/>
    <cellStyle name="Normal" xfId="0" builtinId="0"/>
    <cellStyle name="Normal 13" xfId="4" xr:uid="{AF2E2C79-5BD3-4472-B30F-A3F2F214D026}"/>
    <cellStyle name="Normal 2" xfId="7" xr:uid="{007B5BC9-D60A-4659-B08A-94505F12E04D}"/>
    <cellStyle name="Normal 3" xfId="5" xr:uid="{FAFD1A23-15B3-49EA-A690-2110D3ED2BF9}"/>
    <cellStyle name="Normal 4 4" xfId="8" xr:uid="{9584F6EE-D83C-4C68-9913-1A7D3E54B100}"/>
    <cellStyle name="Normal_2011" xfId="6" xr:uid="{4C49A88E-566A-4786-8F9B-0CAFEA1145D5}"/>
    <cellStyle name="Percent" xfId="3" builtinId="5"/>
    <cellStyle name="Percent 2" xfId="11" xr:uid="{B963B963-B179-4F9A-B511-9A58EE6B53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Users_Corp_L-Z\T32061\PGA\PGA11_12\Feb\Iowa%20fil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cwss/sites/regulatory/regpricingrates/2014%20South%20Dakota%20Gas%20Rate%20Filing/Filing%20Requirements/Approved,%20Final%20and%20Printed/COSS/Cost%20of%20Service%20Model%20-%20South%20Dakota%20Gas_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ed%20Pricing/SD%20Gas%20Rate%20Case-2022/Cost%20of%20Service%20and%20Rate%20Comparisons/Clean%20Final%20Workpapers/Final%20Cost%20of%20Service%20Model%20-%20South%20Dakota%20Gas_Cle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cwss/Regulated%20Pricing/COSS%20IA%20Elec%202011/CBR-Final%20for%202011/Inputs/Sales%20Rev%20Cust/CURST401D%20Revenue%20Balancing_201101_201112%20-%20EEC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Regulated%20Pricing\COSS%20IA%20Elec%202011\CBR-Final%20for%202011\Inputs\Sales%20Rev%20Cust\CURST401D%20Revenue%20Balancing_201101_201112%20-%20EE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LPGA"/>
      <sheetName val="CONSLDMD"/>
      <sheetName val="Rider 1"/>
      <sheetName val="PGACRED"/>
      <sheetName val="PGAREDUC"/>
      <sheetName val="IGSPP"/>
      <sheetName val="CONSLCOM"/>
      <sheetName val="RBFACTOR - IOWA"/>
      <sheetName val="Rb Monthly"/>
      <sheetName val="Stg Factor"/>
      <sheetName val="LIFO Detail"/>
      <sheetName val="2012 Storage Gas"/>
      <sheetName val="Capacity Reser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-1 (Results)"/>
      <sheetName val="FUN-2 (Test Year)"/>
      <sheetName val="FUN-3 (Functional COS)"/>
      <sheetName val="FUN-4 (Functional Allocators)"/>
      <sheetName val="FUN-5 (Payroll)"/>
      <sheetName val="CLS1-1 (Class COS)"/>
      <sheetName val="SRC-1 (S.D. Sales)"/>
      <sheetName val="SRC-2 (S.D. Revenue)"/>
      <sheetName val="SRC-3 (S.D. Riders)"/>
      <sheetName val="SRC-4 (S.D. Customers)"/>
      <sheetName val="SRC-5 (Monthly Sales)"/>
      <sheetName val="ALO-1 (Design Day Peak)"/>
      <sheetName val="RD-1 (SV)"/>
      <sheetName val="RD-2 (MV)"/>
      <sheetName val="RD-3 (LV)"/>
      <sheetName val="RD-4 (MTR)"/>
      <sheetName val="Billing Determinants"/>
      <sheetName val="Rate Summary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-1 (Results)"/>
      <sheetName val="FUN-2 (Test Year)"/>
      <sheetName val="FUN-3 (Functional COS)"/>
      <sheetName val="FUN-4 (Functional Allocators)"/>
      <sheetName val="FUN-5 (Payroll)"/>
      <sheetName val="CLS1-1 (Class COS)"/>
      <sheetName val="SRC-1 (S.D. Sales)"/>
      <sheetName val="SRC-2 (S.D. Revenue)"/>
      <sheetName val="SRC-3 (S.D. Riders)"/>
      <sheetName val="SRC-4 (S.D. Customers)"/>
      <sheetName val="SRC-5 (Monthly Sales)"/>
      <sheetName val="ALO-1 (Design Day Peak)"/>
      <sheetName val="RD-1 (SV)"/>
      <sheetName val="RD-2 (MV)"/>
      <sheetName val="RD-3 (LV)"/>
      <sheetName val="RD-4 (MTR)"/>
      <sheetName val="RD-5 (INTRVL METER) "/>
      <sheetName val="RD-6 (NF RATE SCHEDULE)"/>
      <sheetName val="Billing Determinants"/>
      <sheetName val="Rat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Dollars-orig"/>
      <sheetName val="Adjusted Revenue-orig"/>
      <sheetName val="Revenue Dollars-IA elec"/>
      <sheetName val="Adjusted Revenue-IA elec"/>
      <sheetName val="Rev+Adj-IA elec"/>
      <sheetName val="Rev+Adj-IA elec total"/>
      <sheetName val="Macro1"/>
      <sheetName val="IA elec total by Zone and Class"/>
      <sheetName val="LU"/>
      <sheetName val="SSAB EE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Dollars-orig"/>
      <sheetName val="Adjusted Revenue-orig"/>
      <sheetName val="Revenue Dollars-IA elec"/>
      <sheetName val="Adjusted Revenue-IA elec"/>
      <sheetName val="Rev+Adj-IA elec"/>
      <sheetName val="Rev+Adj-IA elec total"/>
      <sheetName val="Macro1"/>
      <sheetName val="IA elec total by Zone and Class"/>
      <sheetName val="LU"/>
      <sheetName val="SSAB EE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D368-CCA1-487E-BEFF-FD9A2D3BFCE5}">
  <dimension ref="A1:AF278"/>
  <sheetViews>
    <sheetView tabSelected="1" view="pageLayout" zoomScaleNormal="55" workbookViewId="0"/>
  </sheetViews>
  <sheetFormatPr defaultColWidth="9.140625" defaultRowHeight="12.75" x14ac:dyDescent="0.2"/>
  <cols>
    <col min="1" max="1" width="5.85546875" style="2" customWidth="1"/>
    <col min="2" max="2" width="6" style="57" customWidth="1"/>
    <col min="3" max="3" width="14" style="2" customWidth="1"/>
    <col min="4" max="6" width="3.28515625" style="2" customWidth="1"/>
    <col min="7" max="7" width="37.140625" style="2" customWidth="1"/>
    <col min="8" max="8" width="18.140625" style="2" customWidth="1"/>
    <col min="9" max="9" width="17" style="2" bestFit="1" customWidth="1"/>
    <col min="10" max="10" width="16.28515625" style="2" bestFit="1" customWidth="1"/>
    <col min="11" max="11" width="15.28515625" style="2" bestFit="1" customWidth="1"/>
    <col min="12" max="12" width="16.28515625" style="2" bestFit="1" customWidth="1"/>
    <col min="13" max="13" width="15.28515625" style="2" bestFit="1" customWidth="1"/>
    <col min="14" max="14" width="14.5703125" style="2" bestFit="1" customWidth="1"/>
    <col min="15" max="16" width="14.28515625" style="2" bestFit="1" customWidth="1"/>
    <col min="17" max="18" width="15.7109375" style="2" customWidth="1"/>
    <col min="19" max="19" width="16.7109375" style="2" bestFit="1" customWidth="1"/>
    <col min="20" max="20" width="18.140625" style="2" customWidth="1"/>
    <col min="21" max="21" width="14.5703125" style="2" customWidth="1"/>
    <col min="22" max="16384" width="9.140625" style="2"/>
  </cols>
  <sheetData>
    <row r="1" spans="1:21" ht="18" x14ac:dyDescent="0.25">
      <c r="A1" s="1" t="s">
        <v>0</v>
      </c>
      <c r="B1" s="2"/>
      <c r="D1" s="57"/>
    </row>
    <row r="2" spans="1:21" ht="15" x14ac:dyDescent="0.25">
      <c r="B2" s="2"/>
      <c r="D2" s="57"/>
      <c r="H2" s="58" t="s">
        <v>1</v>
      </c>
      <c r="Q2" s="59" t="s">
        <v>2</v>
      </c>
      <c r="R2" s="59" t="s">
        <v>3</v>
      </c>
    </row>
    <row r="3" spans="1:21" ht="15" x14ac:dyDescent="0.25">
      <c r="A3" s="2" t="s">
        <v>11</v>
      </c>
      <c r="B3" s="57" t="s">
        <v>4</v>
      </c>
      <c r="C3" s="60"/>
      <c r="H3" s="58" t="s">
        <v>5</v>
      </c>
      <c r="I3" s="61"/>
      <c r="J3" s="61" t="s">
        <v>6</v>
      </c>
      <c r="K3" s="61" t="s">
        <v>6</v>
      </c>
      <c r="L3" s="61"/>
      <c r="M3" s="61"/>
      <c r="N3" s="61"/>
      <c r="O3" s="61" t="s">
        <v>7</v>
      </c>
      <c r="P3" s="61" t="s">
        <v>8</v>
      </c>
      <c r="Q3" s="61" t="s">
        <v>9</v>
      </c>
      <c r="R3" s="61" t="s">
        <v>9</v>
      </c>
      <c r="S3" s="61" t="s">
        <v>10</v>
      </c>
      <c r="T3" s="61"/>
      <c r="U3" s="61"/>
    </row>
    <row r="4" spans="1:21" ht="15" x14ac:dyDescent="0.25">
      <c r="A4" s="62" t="s">
        <v>273</v>
      </c>
      <c r="B4" s="63" t="s">
        <v>12</v>
      </c>
      <c r="C4" s="64" t="s">
        <v>13</v>
      </c>
      <c r="D4" s="65" t="s">
        <v>14</v>
      </c>
      <c r="E4" s="65"/>
      <c r="F4" s="65"/>
      <c r="G4" s="65"/>
      <c r="H4" s="66" t="s">
        <v>15</v>
      </c>
      <c r="I4" s="66" t="s">
        <v>16</v>
      </c>
      <c r="J4" s="66" t="s">
        <v>17</v>
      </c>
      <c r="K4" s="66" t="s">
        <v>18</v>
      </c>
      <c r="L4" s="66" t="s">
        <v>19</v>
      </c>
      <c r="M4" s="66" t="s">
        <v>20</v>
      </c>
      <c r="N4" s="66" t="s">
        <v>21</v>
      </c>
      <c r="O4" s="66" t="s">
        <v>20</v>
      </c>
      <c r="P4" s="66" t="s">
        <v>22</v>
      </c>
      <c r="Q4" s="66" t="s">
        <v>23</v>
      </c>
      <c r="R4" s="66" t="s">
        <v>23</v>
      </c>
      <c r="S4" s="66" t="s">
        <v>24</v>
      </c>
      <c r="T4" s="66" t="s">
        <v>25</v>
      </c>
      <c r="U4" s="3"/>
    </row>
    <row r="5" spans="1:21" ht="15" x14ac:dyDescent="0.25">
      <c r="B5" s="67" t="s">
        <v>26</v>
      </c>
      <c r="C5" s="67" t="s">
        <v>27</v>
      </c>
      <c r="D5" s="67" t="s">
        <v>28</v>
      </c>
      <c r="E5" s="67" t="s">
        <v>29</v>
      </c>
      <c r="F5" s="67" t="s">
        <v>30</v>
      </c>
      <c r="G5" s="57"/>
      <c r="H5" s="67" t="s">
        <v>31</v>
      </c>
      <c r="I5" s="67" t="s">
        <v>32</v>
      </c>
      <c r="J5" s="67" t="s">
        <v>33</v>
      </c>
      <c r="K5" s="67" t="s">
        <v>34</v>
      </c>
      <c r="L5" s="67" t="s">
        <v>35</v>
      </c>
      <c r="M5" s="67" t="s">
        <v>36</v>
      </c>
      <c r="N5" s="67" t="s">
        <v>37</v>
      </c>
      <c r="O5" s="67" t="s">
        <v>38</v>
      </c>
      <c r="P5" s="67" t="s">
        <v>39</v>
      </c>
      <c r="Q5" s="67" t="s">
        <v>40</v>
      </c>
      <c r="R5" s="67" t="s">
        <v>41</v>
      </c>
      <c r="S5" s="67" t="s">
        <v>42</v>
      </c>
      <c r="T5" s="68" t="s">
        <v>43</v>
      </c>
    </row>
    <row r="6" spans="1:21" x14ac:dyDescent="0.2">
      <c r="B6" s="2"/>
      <c r="D6" s="57"/>
    </row>
    <row r="7" spans="1:21" ht="18" x14ac:dyDescent="0.25">
      <c r="A7" s="4" t="s">
        <v>44</v>
      </c>
      <c r="B7" s="2"/>
      <c r="C7" s="4"/>
    </row>
    <row r="8" spans="1:21" x14ac:dyDescent="0.2">
      <c r="C8" s="60"/>
    </row>
    <row r="9" spans="1:21" ht="15" x14ac:dyDescent="0.25">
      <c r="C9" s="57"/>
      <c r="D9" s="69" t="s">
        <v>45</v>
      </c>
    </row>
    <row r="10" spans="1:21" ht="15" x14ac:dyDescent="0.25">
      <c r="A10" s="60">
        <v>1</v>
      </c>
      <c r="B10" s="57">
        <v>1.1000000000000001</v>
      </c>
      <c r="C10" s="70">
        <v>304</v>
      </c>
      <c r="D10" s="60"/>
      <c r="E10" s="71" t="s">
        <v>46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3">
        <f>SUM(I10:S10)-H10</f>
        <v>0</v>
      </c>
    </row>
    <row r="11" spans="1:21" ht="15" x14ac:dyDescent="0.25">
      <c r="A11" s="60">
        <f>+A10+1</f>
        <v>2</v>
      </c>
      <c r="B11" s="57">
        <v>1.1000000000000001</v>
      </c>
      <c r="C11" s="70">
        <v>305</v>
      </c>
      <c r="D11" s="60"/>
      <c r="E11" s="71" t="s">
        <v>47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3">
        <f t="shared" ref="T11:T16" si="0">SUM(I11:S11)-H11</f>
        <v>0</v>
      </c>
    </row>
    <row r="12" spans="1:21" ht="15" x14ac:dyDescent="0.25">
      <c r="A12" s="60">
        <f>+A11+1</f>
        <v>3</v>
      </c>
      <c r="B12" s="57">
        <v>1.1000000000000001</v>
      </c>
      <c r="C12" s="70">
        <v>306</v>
      </c>
      <c r="D12" s="60"/>
      <c r="E12" s="71" t="s">
        <v>48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3">
        <f t="shared" ref="T12:T13" si="1">SUM(I12:S12)-H12</f>
        <v>0</v>
      </c>
    </row>
    <row r="13" spans="1:21" ht="15" x14ac:dyDescent="0.25">
      <c r="A13" s="60">
        <f>+A12+1</f>
        <v>4</v>
      </c>
      <c r="B13" s="57">
        <v>1.1000000000000001</v>
      </c>
      <c r="C13" s="70">
        <v>307</v>
      </c>
      <c r="D13" s="60"/>
      <c r="E13" s="71" t="s">
        <v>49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3">
        <f t="shared" si="1"/>
        <v>0</v>
      </c>
    </row>
    <row r="14" spans="1:21" ht="15" x14ac:dyDescent="0.25">
      <c r="A14" s="60">
        <f t="shared" ref="A14:A16" si="2">+A13+1</f>
        <v>5</v>
      </c>
      <c r="B14" s="57">
        <v>1.1000000000000001</v>
      </c>
      <c r="C14" s="70">
        <v>311</v>
      </c>
      <c r="D14" s="60"/>
      <c r="E14" s="2" t="s">
        <v>50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3">
        <f t="shared" si="0"/>
        <v>0</v>
      </c>
    </row>
    <row r="15" spans="1:21" ht="15" x14ac:dyDescent="0.25">
      <c r="A15" s="64">
        <f t="shared" si="2"/>
        <v>6</v>
      </c>
      <c r="B15" s="63">
        <v>1.1000000000000001</v>
      </c>
      <c r="C15" s="74">
        <v>320</v>
      </c>
      <c r="D15" s="64"/>
      <c r="E15" s="65" t="s">
        <v>51</v>
      </c>
      <c r="F15" s="65"/>
      <c r="G15" s="65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75">
        <v>0</v>
      </c>
      <c r="S15" s="75">
        <v>0</v>
      </c>
      <c r="T15" s="76">
        <f t="shared" si="0"/>
        <v>0</v>
      </c>
    </row>
    <row r="16" spans="1:21" ht="15" x14ac:dyDescent="0.25">
      <c r="A16" s="60">
        <f t="shared" si="2"/>
        <v>7</v>
      </c>
      <c r="C16" s="60" t="s">
        <v>52</v>
      </c>
      <c r="D16" s="69" t="s">
        <v>53</v>
      </c>
      <c r="H16" s="72">
        <f t="shared" ref="H16:S16" si="3">SUM(H10:H15)</f>
        <v>0</v>
      </c>
      <c r="I16" s="72">
        <f t="shared" si="3"/>
        <v>0</v>
      </c>
      <c r="J16" s="72">
        <f t="shared" si="3"/>
        <v>0</v>
      </c>
      <c r="K16" s="72">
        <f t="shared" si="3"/>
        <v>0</v>
      </c>
      <c r="L16" s="72">
        <f t="shared" si="3"/>
        <v>0</v>
      </c>
      <c r="M16" s="72">
        <f t="shared" si="3"/>
        <v>0</v>
      </c>
      <c r="N16" s="72">
        <f t="shared" si="3"/>
        <v>0</v>
      </c>
      <c r="O16" s="72">
        <f t="shared" si="3"/>
        <v>0</v>
      </c>
      <c r="P16" s="72">
        <f t="shared" si="3"/>
        <v>0</v>
      </c>
      <c r="Q16" s="72">
        <f t="shared" si="3"/>
        <v>0</v>
      </c>
      <c r="R16" s="72">
        <f t="shared" si="3"/>
        <v>0</v>
      </c>
      <c r="S16" s="72">
        <f t="shared" si="3"/>
        <v>0</v>
      </c>
      <c r="T16" s="73">
        <f t="shared" si="0"/>
        <v>0</v>
      </c>
    </row>
    <row r="17" spans="1:20" ht="15" x14ac:dyDescent="0.25">
      <c r="A17" s="60"/>
      <c r="C17" s="60"/>
      <c r="H17" s="72"/>
      <c r="T17" s="73"/>
    </row>
    <row r="18" spans="1:20" ht="15" x14ac:dyDescent="0.25">
      <c r="A18" s="60"/>
      <c r="C18" s="60"/>
      <c r="D18" s="71" t="s">
        <v>54</v>
      </c>
      <c r="H18" s="72"/>
      <c r="T18" s="73"/>
    </row>
    <row r="19" spans="1:20" ht="15" x14ac:dyDescent="0.25">
      <c r="A19" s="60">
        <f>+A16+1</f>
        <v>8</v>
      </c>
      <c r="B19" s="57">
        <v>1.1000000000000001</v>
      </c>
      <c r="C19" s="60">
        <v>360</v>
      </c>
      <c r="D19" s="71"/>
      <c r="E19" s="71" t="s">
        <v>46</v>
      </c>
      <c r="H19" s="72">
        <v>25944.880000000001</v>
      </c>
      <c r="I19" s="72">
        <v>25944.880000000001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3">
        <f t="shared" ref="T19:T26" si="4">SUM(I19:S19)-H19</f>
        <v>0</v>
      </c>
    </row>
    <row r="20" spans="1:20" ht="15" x14ac:dyDescent="0.25">
      <c r="A20" s="60">
        <f>+A19+1</f>
        <v>9</v>
      </c>
      <c r="B20" s="57">
        <v>1.1000000000000001</v>
      </c>
      <c r="C20" s="60">
        <v>361</v>
      </c>
      <c r="D20" s="71"/>
      <c r="E20" s="71" t="s">
        <v>47</v>
      </c>
      <c r="H20" s="72">
        <v>898267.46</v>
      </c>
      <c r="I20" s="72">
        <v>898267.46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3">
        <f t="shared" si="4"/>
        <v>0</v>
      </c>
    </row>
    <row r="21" spans="1:20" ht="15" x14ac:dyDescent="0.25">
      <c r="A21" s="60">
        <f t="shared" ref="A21:A28" si="5">+A20+1</f>
        <v>10</v>
      </c>
      <c r="B21" s="57">
        <v>1.1000000000000001</v>
      </c>
      <c r="C21" s="60">
        <v>362</v>
      </c>
      <c r="D21" s="71"/>
      <c r="E21" s="71" t="s">
        <v>55</v>
      </c>
      <c r="H21" s="72">
        <v>1289057.1900000002</v>
      </c>
      <c r="I21" s="72">
        <v>1289057.1900000002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3">
        <f t="shared" si="4"/>
        <v>0</v>
      </c>
    </row>
    <row r="22" spans="1:20" ht="15" x14ac:dyDescent="0.25">
      <c r="A22" s="60">
        <f t="shared" si="5"/>
        <v>11</v>
      </c>
      <c r="B22" s="57">
        <v>1.1000000000000001</v>
      </c>
      <c r="C22" s="60">
        <v>363</v>
      </c>
      <c r="D22" s="71"/>
      <c r="E22" s="71" t="s">
        <v>56</v>
      </c>
      <c r="H22" s="72">
        <v>398213.09</v>
      </c>
      <c r="I22" s="72">
        <v>398213.09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3">
        <f t="shared" si="4"/>
        <v>0</v>
      </c>
    </row>
    <row r="23" spans="1:20" ht="15" x14ac:dyDescent="0.25">
      <c r="A23" s="60">
        <f t="shared" si="5"/>
        <v>12</v>
      </c>
      <c r="B23" s="57">
        <v>1.1000000000000001</v>
      </c>
      <c r="C23" s="60">
        <v>363.1</v>
      </c>
      <c r="D23" s="71"/>
      <c r="E23" s="71" t="s">
        <v>57</v>
      </c>
      <c r="H23" s="72">
        <v>776170</v>
      </c>
      <c r="I23" s="72">
        <v>776170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3">
        <f t="shared" si="4"/>
        <v>0</v>
      </c>
    </row>
    <row r="24" spans="1:20" ht="15" x14ac:dyDescent="0.25">
      <c r="A24" s="60">
        <f t="shared" si="5"/>
        <v>13</v>
      </c>
      <c r="B24" s="57">
        <v>1.1000000000000001</v>
      </c>
      <c r="C24" s="60">
        <v>363.2</v>
      </c>
      <c r="D24" s="71"/>
      <c r="E24" s="71" t="s">
        <v>58</v>
      </c>
      <c r="H24" s="72">
        <v>261336.01</v>
      </c>
      <c r="I24" s="72">
        <v>261336.01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3">
        <f t="shared" si="4"/>
        <v>0</v>
      </c>
    </row>
    <row r="25" spans="1:20" ht="15" x14ac:dyDescent="0.25">
      <c r="A25" s="60">
        <f t="shared" si="5"/>
        <v>14</v>
      </c>
      <c r="B25" s="57">
        <v>1.1000000000000001</v>
      </c>
      <c r="C25" s="60">
        <v>363.3</v>
      </c>
      <c r="D25" s="71"/>
      <c r="E25" s="71" t="s">
        <v>59</v>
      </c>
      <c r="H25" s="72">
        <v>322441.24000000005</v>
      </c>
      <c r="I25" s="72">
        <v>322441.24000000005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3">
        <f t="shared" si="4"/>
        <v>0</v>
      </c>
    </row>
    <row r="26" spans="1:20" ht="15" x14ac:dyDescent="0.25">
      <c r="A26" s="60">
        <f t="shared" si="5"/>
        <v>15</v>
      </c>
      <c r="B26" s="57">
        <v>1.1000000000000001</v>
      </c>
      <c r="C26" s="60">
        <v>363.4</v>
      </c>
      <c r="D26" s="71"/>
      <c r="E26" s="71" t="s">
        <v>60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3">
        <f t="shared" si="4"/>
        <v>0</v>
      </c>
    </row>
    <row r="27" spans="1:20" ht="15" x14ac:dyDescent="0.25">
      <c r="A27" s="64">
        <f t="shared" si="5"/>
        <v>16</v>
      </c>
      <c r="B27" s="63">
        <v>1.1000000000000001</v>
      </c>
      <c r="C27" s="64">
        <v>363.5</v>
      </c>
      <c r="D27" s="65"/>
      <c r="E27" s="62" t="s">
        <v>61</v>
      </c>
      <c r="F27" s="65"/>
      <c r="G27" s="65"/>
      <c r="H27" s="5">
        <v>1898693.72</v>
      </c>
      <c r="I27" s="5">
        <v>1898693.72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75">
        <v>0</v>
      </c>
      <c r="S27" s="75">
        <v>0</v>
      </c>
      <c r="T27" s="76">
        <f t="shared" ref="T27" si="6">SUM(I27:S27)-H27</f>
        <v>0</v>
      </c>
    </row>
    <row r="28" spans="1:20" ht="15" x14ac:dyDescent="0.25">
      <c r="A28" s="60">
        <f t="shared" si="5"/>
        <v>17</v>
      </c>
      <c r="C28" s="60"/>
      <c r="D28" s="69" t="s">
        <v>62</v>
      </c>
      <c r="H28" s="77">
        <f>SUM(H19:H27)</f>
        <v>5870123.5899999999</v>
      </c>
      <c r="I28" s="72">
        <f t="shared" ref="I28:T28" si="7">SUM(I19:I27)</f>
        <v>5870123.5899999999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7"/>
        <v>0</v>
      </c>
      <c r="O28" s="72">
        <f t="shared" si="7"/>
        <v>0</v>
      </c>
      <c r="P28" s="72">
        <f t="shared" si="7"/>
        <v>0</v>
      </c>
      <c r="Q28" s="72">
        <f t="shared" si="7"/>
        <v>0</v>
      </c>
      <c r="R28" s="72">
        <f t="shared" si="7"/>
        <v>0</v>
      </c>
      <c r="S28" s="72">
        <f t="shared" si="7"/>
        <v>0</v>
      </c>
      <c r="T28" s="72">
        <f t="shared" si="7"/>
        <v>0</v>
      </c>
    </row>
    <row r="29" spans="1:20" ht="15" x14ac:dyDescent="0.25">
      <c r="A29" s="60"/>
      <c r="C29" s="60"/>
      <c r="H29" s="72"/>
      <c r="T29" s="73"/>
    </row>
    <row r="30" spans="1:20" ht="15" x14ac:dyDescent="0.25">
      <c r="A30" s="60"/>
      <c r="C30" s="60"/>
      <c r="D30" s="2" t="s">
        <v>63</v>
      </c>
      <c r="H30" s="72"/>
      <c r="T30" s="73"/>
    </row>
    <row r="31" spans="1:20" ht="15" x14ac:dyDescent="0.25">
      <c r="A31" s="60">
        <f>+A28+1</f>
        <v>18</v>
      </c>
      <c r="B31" s="57">
        <v>1.2</v>
      </c>
      <c r="C31" s="60">
        <v>374</v>
      </c>
      <c r="E31" s="2" t="s">
        <v>46</v>
      </c>
      <c r="H31" s="72">
        <v>367011.62999999995</v>
      </c>
      <c r="I31" s="72">
        <v>0</v>
      </c>
      <c r="J31" s="72">
        <v>108260.00492039941</v>
      </c>
      <c r="K31" s="72">
        <v>258751.62507960052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3">
        <f t="shared" ref="T31:T43" si="8">SUM(I31:S31)-H31</f>
        <v>0</v>
      </c>
    </row>
    <row r="32" spans="1:20" ht="15" x14ac:dyDescent="0.25">
      <c r="A32" s="60">
        <f>+A31+1</f>
        <v>19</v>
      </c>
      <c r="B32" s="57">
        <v>1.2</v>
      </c>
      <c r="C32" s="60">
        <v>375</v>
      </c>
      <c r="E32" s="2" t="s">
        <v>64</v>
      </c>
      <c r="H32" s="72">
        <v>59953.310000000005</v>
      </c>
      <c r="I32" s="72">
        <v>0</v>
      </c>
      <c r="J32" s="72">
        <v>17684.850029396162</v>
      </c>
      <c r="K32" s="72">
        <v>42268.459970603843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3">
        <f t="shared" si="8"/>
        <v>0</v>
      </c>
    </row>
    <row r="33" spans="1:20" ht="15" x14ac:dyDescent="0.25">
      <c r="A33" s="60">
        <f t="shared" ref="A33:A43" si="9">+A32+1</f>
        <v>20</v>
      </c>
      <c r="B33" s="57">
        <v>1.2</v>
      </c>
      <c r="C33" s="60">
        <v>376</v>
      </c>
      <c r="E33" s="2" t="s">
        <v>6</v>
      </c>
      <c r="H33" s="72">
        <v>114174533.18000001</v>
      </c>
      <c r="I33" s="72">
        <v>0</v>
      </c>
      <c r="J33" s="72">
        <v>33678866.045337878</v>
      </c>
      <c r="K33" s="72">
        <v>80495667.134662122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3">
        <f t="shared" si="8"/>
        <v>0</v>
      </c>
    </row>
    <row r="34" spans="1:20" ht="15" x14ac:dyDescent="0.25">
      <c r="A34" s="60">
        <f t="shared" si="9"/>
        <v>21</v>
      </c>
      <c r="B34" s="57">
        <v>1.2</v>
      </c>
      <c r="C34" s="60">
        <v>377</v>
      </c>
      <c r="E34" s="2" t="s">
        <v>65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3">
        <f t="shared" si="8"/>
        <v>0</v>
      </c>
    </row>
    <row r="35" spans="1:20" ht="15" x14ac:dyDescent="0.25">
      <c r="A35" s="60">
        <f t="shared" si="9"/>
        <v>22</v>
      </c>
      <c r="B35" s="57">
        <v>1.2</v>
      </c>
      <c r="C35" s="60">
        <v>378</v>
      </c>
      <c r="E35" s="2" t="s">
        <v>66</v>
      </c>
      <c r="H35" s="72">
        <v>4377217.84</v>
      </c>
      <c r="I35" s="72">
        <v>0</v>
      </c>
      <c r="J35" s="72">
        <v>1291178.7697192598</v>
      </c>
      <c r="K35" s="72">
        <v>3086039.07028074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3">
        <f t="shared" si="8"/>
        <v>0</v>
      </c>
    </row>
    <row r="36" spans="1:20" ht="15" x14ac:dyDescent="0.25">
      <c r="A36" s="60">
        <f t="shared" si="9"/>
        <v>23</v>
      </c>
      <c r="B36" s="57">
        <v>1.2</v>
      </c>
      <c r="C36" s="60">
        <v>379</v>
      </c>
      <c r="E36" s="2" t="s">
        <v>67</v>
      </c>
      <c r="H36" s="72">
        <v>2971367.86</v>
      </c>
      <c r="I36" s="72">
        <v>0</v>
      </c>
      <c r="J36" s="72">
        <v>876485.30141651561</v>
      </c>
      <c r="K36" s="72">
        <v>2094882.5585834843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3">
        <f t="shared" si="8"/>
        <v>0</v>
      </c>
    </row>
    <row r="37" spans="1:20" ht="15" x14ac:dyDescent="0.25">
      <c r="A37" s="60">
        <f t="shared" si="9"/>
        <v>24</v>
      </c>
      <c r="B37" s="57">
        <v>1.3</v>
      </c>
      <c r="C37" s="60">
        <v>380</v>
      </c>
      <c r="E37" s="2" t="s">
        <v>19</v>
      </c>
      <c r="H37" s="72">
        <v>78978153.039999992</v>
      </c>
      <c r="I37" s="72">
        <v>0</v>
      </c>
      <c r="J37" s="72">
        <v>0</v>
      </c>
      <c r="K37" s="72">
        <v>0</v>
      </c>
      <c r="L37" s="72">
        <v>78978153.039999992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3">
        <f t="shared" si="8"/>
        <v>0</v>
      </c>
    </row>
    <row r="38" spans="1:20" ht="15" x14ac:dyDescent="0.25">
      <c r="A38" s="60">
        <f t="shared" si="9"/>
        <v>25</v>
      </c>
      <c r="B38" s="57">
        <v>1.4</v>
      </c>
      <c r="C38" s="60">
        <v>381</v>
      </c>
      <c r="E38" s="2" t="s">
        <v>20</v>
      </c>
      <c r="H38" s="72">
        <v>31043013.57</v>
      </c>
      <c r="I38" s="72">
        <v>0</v>
      </c>
      <c r="J38" s="72">
        <v>0</v>
      </c>
      <c r="K38" s="72">
        <v>0</v>
      </c>
      <c r="L38" s="72">
        <v>0</v>
      </c>
      <c r="M38" s="72">
        <v>31043013.57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3">
        <f t="shared" si="8"/>
        <v>0</v>
      </c>
    </row>
    <row r="39" spans="1:20" ht="15" x14ac:dyDescent="0.25">
      <c r="A39" s="60">
        <f t="shared" si="9"/>
        <v>26</v>
      </c>
      <c r="B39" s="57">
        <v>1.4</v>
      </c>
      <c r="C39" s="60">
        <v>382</v>
      </c>
      <c r="E39" s="2" t="s">
        <v>68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3">
        <f t="shared" ref="T39" si="10">SUM(I39:S39)-H39</f>
        <v>0</v>
      </c>
    </row>
    <row r="40" spans="1:20" ht="15" x14ac:dyDescent="0.25">
      <c r="A40" s="60">
        <f t="shared" si="9"/>
        <v>27</v>
      </c>
      <c r="B40" s="57">
        <v>1.5</v>
      </c>
      <c r="C40" s="60">
        <v>383</v>
      </c>
      <c r="E40" s="2" t="s">
        <v>69</v>
      </c>
      <c r="H40" s="72">
        <v>5006347.9400000004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5006347.9400000004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3">
        <f t="shared" si="8"/>
        <v>0</v>
      </c>
    </row>
    <row r="41" spans="1:20" ht="15" x14ac:dyDescent="0.25">
      <c r="A41" s="60">
        <f t="shared" si="9"/>
        <v>28</v>
      </c>
      <c r="B41" s="57">
        <v>1.5</v>
      </c>
      <c r="C41" s="60">
        <v>384</v>
      </c>
      <c r="E41" s="2" t="s">
        <v>70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3">
        <f t="shared" si="8"/>
        <v>0</v>
      </c>
    </row>
    <row r="42" spans="1:20" ht="15" x14ac:dyDescent="0.25">
      <c r="A42" s="64">
        <f t="shared" si="9"/>
        <v>29</v>
      </c>
      <c r="B42" s="63">
        <v>1.6</v>
      </c>
      <c r="C42" s="64">
        <v>385</v>
      </c>
      <c r="D42" s="65"/>
      <c r="E42" s="65" t="s">
        <v>71</v>
      </c>
      <c r="F42" s="65"/>
      <c r="G42" s="65"/>
      <c r="H42" s="5">
        <v>308949.76000000001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308949.76000000001</v>
      </c>
      <c r="P42" s="5">
        <v>0</v>
      </c>
      <c r="Q42" s="5">
        <v>0</v>
      </c>
      <c r="R42" s="75">
        <v>0</v>
      </c>
      <c r="S42" s="75">
        <v>0</v>
      </c>
      <c r="T42" s="76">
        <f t="shared" si="8"/>
        <v>0</v>
      </c>
    </row>
    <row r="43" spans="1:20" ht="15" x14ac:dyDescent="0.25">
      <c r="A43" s="60">
        <f t="shared" si="9"/>
        <v>30</v>
      </c>
      <c r="C43" s="60"/>
      <c r="D43" s="60" t="s">
        <v>72</v>
      </c>
      <c r="H43" s="77">
        <f t="shared" ref="H43:S43" si="11">SUM(H31:H42)</f>
        <v>237286548.13</v>
      </c>
      <c r="I43" s="72">
        <f t="shared" si="11"/>
        <v>0</v>
      </c>
      <c r="J43" s="72">
        <f t="shared" si="11"/>
        <v>35972474.971423447</v>
      </c>
      <c r="K43" s="72">
        <f t="shared" si="11"/>
        <v>85977608.848576561</v>
      </c>
      <c r="L43" s="72">
        <f t="shared" si="11"/>
        <v>78978153.039999992</v>
      </c>
      <c r="M43" s="72">
        <f t="shared" si="11"/>
        <v>31043013.57</v>
      </c>
      <c r="N43" s="72">
        <f t="shared" si="11"/>
        <v>5006347.9400000004</v>
      </c>
      <c r="O43" s="72">
        <f t="shared" si="11"/>
        <v>308949.76000000001</v>
      </c>
      <c r="P43" s="72">
        <f t="shared" si="11"/>
        <v>0</v>
      </c>
      <c r="Q43" s="72">
        <f t="shared" si="11"/>
        <v>0</v>
      </c>
      <c r="R43" s="72">
        <f t="shared" si="11"/>
        <v>0</v>
      </c>
      <c r="S43" s="72">
        <f t="shared" si="11"/>
        <v>0</v>
      </c>
      <c r="T43" s="73">
        <f t="shared" si="8"/>
        <v>0</v>
      </c>
    </row>
    <row r="44" spans="1:20" ht="15" x14ac:dyDescent="0.25">
      <c r="A44" s="60"/>
      <c r="C44" s="60"/>
      <c r="H44" s="73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</row>
    <row r="45" spans="1:20" ht="15" x14ac:dyDescent="0.25">
      <c r="A45" s="60"/>
      <c r="C45" s="60"/>
      <c r="D45" s="2" t="s">
        <v>73</v>
      </c>
      <c r="H45" s="72"/>
      <c r="T45" s="73"/>
    </row>
    <row r="46" spans="1:20" ht="15" x14ac:dyDescent="0.25">
      <c r="A46" s="64">
        <f>+A43+1</f>
        <v>31</v>
      </c>
      <c r="B46" s="63">
        <v>40</v>
      </c>
      <c r="C46" s="64" t="s">
        <v>74</v>
      </c>
      <c r="D46" s="65"/>
      <c r="E46" s="65" t="s">
        <v>73</v>
      </c>
      <c r="F46" s="65"/>
      <c r="G46" s="65"/>
      <c r="H46" s="5">
        <v>22148260.320000004</v>
      </c>
      <c r="I46" s="5">
        <v>756294.01343395829</v>
      </c>
      <c r="J46" s="5">
        <v>1844339.8335986552</v>
      </c>
      <c r="K46" s="5">
        <v>4408146.1985299466</v>
      </c>
      <c r="L46" s="5">
        <v>5605553.5815233784</v>
      </c>
      <c r="M46" s="5">
        <v>2082997.8263969994</v>
      </c>
      <c r="N46" s="5">
        <v>160161.45536046833</v>
      </c>
      <c r="O46" s="5">
        <v>5317.5078413823439</v>
      </c>
      <c r="P46" s="5">
        <v>6616734.5473139146</v>
      </c>
      <c r="Q46" s="5">
        <v>167890.33304157993</v>
      </c>
      <c r="R46" s="75">
        <v>171363.43227489907</v>
      </c>
      <c r="S46" s="75">
        <v>329461.59068482753</v>
      </c>
      <c r="T46" s="76">
        <f t="shared" ref="T46:T47" si="12">SUM(I46:S46)-H46</f>
        <v>0</v>
      </c>
    </row>
    <row r="47" spans="1:20" ht="15" x14ac:dyDescent="0.25">
      <c r="A47" s="60">
        <f>+A46+1</f>
        <v>32</v>
      </c>
      <c r="C47" s="60"/>
      <c r="D47" s="60" t="s">
        <v>75</v>
      </c>
      <c r="H47" s="77">
        <f t="shared" ref="H47:S47" si="13">SUM(H46:H46)</f>
        <v>22148260.320000004</v>
      </c>
      <c r="I47" s="72">
        <f t="shared" si="13"/>
        <v>756294.01343395829</v>
      </c>
      <c r="J47" s="72">
        <f t="shared" si="13"/>
        <v>1844339.8335986552</v>
      </c>
      <c r="K47" s="72">
        <f t="shared" si="13"/>
        <v>4408146.1985299466</v>
      </c>
      <c r="L47" s="72">
        <f t="shared" si="13"/>
        <v>5605553.5815233784</v>
      </c>
      <c r="M47" s="72">
        <f t="shared" si="13"/>
        <v>2082997.8263969994</v>
      </c>
      <c r="N47" s="72">
        <f t="shared" si="13"/>
        <v>160161.45536046833</v>
      </c>
      <c r="O47" s="72">
        <f t="shared" si="13"/>
        <v>5317.5078413823439</v>
      </c>
      <c r="P47" s="72">
        <f t="shared" si="13"/>
        <v>6616734.5473139146</v>
      </c>
      <c r="Q47" s="72">
        <f t="shared" ref="Q47:R47" si="14">SUM(Q46:Q46)</f>
        <v>167890.33304157993</v>
      </c>
      <c r="R47" s="72">
        <f t="shared" si="14"/>
        <v>171363.43227489907</v>
      </c>
      <c r="S47" s="72">
        <f t="shared" si="13"/>
        <v>329461.59068482753</v>
      </c>
      <c r="T47" s="73">
        <f t="shared" si="12"/>
        <v>0</v>
      </c>
    </row>
    <row r="48" spans="1:20" x14ac:dyDescent="0.2">
      <c r="A48" s="60"/>
      <c r="C48" s="60"/>
      <c r="H48" s="6"/>
      <c r="T48" s="73"/>
    </row>
    <row r="49" spans="1:20" ht="15" x14ac:dyDescent="0.25">
      <c r="A49" s="60"/>
      <c r="C49" s="60"/>
      <c r="D49" s="2" t="s">
        <v>76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3"/>
    </row>
    <row r="50" spans="1:20" ht="15" x14ac:dyDescent="0.25">
      <c r="A50" s="64">
        <f>+A47+1</f>
        <v>33</v>
      </c>
      <c r="B50" s="63">
        <v>40</v>
      </c>
      <c r="C50" s="64" t="s">
        <v>77</v>
      </c>
      <c r="D50" s="65"/>
      <c r="E50" s="65" t="s">
        <v>76</v>
      </c>
      <c r="F50" s="65"/>
      <c r="G50" s="65"/>
      <c r="H50" s="5">
        <v>7169273.2300000004</v>
      </c>
      <c r="I50" s="5">
        <v>244808.32111338203</v>
      </c>
      <c r="J50" s="5">
        <v>597002.92506050388</v>
      </c>
      <c r="K50" s="5">
        <v>1426893.312541985</v>
      </c>
      <c r="L50" s="5">
        <v>1814487.6685893212</v>
      </c>
      <c r="M50" s="5">
        <v>674255.23897473281</v>
      </c>
      <c r="N50" s="5">
        <v>51843.405206718526</v>
      </c>
      <c r="O50" s="5">
        <v>1721.248805402226</v>
      </c>
      <c r="P50" s="5">
        <v>2141801.5308966627</v>
      </c>
      <c r="Q50" s="5">
        <v>54345.201512909771</v>
      </c>
      <c r="R50" s="75">
        <v>55469.425131325697</v>
      </c>
      <c r="S50" s="75">
        <v>106644.95216705812</v>
      </c>
      <c r="T50" s="76">
        <f t="shared" ref="T50:T51" si="15">SUM(I50:S50)-H50</f>
        <v>0</v>
      </c>
    </row>
    <row r="51" spans="1:20" ht="15" x14ac:dyDescent="0.25">
      <c r="A51" s="60">
        <f>+A50+1</f>
        <v>34</v>
      </c>
      <c r="C51" s="60"/>
      <c r="D51" s="60" t="s">
        <v>78</v>
      </c>
      <c r="H51" s="77">
        <f t="shared" ref="H51:S51" si="16">SUM(H50:H50)</f>
        <v>7169273.2300000004</v>
      </c>
      <c r="I51" s="72">
        <f t="shared" si="16"/>
        <v>244808.32111338203</v>
      </c>
      <c r="J51" s="72">
        <f t="shared" si="16"/>
        <v>597002.92506050388</v>
      </c>
      <c r="K51" s="72">
        <f t="shared" si="16"/>
        <v>1426893.312541985</v>
      </c>
      <c r="L51" s="72">
        <f t="shared" si="16"/>
        <v>1814487.6685893212</v>
      </c>
      <c r="M51" s="72">
        <f t="shared" si="16"/>
        <v>674255.23897473281</v>
      </c>
      <c r="N51" s="72">
        <f t="shared" si="16"/>
        <v>51843.405206718526</v>
      </c>
      <c r="O51" s="72">
        <f t="shared" si="16"/>
        <v>1721.248805402226</v>
      </c>
      <c r="P51" s="72">
        <f t="shared" si="16"/>
        <v>2141801.5308966627</v>
      </c>
      <c r="Q51" s="72">
        <f t="shared" ref="Q51:R51" si="17">SUM(Q50:Q50)</f>
        <v>54345.201512909771</v>
      </c>
      <c r="R51" s="72">
        <f t="shared" si="17"/>
        <v>55469.425131325697</v>
      </c>
      <c r="S51" s="72">
        <f t="shared" si="16"/>
        <v>106644.95216705812</v>
      </c>
      <c r="T51" s="73">
        <f t="shared" si="15"/>
        <v>0</v>
      </c>
    </row>
    <row r="52" spans="1:20" x14ac:dyDescent="0.2">
      <c r="A52" s="60"/>
      <c r="C52" s="6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73"/>
    </row>
    <row r="53" spans="1:20" x14ac:dyDescent="0.2">
      <c r="A53" s="60">
        <f>+A51+1</f>
        <v>35</v>
      </c>
      <c r="B53" s="7"/>
      <c r="C53" s="8"/>
      <c r="D53" s="9" t="s">
        <v>79</v>
      </c>
      <c r="E53" s="9"/>
      <c r="F53" s="9"/>
      <c r="G53" s="9"/>
      <c r="H53" s="10">
        <f t="shared" ref="H53:S53" si="18">H16+H28+H43+H47+H51</f>
        <v>272474205.26999998</v>
      </c>
      <c r="I53" s="11">
        <f t="shared" si="18"/>
        <v>6871225.9245473407</v>
      </c>
      <c r="J53" s="11">
        <f t="shared" si="18"/>
        <v>38413817.730082609</v>
      </c>
      <c r="K53" s="11">
        <f t="shared" si="18"/>
        <v>91812648.359648496</v>
      </c>
      <c r="L53" s="11">
        <f t="shared" si="18"/>
        <v>86398194.290112689</v>
      </c>
      <c r="M53" s="11">
        <f t="shared" si="18"/>
        <v>33800266.63537173</v>
      </c>
      <c r="N53" s="11">
        <f t="shared" si="18"/>
        <v>5218352.8005671874</v>
      </c>
      <c r="O53" s="11">
        <f t="shared" si="18"/>
        <v>315988.51664678461</v>
      </c>
      <c r="P53" s="11">
        <f t="shared" si="18"/>
        <v>8758536.0782105774</v>
      </c>
      <c r="Q53" s="11">
        <f t="shared" si="18"/>
        <v>222235.53455448971</v>
      </c>
      <c r="R53" s="11">
        <f t="shared" si="18"/>
        <v>226832.85740622476</v>
      </c>
      <c r="S53" s="11">
        <f t="shared" si="18"/>
        <v>436106.54285188566</v>
      </c>
      <c r="T53" s="12">
        <f>SUM(I53:S53)-H53</f>
        <v>0</v>
      </c>
    </row>
    <row r="54" spans="1:20" x14ac:dyDescent="0.2">
      <c r="A54" s="60"/>
      <c r="H54" s="73"/>
      <c r="T54" s="73"/>
    </row>
    <row r="55" spans="1:20" x14ac:dyDescent="0.2">
      <c r="A55" s="60"/>
      <c r="C55" s="60"/>
      <c r="D55" s="2" t="s">
        <v>80</v>
      </c>
      <c r="T55" s="73"/>
    </row>
    <row r="56" spans="1:20" x14ac:dyDescent="0.2">
      <c r="A56" s="60"/>
      <c r="C56" s="60"/>
      <c r="T56" s="73"/>
    </row>
    <row r="57" spans="1:20" ht="15" x14ac:dyDescent="0.25">
      <c r="A57" s="60">
        <f>+A53+1</f>
        <v>36</v>
      </c>
      <c r="B57" s="57">
        <v>1.1000000000000001</v>
      </c>
      <c r="F57" s="2" t="s">
        <v>81</v>
      </c>
      <c r="H57" s="15">
        <v>1170567.6000000001</v>
      </c>
      <c r="I57" s="15">
        <v>1170567.6000000001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72">
        <v>0</v>
      </c>
      <c r="S57" s="72">
        <v>0</v>
      </c>
      <c r="T57" s="73">
        <f t="shared" ref="T57:T62" si="19">SUM(I57:S57)-H57</f>
        <v>0</v>
      </c>
    </row>
    <row r="58" spans="1:20" ht="15" x14ac:dyDescent="0.25">
      <c r="A58" s="60">
        <f>+A57+1</f>
        <v>37</v>
      </c>
      <c r="B58" s="57">
        <v>46</v>
      </c>
      <c r="C58" s="60"/>
      <c r="F58" s="2" t="s">
        <v>82</v>
      </c>
      <c r="H58" s="15">
        <v>2579592.48</v>
      </c>
      <c r="I58" s="15">
        <v>64429.473239422034</v>
      </c>
      <c r="J58" s="15">
        <v>367697.54085792793</v>
      </c>
      <c r="K58" s="15">
        <v>878831.8114775368</v>
      </c>
      <c r="L58" s="15">
        <v>822417.78113085043</v>
      </c>
      <c r="M58" s="15">
        <v>322088.28246606613</v>
      </c>
      <c r="N58" s="15">
        <v>50234.606200656039</v>
      </c>
      <c r="O58" s="15">
        <v>3055.6592921218266</v>
      </c>
      <c r="P58" s="15">
        <v>64335.323693996637</v>
      </c>
      <c r="Q58" s="15">
        <v>1632.4183544143775</v>
      </c>
      <c r="R58" s="72">
        <v>1666.1877253630228</v>
      </c>
      <c r="S58" s="72">
        <v>3203.3955616448297</v>
      </c>
      <c r="T58" s="73">
        <f t="shared" si="19"/>
        <v>0</v>
      </c>
    </row>
    <row r="59" spans="1:20" ht="15" x14ac:dyDescent="0.25">
      <c r="A59" s="60">
        <f t="shared" ref="A59:A62" si="20">+A58+1</f>
        <v>38</v>
      </c>
      <c r="B59" s="57">
        <v>39</v>
      </c>
      <c r="C59" s="78"/>
      <c r="F59" s="2" t="s">
        <v>83</v>
      </c>
      <c r="H59" s="15">
        <v>61540.5</v>
      </c>
      <c r="I59" s="15">
        <v>1551.9218730836806</v>
      </c>
      <c r="J59" s="15">
        <v>8676.07099789725</v>
      </c>
      <c r="K59" s="15">
        <v>20736.628191200922</v>
      </c>
      <c r="L59" s="15">
        <v>19513.730007734026</v>
      </c>
      <c r="M59" s="15">
        <v>7634.0632200868222</v>
      </c>
      <c r="N59" s="15">
        <v>1178.6071279851285</v>
      </c>
      <c r="O59" s="15">
        <v>71.368558684048423</v>
      </c>
      <c r="P59" s="15">
        <v>1978.1861148544604</v>
      </c>
      <c r="Q59" s="15">
        <v>50.193690447498611</v>
      </c>
      <c r="R59" s="72">
        <v>51.232032945559475</v>
      </c>
      <c r="S59" s="72">
        <v>98.498185080609602</v>
      </c>
      <c r="T59" s="73">
        <f t="shared" si="19"/>
        <v>0</v>
      </c>
    </row>
    <row r="60" spans="1:20" ht="15" x14ac:dyDescent="0.25">
      <c r="A60" s="60">
        <f t="shared" si="20"/>
        <v>39</v>
      </c>
      <c r="B60" s="57">
        <v>42</v>
      </c>
      <c r="F60" s="2" t="s">
        <v>84</v>
      </c>
      <c r="H60" s="15">
        <v>-1947186.99</v>
      </c>
      <c r="I60" s="15">
        <v>-34990.604431640502</v>
      </c>
      <c r="J60" s="15">
        <v>-111660.99020722439</v>
      </c>
      <c r="K60" s="15">
        <v>-266880.30076629407</v>
      </c>
      <c r="L60" s="15">
        <v>-292004.24318175815</v>
      </c>
      <c r="M60" s="15">
        <v>-114450.72581969517</v>
      </c>
      <c r="N60" s="15">
        <v>-12961.531335825604</v>
      </c>
      <c r="O60" s="15">
        <v>-637.79367426704891</v>
      </c>
      <c r="P60" s="15">
        <v>-216608.61959545314</v>
      </c>
      <c r="Q60" s="15">
        <v>-4726.6275073803872</v>
      </c>
      <c r="R60" s="72">
        <v>-4824.4058968484833</v>
      </c>
      <c r="S60" s="72">
        <v>-887441.14758361329</v>
      </c>
      <c r="T60" s="73">
        <f t="shared" si="19"/>
        <v>0</v>
      </c>
    </row>
    <row r="61" spans="1:20" ht="15" x14ac:dyDescent="0.25">
      <c r="A61" s="64">
        <f t="shared" si="20"/>
        <v>40</v>
      </c>
      <c r="B61" s="63">
        <v>41</v>
      </c>
      <c r="C61" s="64"/>
      <c r="D61" s="65"/>
      <c r="E61" s="65"/>
      <c r="F61" s="65" t="s">
        <v>85</v>
      </c>
      <c r="G61" s="65"/>
      <c r="H61" s="5">
        <v>-206566.06</v>
      </c>
      <c r="I61" s="5">
        <v>-6836.2723111663518</v>
      </c>
      <c r="J61" s="5">
        <v>-18443.688594288291</v>
      </c>
      <c r="K61" s="5">
        <v>-44082.155730023776</v>
      </c>
      <c r="L61" s="5">
        <v>-53615.856823783426</v>
      </c>
      <c r="M61" s="5">
        <v>-20554.887681394845</v>
      </c>
      <c r="N61" s="5">
        <v>-1802.1171484315103</v>
      </c>
      <c r="O61" s="5">
        <v>-69.012315168050591</v>
      </c>
      <c r="P61" s="5">
        <v>-55385.122244763268</v>
      </c>
      <c r="Q61" s="5">
        <v>-1366.4521674311375</v>
      </c>
      <c r="R61" s="75">
        <v>-1394.7195720463692</v>
      </c>
      <c r="S61" s="75">
        <v>-3015.7754115030039</v>
      </c>
      <c r="T61" s="76">
        <f t="shared" si="19"/>
        <v>0</v>
      </c>
    </row>
    <row r="62" spans="1:20" x14ac:dyDescent="0.2">
      <c r="A62" s="60">
        <f t="shared" si="20"/>
        <v>41</v>
      </c>
      <c r="C62" s="60"/>
      <c r="H62" s="15">
        <f t="shared" ref="H62:S62" si="21">SUM(H57:H61)</f>
        <v>1657947.53</v>
      </c>
      <c r="I62" s="15">
        <f t="shared" si="21"/>
        <v>1194722.1183696988</v>
      </c>
      <c r="J62" s="15">
        <f t="shared" si="21"/>
        <v>246268.93305431251</v>
      </c>
      <c r="K62" s="15">
        <f t="shared" si="21"/>
        <v>588605.98317241995</v>
      </c>
      <c r="L62" s="15">
        <f t="shared" si="21"/>
        <v>496311.41113304294</v>
      </c>
      <c r="M62" s="15">
        <f t="shared" si="21"/>
        <v>194716.73218506292</v>
      </c>
      <c r="N62" s="15">
        <f t="shared" si="21"/>
        <v>36649.564844384055</v>
      </c>
      <c r="O62" s="15">
        <f t="shared" si="21"/>
        <v>2420.2218613707755</v>
      </c>
      <c r="P62" s="15">
        <f t="shared" si="21"/>
        <v>-205680.2320313653</v>
      </c>
      <c r="Q62" s="15">
        <f t="shared" ref="Q62:R62" si="22">SUM(Q57:Q61)</f>
        <v>-4410.4676299496487</v>
      </c>
      <c r="R62" s="15">
        <f t="shared" si="22"/>
        <v>-4501.7057105862696</v>
      </c>
      <c r="S62" s="15">
        <f t="shared" si="21"/>
        <v>-887155.02924839093</v>
      </c>
      <c r="T62" s="73">
        <f t="shared" si="19"/>
        <v>0</v>
      </c>
    </row>
    <row r="63" spans="1:20" x14ac:dyDescent="0.2">
      <c r="A63" s="60"/>
      <c r="C63" s="60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73"/>
    </row>
    <row r="64" spans="1:20" x14ac:dyDescent="0.2">
      <c r="A64" s="60">
        <f>+A62+1</f>
        <v>42</v>
      </c>
      <c r="C64" s="60"/>
      <c r="D64" s="9" t="s">
        <v>86</v>
      </c>
      <c r="E64" s="9"/>
      <c r="F64" s="9"/>
      <c r="G64" s="9"/>
      <c r="H64" s="10">
        <f t="shared" ref="H64:S64" si="23">SUM(H57:H61)</f>
        <v>1657947.53</v>
      </c>
      <c r="I64" s="11">
        <f t="shared" si="23"/>
        <v>1194722.1183696988</v>
      </c>
      <c r="J64" s="11">
        <f t="shared" si="23"/>
        <v>246268.93305431251</v>
      </c>
      <c r="K64" s="11">
        <f t="shared" si="23"/>
        <v>588605.98317241995</v>
      </c>
      <c r="L64" s="11">
        <f t="shared" si="23"/>
        <v>496311.41113304294</v>
      </c>
      <c r="M64" s="11">
        <f t="shared" si="23"/>
        <v>194716.73218506292</v>
      </c>
      <c r="N64" s="11">
        <f t="shared" si="23"/>
        <v>36649.564844384055</v>
      </c>
      <c r="O64" s="11">
        <f t="shared" si="23"/>
        <v>2420.2218613707755</v>
      </c>
      <c r="P64" s="11">
        <f t="shared" si="23"/>
        <v>-205680.2320313653</v>
      </c>
      <c r="Q64" s="11">
        <f t="shared" si="23"/>
        <v>-4410.4676299496487</v>
      </c>
      <c r="R64" s="11">
        <f t="shared" si="23"/>
        <v>-4501.7057105862696</v>
      </c>
      <c r="S64" s="11">
        <f t="shared" si="23"/>
        <v>-887155.02924839093</v>
      </c>
      <c r="T64" s="73">
        <f>SUM(I64:S64)-H64</f>
        <v>0</v>
      </c>
    </row>
    <row r="65" spans="1:20" x14ac:dyDescent="0.2">
      <c r="A65" s="60"/>
      <c r="C65" s="60"/>
      <c r="H65" s="73"/>
      <c r="T65" s="73"/>
    </row>
    <row r="66" spans="1:20" x14ac:dyDescent="0.2">
      <c r="A66" s="60"/>
      <c r="C66" s="60"/>
      <c r="D66" s="2" t="s">
        <v>87</v>
      </c>
      <c r="H66" s="15"/>
      <c r="T66" s="73"/>
    </row>
    <row r="67" spans="1:20" x14ac:dyDescent="0.2">
      <c r="A67" s="60"/>
      <c r="C67" s="60"/>
      <c r="H67" s="15"/>
      <c r="T67" s="73"/>
    </row>
    <row r="68" spans="1:20" x14ac:dyDescent="0.2">
      <c r="A68" s="60"/>
      <c r="C68" s="60"/>
      <c r="E68" s="2" t="s">
        <v>88</v>
      </c>
      <c r="H68" s="15"/>
      <c r="T68" s="73"/>
    </row>
    <row r="69" spans="1:20" ht="15" x14ac:dyDescent="0.25">
      <c r="A69" s="60">
        <f>+A64+1</f>
        <v>43</v>
      </c>
      <c r="B69" s="57">
        <v>1.1000000000000001</v>
      </c>
      <c r="C69" s="2" t="s">
        <v>89</v>
      </c>
      <c r="F69" s="2" t="s">
        <v>90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72">
        <v>0</v>
      </c>
      <c r="S69" s="72">
        <v>0</v>
      </c>
      <c r="T69" s="73">
        <f t="shared" ref="T69:T74" si="24">SUM(I69:S69)-H69</f>
        <v>0</v>
      </c>
    </row>
    <row r="70" spans="1:20" ht="15" x14ac:dyDescent="0.25">
      <c r="A70" s="60">
        <f>+A69+1</f>
        <v>44</v>
      </c>
      <c r="B70" s="57">
        <v>1.1000000000000001</v>
      </c>
      <c r="C70" s="2" t="s">
        <v>89</v>
      </c>
      <c r="F70" s="2" t="s">
        <v>54</v>
      </c>
      <c r="H70" s="15">
        <v>-3028358.43</v>
      </c>
      <c r="I70" s="15">
        <v>-3028358.43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72">
        <v>0</v>
      </c>
      <c r="S70" s="72">
        <v>0</v>
      </c>
      <c r="T70" s="73">
        <f t="shared" si="24"/>
        <v>0</v>
      </c>
    </row>
    <row r="71" spans="1:20" ht="15" x14ac:dyDescent="0.25">
      <c r="A71" s="60">
        <f t="shared" ref="A71:A74" si="25">+A70+1</f>
        <v>45</v>
      </c>
      <c r="B71" s="57">
        <v>44</v>
      </c>
      <c r="C71" s="2" t="s">
        <v>89</v>
      </c>
      <c r="F71" s="2" t="s">
        <v>91</v>
      </c>
      <c r="H71" s="15">
        <v>-76671308.090000004</v>
      </c>
      <c r="I71" s="15">
        <v>0</v>
      </c>
      <c r="J71" s="15">
        <v>-11623316.757858478</v>
      </c>
      <c r="K71" s="15">
        <v>-27780823.602605645</v>
      </c>
      <c r="L71" s="15">
        <v>-25519180.719808508</v>
      </c>
      <c r="M71" s="15">
        <v>-10030524.175199145</v>
      </c>
      <c r="N71" s="15">
        <v>-1617635.9272721361</v>
      </c>
      <c r="O71" s="15">
        <v>-99826.907256091334</v>
      </c>
      <c r="P71" s="15">
        <v>0</v>
      </c>
      <c r="Q71" s="15">
        <v>0</v>
      </c>
      <c r="R71" s="72">
        <v>0</v>
      </c>
      <c r="S71" s="72">
        <v>0</v>
      </c>
      <c r="T71" s="73">
        <f t="shared" si="24"/>
        <v>0</v>
      </c>
    </row>
    <row r="72" spans="1:20" ht="15" x14ac:dyDescent="0.25">
      <c r="A72" s="60">
        <f t="shared" si="25"/>
        <v>46</v>
      </c>
      <c r="B72" s="57">
        <v>40</v>
      </c>
      <c r="C72" s="2" t="s">
        <v>89</v>
      </c>
      <c r="F72" s="2" t="s">
        <v>92</v>
      </c>
      <c r="H72" s="15">
        <v>-3380119.25</v>
      </c>
      <c r="I72" s="15">
        <v>-115420.53039531372</v>
      </c>
      <c r="J72" s="15">
        <v>-281470.80109308602</v>
      </c>
      <c r="K72" s="15">
        <v>-672741.76875239972</v>
      </c>
      <c r="L72" s="15">
        <v>-855482.06920360099</v>
      </c>
      <c r="M72" s="15">
        <v>-317893.18659735954</v>
      </c>
      <c r="N72" s="15">
        <v>-24442.769343968706</v>
      </c>
      <c r="O72" s="15">
        <v>-811.52245625594151</v>
      </c>
      <c r="P72" s="15">
        <v>-1009801.7402892705</v>
      </c>
      <c r="Q72" s="15">
        <v>-25622.298925677216</v>
      </c>
      <c r="R72" s="72">
        <v>-26152.340084941603</v>
      </c>
      <c r="S72" s="72">
        <v>-50280.22285812677</v>
      </c>
      <c r="T72" s="73">
        <f t="shared" si="24"/>
        <v>0</v>
      </c>
    </row>
    <row r="73" spans="1:20" ht="15" x14ac:dyDescent="0.25">
      <c r="A73" s="64">
        <f t="shared" si="25"/>
        <v>47</v>
      </c>
      <c r="B73" s="63">
        <v>40</v>
      </c>
      <c r="C73" s="65" t="s">
        <v>89</v>
      </c>
      <c r="D73" s="65"/>
      <c r="E73" s="65"/>
      <c r="F73" s="65" t="s">
        <v>93</v>
      </c>
      <c r="G73" s="65"/>
      <c r="H73" s="5">
        <v>-7046326.04</v>
      </c>
      <c r="I73" s="5">
        <v>-240610.05802535237</v>
      </c>
      <c r="J73" s="5">
        <v>-586764.81169765606</v>
      </c>
      <c r="K73" s="5">
        <v>-1402423.2557344516</v>
      </c>
      <c r="L73" s="5">
        <v>-1783370.6846237499</v>
      </c>
      <c r="M73" s="5">
        <v>-662692.31142053753</v>
      </c>
      <c r="N73" s="5">
        <v>-50954.333081035657</v>
      </c>
      <c r="O73" s="5">
        <v>-1691.7307919124455</v>
      </c>
      <c r="P73" s="5">
        <v>-2105071.3810873991</v>
      </c>
      <c r="Q73" s="5">
        <v>-53413.225620564539</v>
      </c>
      <c r="R73" s="75">
        <v>-54518.169720627404</v>
      </c>
      <c r="S73" s="75">
        <v>-104816.07819671507</v>
      </c>
      <c r="T73" s="76">
        <f t="shared" si="24"/>
        <v>0</v>
      </c>
    </row>
    <row r="74" spans="1:20" x14ac:dyDescent="0.2">
      <c r="A74" s="60">
        <f t="shared" si="25"/>
        <v>48</v>
      </c>
      <c r="E74" s="2" t="s">
        <v>94</v>
      </c>
      <c r="H74" s="14">
        <f t="shared" ref="H74:S74" si="26">SUM(H69:H73)</f>
        <v>-90126111.810000017</v>
      </c>
      <c r="I74" s="15">
        <f t="shared" si="26"/>
        <v>-3384389.018420666</v>
      </c>
      <c r="J74" s="15">
        <f t="shared" si="26"/>
        <v>-12491552.37064922</v>
      </c>
      <c r="K74" s="15">
        <f t="shared" si="26"/>
        <v>-29855988.627092496</v>
      </c>
      <c r="L74" s="15">
        <f t="shared" si="26"/>
        <v>-28158033.47363586</v>
      </c>
      <c r="M74" s="15">
        <f t="shared" si="26"/>
        <v>-11011109.673217043</v>
      </c>
      <c r="N74" s="15">
        <f t="shared" si="26"/>
        <v>-1693033.0296971404</v>
      </c>
      <c r="O74" s="15">
        <f t="shared" si="26"/>
        <v>-102330.16050425972</v>
      </c>
      <c r="P74" s="15">
        <f t="shared" si="26"/>
        <v>-3114873.1213766695</v>
      </c>
      <c r="Q74" s="15">
        <f t="shared" si="26"/>
        <v>-79035.524546241752</v>
      </c>
      <c r="R74" s="15">
        <f t="shared" si="26"/>
        <v>-80670.509805569003</v>
      </c>
      <c r="S74" s="15">
        <f t="shared" si="26"/>
        <v>-155096.30105484184</v>
      </c>
      <c r="T74" s="73">
        <f t="shared" si="24"/>
        <v>0</v>
      </c>
    </row>
    <row r="75" spans="1:20" x14ac:dyDescent="0.2">
      <c r="A75" s="60"/>
      <c r="H75" s="6"/>
      <c r="T75" s="73"/>
    </row>
    <row r="76" spans="1:20" ht="15" x14ac:dyDescent="0.25">
      <c r="A76" s="60">
        <f>+A74+1</f>
        <v>49</v>
      </c>
      <c r="B76" s="57">
        <v>44.1</v>
      </c>
      <c r="C76" s="60">
        <v>252</v>
      </c>
      <c r="E76" s="2" t="s">
        <v>95</v>
      </c>
      <c r="H76" s="15">
        <v>-2002458.53</v>
      </c>
      <c r="I76" s="15">
        <v>0</v>
      </c>
      <c r="J76" s="15">
        <v>-349156.5864965489</v>
      </c>
      <c r="K76" s="15">
        <v>-834517.18138804985</v>
      </c>
      <c r="L76" s="15">
        <v>-818784.76211540122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72">
        <v>0</v>
      </c>
      <c r="S76" s="72">
        <v>0</v>
      </c>
      <c r="T76" s="73">
        <f t="shared" ref="T76:T82" si="27">SUM(I76:S76)-H76</f>
        <v>0</v>
      </c>
    </row>
    <row r="77" spans="1:20" ht="15" x14ac:dyDescent="0.25">
      <c r="A77" s="60">
        <f>+A76+1</f>
        <v>50</v>
      </c>
      <c r="B77" s="57">
        <v>47</v>
      </c>
      <c r="C77" s="60">
        <v>282</v>
      </c>
      <c r="E77" s="2" t="s">
        <v>96</v>
      </c>
      <c r="H77" s="15">
        <v>-28951145.5</v>
      </c>
      <c r="I77" s="15">
        <v>-553600.09906649904</v>
      </c>
      <c r="J77" s="15">
        <v>-4115640.9253886254</v>
      </c>
      <c r="K77" s="15">
        <v>-9836770.0839421768</v>
      </c>
      <c r="L77" s="15">
        <v>-9246706.8766534049</v>
      </c>
      <c r="M77" s="15">
        <v>-3618201.7947909418</v>
      </c>
      <c r="N77" s="15">
        <v>-559709.96835716185</v>
      </c>
      <c r="O77" s="15">
        <v>-33922.231039558123</v>
      </c>
      <c r="P77" s="15">
        <v>-896036.28047857911</v>
      </c>
      <c r="Q77" s="15">
        <v>-22735.66038824349</v>
      </c>
      <c r="R77" s="72">
        <v>-23205.986482860597</v>
      </c>
      <c r="S77" s="72">
        <v>-44615.593411954273</v>
      </c>
      <c r="T77" s="73">
        <f t="shared" si="27"/>
        <v>0</v>
      </c>
    </row>
    <row r="78" spans="1:20" ht="15" x14ac:dyDescent="0.25">
      <c r="A78" s="60">
        <f t="shared" ref="A78:A82" si="28">+A77+1</f>
        <v>51</v>
      </c>
      <c r="B78" s="57">
        <v>1.7</v>
      </c>
      <c r="C78" s="60">
        <v>255</v>
      </c>
      <c r="E78" s="2" t="s">
        <v>97</v>
      </c>
      <c r="H78" s="15">
        <v>-134276.90370721201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-134276.90370721201</v>
      </c>
      <c r="Q78" s="15">
        <v>0</v>
      </c>
      <c r="R78" s="72">
        <v>0</v>
      </c>
      <c r="S78" s="72">
        <v>0</v>
      </c>
      <c r="T78" s="73">
        <f t="shared" si="27"/>
        <v>0</v>
      </c>
    </row>
    <row r="79" spans="1:20" ht="15" x14ac:dyDescent="0.25">
      <c r="A79" s="60">
        <f t="shared" si="28"/>
        <v>52</v>
      </c>
      <c r="B79" s="57">
        <v>1.7</v>
      </c>
      <c r="C79" s="60">
        <v>228</v>
      </c>
      <c r="E79" s="2" t="s">
        <v>98</v>
      </c>
      <c r="H79" s="15">
        <v>-261517.76497836699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-261517.76497836699</v>
      </c>
      <c r="Q79" s="15">
        <v>0</v>
      </c>
      <c r="R79" s="72">
        <v>0</v>
      </c>
      <c r="S79" s="72">
        <v>0</v>
      </c>
      <c r="T79" s="73">
        <f t="shared" si="27"/>
        <v>0</v>
      </c>
    </row>
    <row r="80" spans="1:20" ht="15" x14ac:dyDescent="0.25">
      <c r="A80" s="60">
        <f t="shared" si="28"/>
        <v>53</v>
      </c>
      <c r="B80" s="57">
        <v>47</v>
      </c>
      <c r="C80" s="60">
        <v>255101</v>
      </c>
      <c r="E80" s="2" t="s">
        <v>99</v>
      </c>
      <c r="H80" s="15">
        <v>-58.62</v>
      </c>
      <c r="I80" s="15">
        <v>-1.1209241377781811</v>
      </c>
      <c r="J80" s="15">
        <v>-8.3333100255491175</v>
      </c>
      <c r="K80" s="15">
        <v>-19.917397130994015</v>
      </c>
      <c r="L80" s="15">
        <v>-18.722642843593963</v>
      </c>
      <c r="M80" s="15">
        <v>-7.3261000747153506</v>
      </c>
      <c r="N80" s="15">
        <v>-1.1332953421513781</v>
      </c>
      <c r="O80" s="15">
        <v>-6.86854060243971E-2</v>
      </c>
      <c r="P80" s="15">
        <v>-1.8142856130391907</v>
      </c>
      <c r="Q80" s="15">
        <v>-4.6034945731554332E-2</v>
      </c>
      <c r="R80" s="72">
        <v>-4.6987257468803376E-2</v>
      </c>
      <c r="S80" s="72">
        <v>-9.0337222954054081E-2</v>
      </c>
      <c r="T80" s="73">
        <f t="shared" si="27"/>
        <v>0</v>
      </c>
    </row>
    <row r="81" spans="1:20" ht="15" x14ac:dyDescent="0.25">
      <c r="A81" s="64">
        <f t="shared" si="28"/>
        <v>54</v>
      </c>
      <c r="B81" s="63">
        <v>58.1</v>
      </c>
      <c r="C81" s="64">
        <v>144003</v>
      </c>
      <c r="D81" s="65"/>
      <c r="E81" s="65" t="s">
        <v>100</v>
      </c>
      <c r="F81" s="65"/>
      <c r="G81" s="65"/>
      <c r="H81" s="13">
        <v>-471723.555992799</v>
      </c>
      <c r="I81" s="5">
        <v>-14441.604763234054</v>
      </c>
      <c r="J81" s="5">
        <v>-41331.120951434292</v>
      </c>
      <c r="K81" s="5">
        <v>-98785.278278977668</v>
      </c>
      <c r="L81" s="5">
        <v>-119393.23553353468</v>
      </c>
      <c r="M81" s="5">
        <v>-71351.438121761588</v>
      </c>
      <c r="N81" s="5">
        <v>-6617.4086480736632</v>
      </c>
      <c r="O81" s="5">
        <v>-125.47299570128526</v>
      </c>
      <c r="P81" s="5">
        <v>-99923.916753764875</v>
      </c>
      <c r="Q81" s="5">
        <v>-444.63706492110123</v>
      </c>
      <c r="R81" s="75">
        <v>-453.83514453239309</v>
      </c>
      <c r="S81" s="75">
        <v>-18855.607736863411</v>
      </c>
      <c r="T81" s="76">
        <f t="shared" si="27"/>
        <v>0</v>
      </c>
    </row>
    <row r="82" spans="1:20" x14ac:dyDescent="0.2">
      <c r="A82" s="60">
        <f t="shared" si="28"/>
        <v>55</v>
      </c>
      <c r="H82" s="14">
        <f t="shared" ref="H82:S82" si="29">SUM(H76:H81)</f>
        <v>-31821180.874678385</v>
      </c>
      <c r="I82" s="15">
        <f t="shared" si="29"/>
        <v>-568042.82475387084</v>
      </c>
      <c r="J82" s="15">
        <f t="shared" si="29"/>
        <v>-4506136.9661466349</v>
      </c>
      <c r="K82" s="15">
        <f t="shared" si="29"/>
        <v>-10770092.461006336</v>
      </c>
      <c r="L82" s="15">
        <f t="shared" si="29"/>
        <v>-10184903.596945185</v>
      </c>
      <c r="M82" s="15">
        <f t="shared" si="29"/>
        <v>-3689560.5590127781</v>
      </c>
      <c r="N82" s="15">
        <f t="shared" si="29"/>
        <v>-566328.51030057762</v>
      </c>
      <c r="O82" s="15">
        <f t="shared" si="29"/>
        <v>-34047.772720665431</v>
      </c>
      <c r="P82" s="15">
        <f t="shared" si="29"/>
        <v>-1391756.6802035361</v>
      </c>
      <c r="Q82" s="15">
        <f t="shared" si="29"/>
        <v>-23180.343488110324</v>
      </c>
      <c r="R82" s="15">
        <f t="shared" si="29"/>
        <v>-23659.868614650459</v>
      </c>
      <c r="S82" s="15">
        <f t="shared" si="29"/>
        <v>-63471.291486040631</v>
      </c>
      <c r="T82" s="73">
        <f t="shared" si="27"/>
        <v>0</v>
      </c>
    </row>
    <row r="83" spans="1:20" x14ac:dyDescent="0.2">
      <c r="A83" s="60"/>
      <c r="C83" s="60"/>
      <c r="H83" s="7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73"/>
    </row>
    <row r="84" spans="1:20" x14ac:dyDescent="0.2">
      <c r="A84" s="60">
        <f>+A82+1</f>
        <v>56</v>
      </c>
      <c r="C84" s="60"/>
      <c r="D84" s="9" t="s">
        <v>101</v>
      </c>
      <c r="E84" s="9"/>
      <c r="F84" s="9"/>
      <c r="G84" s="9"/>
      <c r="H84" s="10">
        <f t="shared" ref="H84:S84" si="30">H74+H82</f>
        <v>-121947292.68467841</v>
      </c>
      <c r="I84" s="11">
        <f t="shared" si="30"/>
        <v>-3952431.8431745367</v>
      </c>
      <c r="J84" s="11">
        <f t="shared" si="30"/>
        <v>-16997689.336795855</v>
      </c>
      <c r="K84" s="11">
        <f t="shared" si="30"/>
        <v>-40626081.088098831</v>
      </c>
      <c r="L84" s="11">
        <f t="shared" si="30"/>
        <v>-38342937.070581049</v>
      </c>
      <c r="M84" s="11">
        <f t="shared" si="30"/>
        <v>-14700670.232229821</v>
      </c>
      <c r="N84" s="11">
        <f t="shared" si="30"/>
        <v>-2259361.5399977183</v>
      </c>
      <c r="O84" s="11">
        <f t="shared" si="30"/>
        <v>-136377.93322492516</v>
      </c>
      <c r="P84" s="11">
        <f t="shared" si="30"/>
        <v>-4506629.8015802056</v>
      </c>
      <c r="Q84" s="11">
        <f t="shared" si="30"/>
        <v>-102215.86803435208</v>
      </c>
      <c r="R84" s="11">
        <f t="shared" si="30"/>
        <v>-104330.37842021947</v>
      </c>
      <c r="S84" s="11">
        <f t="shared" si="30"/>
        <v>-218567.59254088247</v>
      </c>
      <c r="T84" s="73">
        <f>SUM(I84:S84)-H84</f>
        <v>0</v>
      </c>
    </row>
    <row r="85" spans="1:20" x14ac:dyDescent="0.2">
      <c r="A85" s="60"/>
      <c r="C85" s="60"/>
      <c r="H85" s="73"/>
      <c r="T85" s="73"/>
    </row>
    <row r="86" spans="1:20" x14ac:dyDescent="0.2">
      <c r="A86" s="60">
        <f>+A84+1</f>
        <v>57</v>
      </c>
      <c r="B86" s="7"/>
      <c r="C86" s="8"/>
      <c r="D86" s="9" t="s">
        <v>102</v>
      </c>
      <c r="E86" s="9"/>
      <c r="F86" s="9"/>
      <c r="G86" s="9"/>
      <c r="H86" s="10">
        <f t="shared" ref="H86:S86" si="31">H53+H64+H84</f>
        <v>152184860.11532155</v>
      </c>
      <c r="I86" s="10">
        <f t="shared" si="31"/>
        <v>4113516.1997425025</v>
      </c>
      <c r="J86" s="10">
        <f t="shared" si="31"/>
        <v>21662397.326341067</v>
      </c>
      <c r="K86" s="10">
        <f t="shared" si="31"/>
        <v>51775173.254722081</v>
      </c>
      <c r="L86" s="10">
        <f t="shared" si="31"/>
        <v>48551568.630664676</v>
      </c>
      <c r="M86" s="10">
        <f t="shared" si="31"/>
        <v>19294313.135326974</v>
      </c>
      <c r="N86" s="10">
        <f t="shared" si="31"/>
        <v>2995640.8254138529</v>
      </c>
      <c r="O86" s="10">
        <f t="shared" si="31"/>
        <v>182030.80528323023</v>
      </c>
      <c r="P86" s="10">
        <f t="shared" si="31"/>
        <v>4046226.044599006</v>
      </c>
      <c r="Q86" s="10">
        <f t="shared" si="31"/>
        <v>115609.19889018798</v>
      </c>
      <c r="R86" s="10">
        <f t="shared" si="31"/>
        <v>118000.77327541902</v>
      </c>
      <c r="S86" s="10">
        <f t="shared" si="31"/>
        <v>-669616.07893738779</v>
      </c>
      <c r="T86" s="73">
        <f>SUM(I86:S86)-H86</f>
        <v>0</v>
      </c>
    </row>
    <row r="87" spans="1:20" x14ac:dyDescent="0.2">
      <c r="A87" s="60"/>
      <c r="H87" s="73"/>
      <c r="T87" s="73"/>
    </row>
    <row r="88" spans="1:20" ht="18" x14ac:dyDescent="0.25">
      <c r="A88" s="4" t="s">
        <v>103</v>
      </c>
      <c r="B88" s="2"/>
      <c r="C88" s="4"/>
      <c r="T88" s="73"/>
    </row>
    <row r="89" spans="1:20" x14ac:dyDescent="0.2">
      <c r="A89" s="60"/>
      <c r="C89" s="60"/>
      <c r="T89" s="73"/>
    </row>
    <row r="90" spans="1:20" x14ac:dyDescent="0.2">
      <c r="A90" s="60"/>
      <c r="C90" s="60"/>
      <c r="D90" s="2" t="s">
        <v>104</v>
      </c>
      <c r="T90" s="73"/>
    </row>
    <row r="91" spans="1:20" ht="15" x14ac:dyDescent="0.25">
      <c r="A91" s="60"/>
      <c r="C91" s="60"/>
      <c r="E91" s="71" t="s">
        <v>105</v>
      </c>
      <c r="T91" s="73"/>
    </row>
    <row r="92" spans="1:20" x14ac:dyDescent="0.2">
      <c r="A92" s="60"/>
      <c r="C92" s="60"/>
      <c r="F92" s="2" t="s">
        <v>106</v>
      </c>
      <c r="T92" s="73"/>
    </row>
    <row r="93" spans="1:20" ht="15" x14ac:dyDescent="0.25">
      <c r="A93" s="60">
        <f>+A86+1</f>
        <v>58</v>
      </c>
      <c r="B93" s="57">
        <v>1.1000000000000001</v>
      </c>
      <c r="C93" s="60">
        <v>710</v>
      </c>
      <c r="G93" s="2" t="s">
        <v>107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3">
        <f t="shared" ref="T93:T98" si="32">SUM(I93:S93)-H93</f>
        <v>0</v>
      </c>
    </row>
    <row r="94" spans="1:20" ht="15" x14ac:dyDescent="0.25">
      <c r="A94" s="60">
        <f>+A93+1</f>
        <v>59</v>
      </c>
      <c r="B94" s="57">
        <v>1.1000000000000001</v>
      </c>
      <c r="C94" s="60">
        <v>712</v>
      </c>
      <c r="G94" s="2" t="s">
        <v>108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  <c r="Q94" s="72">
        <v>0</v>
      </c>
      <c r="R94" s="72">
        <v>0</v>
      </c>
      <c r="S94" s="72">
        <v>0</v>
      </c>
      <c r="T94" s="73">
        <f t="shared" si="32"/>
        <v>0</v>
      </c>
    </row>
    <row r="95" spans="1:20" ht="15" x14ac:dyDescent="0.25">
      <c r="A95" s="60">
        <f t="shared" ref="A95:A98" si="33">+A94+1</f>
        <v>60</v>
      </c>
      <c r="B95" s="57">
        <v>1.1000000000000001</v>
      </c>
      <c r="C95" s="60">
        <v>714</v>
      </c>
      <c r="G95" s="2" t="s">
        <v>109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3">
        <f t="shared" si="32"/>
        <v>0</v>
      </c>
    </row>
    <row r="96" spans="1:20" ht="15" x14ac:dyDescent="0.25">
      <c r="A96" s="60">
        <f t="shared" si="33"/>
        <v>61</v>
      </c>
      <c r="B96" s="57">
        <v>1.1000000000000001</v>
      </c>
      <c r="C96" s="60">
        <v>717</v>
      </c>
      <c r="G96" s="2" t="s">
        <v>110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3">
        <f t="shared" si="32"/>
        <v>0</v>
      </c>
    </row>
    <row r="97" spans="1:20" ht="15" x14ac:dyDescent="0.25">
      <c r="A97" s="60">
        <f t="shared" si="33"/>
        <v>62</v>
      </c>
      <c r="B97" s="57">
        <v>1.9</v>
      </c>
      <c r="C97" s="60">
        <v>728</v>
      </c>
      <c r="G97" s="2" t="s">
        <v>111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3">
        <f t="shared" si="32"/>
        <v>0</v>
      </c>
    </row>
    <row r="98" spans="1:20" ht="15" x14ac:dyDescent="0.25">
      <c r="A98" s="60">
        <f t="shared" si="33"/>
        <v>63</v>
      </c>
      <c r="B98" s="57">
        <v>1.1000000000000001</v>
      </c>
      <c r="C98" s="60">
        <v>735</v>
      </c>
      <c r="G98" s="2" t="s">
        <v>112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3">
        <f t="shared" si="32"/>
        <v>0</v>
      </c>
    </row>
    <row r="99" spans="1:20" x14ac:dyDescent="0.2">
      <c r="A99" s="60"/>
      <c r="C99" s="60"/>
      <c r="F99" s="2" t="s">
        <v>113</v>
      </c>
      <c r="T99" s="73"/>
    </row>
    <row r="100" spans="1:20" ht="15" x14ac:dyDescent="0.25">
      <c r="A100" s="60">
        <f>+A98+1</f>
        <v>64</v>
      </c>
      <c r="B100" s="57">
        <v>1.1000000000000001</v>
      </c>
      <c r="C100" s="60">
        <v>740</v>
      </c>
      <c r="G100" s="2" t="s">
        <v>107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73">
        <f t="shared" ref="T100:T102" si="34">SUM(I100:S100)-H100</f>
        <v>0</v>
      </c>
    </row>
    <row r="101" spans="1:20" ht="15" x14ac:dyDescent="0.25">
      <c r="A101" s="60">
        <f>+A100+1</f>
        <v>65</v>
      </c>
      <c r="B101" s="57">
        <v>1.1000000000000001</v>
      </c>
      <c r="C101" s="60">
        <v>741</v>
      </c>
      <c r="G101" s="2" t="s">
        <v>114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72">
        <v>0</v>
      </c>
      <c r="R101" s="72">
        <v>0</v>
      </c>
      <c r="S101" s="72">
        <v>0</v>
      </c>
      <c r="T101" s="73">
        <f t="shared" si="34"/>
        <v>0</v>
      </c>
    </row>
    <row r="102" spans="1:20" ht="15" x14ac:dyDescent="0.25">
      <c r="A102" s="60">
        <f>+A101+1</f>
        <v>66</v>
      </c>
      <c r="B102" s="57">
        <v>1.1000000000000001</v>
      </c>
      <c r="C102" s="60">
        <v>742</v>
      </c>
      <c r="G102" s="2" t="s">
        <v>115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72">
        <v>0</v>
      </c>
      <c r="R102" s="72">
        <v>0</v>
      </c>
      <c r="S102" s="72">
        <v>0</v>
      </c>
      <c r="T102" s="73">
        <f t="shared" si="34"/>
        <v>0</v>
      </c>
    </row>
    <row r="103" spans="1:20" ht="15" x14ac:dyDescent="0.25">
      <c r="A103" s="60"/>
      <c r="B103" s="79"/>
      <c r="C103" s="60"/>
      <c r="E103" s="2" t="s">
        <v>116</v>
      </c>
      <c r="T103" s="73"/>
    </row>
    <row r="104" spans="1:20" ht="15" x14ac:dyDescent="0.25">
      <c r="A104" s="60">
        <f>+A102+1</f>
        <v>67</v>
      </c>
      <c r="B104" s="57">
        <v>1.9</v>
      </c>
      <c r="C104" s="60" t="s">
        <v>117</v>
      </c>
      <c r="G104" s="2" t="s">
        <v>118</v>
      </c>
      <c r="H104" s="72">
        <v>19727771.389999986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2">
        <v>19727771.389999986</v>
      </c>
      <c r="T104" s="73">
        <f t="shared" ref="T104:T108" si="35">SUM(I104:S104)-H104</f>
        <v>0</v>
      </c>
    </row>
    <row r="105" spans="1:20" ht="15" x14ac:dyDescent="0.25">
      <c r="A105" s="60">
        <f>+A104+1</f>
        <v>68</v>
      </c>
      <c r="B105" s="67">
        <v>1.9</v>
      </c>
      <c r="C105" s="60">
        <v>808</v>
      </c>
      <c r="G105" s="2" t="s">
        <v>119</v>
      </c>
      <c r="H105" s="72">
        <v>-521726.78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v>0</v>
      </c>
      <c r="S105" s="72">
        <v>-521726.78</v>
      </c>
      <c r="T105" s="73">
        <f t="shared" si="35"/>
        <v>0</v>
      </c>
    </row>
    <row r="106" spans="1:20" ht="15" x14ac:dyDescent="0.25">
      <c r="A106" s="60">
        <f>+A105+1</f>
        <v>69</v>
      </c>
      <c r="B106" s="57">
        <v>1.9</v>
      </c>
      <c r="C106" s="60">
        <v>812</v>
      </c>
      <c r="G106" s="2" t="s">
        <v>120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  <c r="Q106" s="72">
        <v>0</v>
      </c>
      <c r="R106" s="72">
        <v>0</v>
      </c>
      <c r="S106" s="72">
        <v>0</v>
      </c>
      <c r="T106" s="73">
        <f t="shared" si="35"/>
        <v>0</v>
      </c>
    </row>
    <row r="107" spans="1:20" ht="15" x14ac:dyDescent="0.25">
      <c r="A107" s="64">
        <f>+A106+1</f>
        <v>70</v>
      </c>
      <c r="B107" s="63">
        <v>1.9</v>
      </c>
      <c r="C107" s="64">
        <v>813</v>
      </c>
      <c r="D107" s="65"/>
      <c r="E107" s="65"/>
      <c r="F107" s="65"/>
      <c r="G107" s="65" t="s">
        <v>121</v>
      </c>
      <c r="H107" s="5">
        <v>166138.85000000003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75">
        <v>0</v>
      </c>
      <c r="S107" s="75">
        <v>166138.85000000003</v>
      </c>
      <c r="T107" s="76">
        <f t="shared" si="35"/>
        <v>0</v>
      </c>
    </row>
    <row r="108" spans="1:20" ht="15" x14ac:dyDescent="0.25">
      <c r="A108" s="60">
        <f>+A107+1</f>
        <v>71</v>
      </c>
      <c r="B108" s="79"/>
      <c r="C108" s="60"/>
      <c r="D108" s="2" t="s">
        <v>122</v>
      </c>
      <c r="H108" s="77">
        <f t="shared" ref="H108:S108" si="36">SUM(H93:H107)</f>
        <v>19372183.459999986</v>
      </c>
      <c r="I108" s="72">
        <f t="shared" si="36"/>
        <v>0</v>
      </c>
      <c r="J108" s="72">
        <f t="shared" si="36"/>
        <v>0</v>
      </c>
      <c r="K108" s="72">
        <f t="shared" si="36"/>
        <v>0</v>
      </c>
      <c r="L108" s="72">
        <f t="shared" si="36"/>
        <v>0</v>
      </c>
      <c r="M108" s="72">
        <f t="shared" si="36"/>
        <v>0</v>
      </c>
      <c r="N108" s="72">
        <f t="shared" si="36"/>
        <v>0</v>
      </c>
      <c r="O108" s="72">
        <f t="shared" si="36"/>
        <v>0</v>
      </c>
      <c r="P108" s="72">
        <f t="shared" si="36"/>
        <v>0</v>
      </c>
      <c r="Q108" s="72">
        <f t="shared" si="36"/>
        <v>0</v>
      </c>
      <c r="R108" s="72">
        <f t="shared" si="36"/>
        <v>0</v>
      </c>
      <c r="S108" s="72">
        <f t="shared" si="36"/>
        <v>19372183.459999986</v>
      </c>
      <c r="T108" s="73">
        <f t="shared" si="35"/>
        <v>0</v>
      </c>
    </row>
    <row r="109" spans="1:20" ht="15" x14ac:dyDescent="0.25">
      <c r="A109" s="60"/>
      <c r="B109" s="79"/>
      <c r="C109" s="60"/>
      <c r="I109" s="73"/>
      <c r="T109" s="73"/>
    </row>
    <row r="110" spans="1:20" ht="15" x14ac:dyDescent="0.25">
      <c r="A110" s="60"/>
      <c r="B110" s="79"/>
      <c r="C110" s="60"/>
      <c r="D110" s="71" t="s">
        <v>123</v>
      </c>
      <c r="I110" s="73"/>
      <c r="T110" s="73"/>
    </row>
    <row r="111" spans="1:20" ht="15" x14ac:dyDescent="0.25">
      <c r="A111" s="60"/>
      <c r="B111" s="79"/>
      <c r="C111" s="60"/>
      <c r="F111" s="2" t="s">
        <v>106</v>
      </c>
      <c r="T111" s="73"/>
    </row>
    <row r="112" spans="1:20" ht="15" x14ac:dyDescent="0.25">
      <c r="A112" s="60">
        <f>+A108+1</f>
        <v>72</v>
      </c>
      <c r="B112" s="57">
        <v>1.1000000000000001</v>
      </c>
      <c r="C112" s="60">
        <v>840</v>
      </c>
      <c r="G112" s="2" t="s">
        <v>107</v>
      </c>
      <c r="H112" s="72">
        <v>74372.679999999993</v>
      </c>
      <c r="I112" s="72">
        <v>74372.679999999993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3">
        <f t="shared" ref="T112:T114" si="37">SUM(I112:S112)-H112</f>
        <v>0</v>
      </c>
    </row>
    <row r="113" spans="1:20" ht="15" x14ac:dyDescent="0.25">
      <c r="A113" s="60">
        <f>+A112+1</f>
        <v>73</v>
      </c>
      <c r="B113" s="57">
        <v>1.1000000000000001</v>
      </c>
      <c r="C113" s="60">
        <v>841</v>
      </c>
      <c r="G113" s="2" t="s">
        <v>124</v>
      </c>
      <c r="H113" s="72">
        <v>143279.82</v>
      </c>
      <c r="I113" s="72">
        <v>143279.82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  <c r="Q113" s="72">
        <v>0</v>
      </c>
      <c r="R113" s="72">
        <v>0</v>
      </c>
      <c r="S113" s="72">
        <v>0</v>
      </c>
      <c r="T113" s="73">
        <f t="shared" si="37"/>
        <v>0</v>
      </c>
    </row>
    <row r="114" spans="1:20" ht="15" x14ac:dyDescent="0.25">
      <c r="A114" s="60">
        <f>+A113+1</f>
        <v>74</v>
      </c>
      <c r="B114" s="57">
        <v>1.1000000000000001</v>
      </c>
      <c r="C114" s="60">
        <v>842</v>
      </c>
      <c r="G114" s="2" t="s">
        <v>125</v>
      </c>
      <c r="H114" s="72">
        <v>51004.33</v>
      </c>
      <c r="I114" s="72">
        <v>51004.33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73">
        <f t="shared" si="37"/>
        <v>0</v>
      </c>
    </row>
    <row r="115" spans="1:20" ht="15" x14ac:dyDescent="0.25">
      <c r="A115" s="60"/>
      <c r="B115" s="79"/>
      <c r="C115" s="60"/>
      <c r="F115" s="2" t="s">
        <v>113</v>
      </c>
      <c r="T115" s="73"/>
    </row>
    <row r="116" spans="1:20" ht="15" x14ac:dyDescent="0.25">
      <c r="A116" s="60">
        <f>+A114+1</f>
        <v>75</v>
      </c>
      <c r="B116" s="57">
        <v>1.1000000000000001</v>
      </c>
      <c r="C116" s="60">
        <v>843.1</v>
      </c>
      <c r="G116" s="2" t="s">
        <v>107</v>
      </c>
      <c r="H116" s="72">
        <v>4707.93</v>
      </c>
      <c r="I116" s="72">
        <v>4707.93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v>0</v>
      </c>
      <c r="S116" s="72">
        <v>0</v>
      </c>
      <c r="T116" s="73">
        <f t="shared" ref="T116:T122" si="38">SUM(I116:S116)-H116</f>
        <v>0</v>
      </c>
    </row>
    <row r="117" spans="1:20" ht="15" x14ac:dyDescent="0.25">
      <c r="A117" s="60">
        <f>+A116+1</f>
        <v>76</v>
      </c>
      <c r="B117" s="57">
        <v>1.1000000000000001</v>
      </c>
      <c r="C117" s="60">
        <v>843.2</v>
      </c>
      <c r="G117" s="2" t="s">
        <v>47</v>
      </c>
      <c r="H117" s="72">
        <v>2174.89</v>
      </c>
      <c r="I117" s="72">
        <v>2174.89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3">
        <f t="shared" si="38"/>
        <v>0</v>
      </c>
    </row>
    <row r="118" spans="1:20" ht="15" x14ac:dyDescent="0.25">
      <c r="A118" s="60">
        <f>+A117+1</f>
        <v>77</v>
      </c>
      <c r="B118" s="57">
        <v>1.1000000000000001</v>
      </c>
      <c r="C118" s="60">
        <v>843.3</v>
      </c>
      <c r="G118" s="2" t="s">
        <v>55</v>
      </c>
      <c r="H118" s="72">
        <v>20094.75</v>
      </c>
      <c r="I118" s="72">
        <v>20094.75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3">
        <f t="shared" ref="T118:T121" si="39">SUM(I118:S118)-H118</f>
        <v>0</v>
      </c>
    </row>
    <row r="119" spans="1:20" ht="15" x14ac:dyDescent="0.25">
      <c r="A119" s="60">
        <f t="shared" ref="A119:A125" si="40">+A118+1</f>
        <v>78</v>
      </c>
      <c r="B119" s="57">
        <v>1.1000000000000001</v>
      </c>
      <c r="C119" s="60">
        <v>843.4</v>
      </c>
      <c r="G119" s="2" t="s">
        <v>56</v>
      </c>
      <c r="H119" s="72">
        <v>2824.6</v>
      </c>
      <c r="I119" s="72">
        <v>2824.6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3">
        <f t="shared" si="39"/>
        <v>0</v>
      </c>
    </row>
    <row r="120" spans="1:20" ht="15" x14ac:dyDescent="0.25">
      <c r="A120" s="60">
        <f t="shared" si="40"/>
        <v>79</v>
      </c>
      <c r="B120" s="57">
        <v>1.1000000000000001</v>
      </c>
      <c r="C120" s="60">
        <v>843.5</v>
      </c>
      <c r="G120" s="2" t="s">
        <v>57</v>
      </c>
      <c r="H120" s="72">
        <v>8869.4599999999991</v>
      </c>
      <c r="I120" s="72">
        <v>8869.4599999999991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>
        <v>0</v>
      </c>
      <c r="T120" s="73">
        <f t="shared" si="39"/>
        <v>0</v>
      </c>
    </row>
    <row r="121" spans="1:20" ht="15" x14ac:dyDescent="0.25">
      <c r="A121" s="60">
        <f t="shared" si="40"/>
        <v>80</v>
      </c>
      <c r="B121" s="57">
        <v>1.1000000000000001</v>
      </c>
      <c r="C121" s="60">
        <v>843.6</v>
      </c>
      <c r="G121" s="71" t="s">
        <v>58</v>
      </c>
      <c r="H121" s="72">
        <v>6871.64</v>
      </c>
      <c r="I121" s="72">
        <v>6871.64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3">
        <f t="shared" si="39"/>
        <v>0</v>
      </c>
    </row>
    <row r="122" spans="1:20" ht="15" x14ac:dyDescent="0.25">
      <c r="A122" s="60">
        <f t="shared" si="40"/>
        <v>81</v>
      </c>
      <c r="B122" s="57">
        <v>1.1000000000000001</v>
      </c>
      <c r="C122" s="60">
        <v>843.7</v>
      </c>
      <c r="G122" s="2" t="s">
        <v>59</v>
      </c>
      <c r="H122" s="72">
        <v>56573.42</v>
      </c>
      <c r="I122" s="72">
        <v>56573.42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73">
        <f t="shared" si="38"/>
        <v>0</v>
      </c>
    </row>
    <row r="123" spans="1:20" ht="15" x14ac:dyDescent="0.25">
      <c r="A123" s="60">
        <f t="shared" si="40"/>
        <v>82</v>
      </c>
      <c r="B123" s="57">
        <v>1.1000000000000001</v>
      </c>
      <c r="C123" s="60">
        <v>843.8</v>
      </c>
      <c r="G123" s="2" t="s">
        <v>126</v>
      </c>
      <c r="H123" s="72">
        <v>3413.72</v>
      </c>
      <c r="I123" s="72">
        <v>3413.72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3"/>
    </row>
    <row r="124" spans="1:20" ht="15" x14ac:dyDescent="0.25">
      <c r="A124" s="64">
        <f t="shared" si="40"/>
        <v>83</v>
      </c>
      <c r="B124" s="63">
        <v>1.1000000000000001</v>
      </c>
      <c r="C124" s="64">
        <v>843.9</v>
      </c>
      <c r="D124" s="65"/>
      <c r="E124" s="65"/>
      <c r="F124" s="65"/>
      <c r="G124" s="65" t="s">
        <v>61</v>
      </c>
      <c r="H124" s="5">
        <v>58196.35</v>
      </c>
      <c r="I124" s="5">
        <v>58196.35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75">
        <v>0</v>
      </c>
      <c r="S124" s="75">
        <v>0</v>
      </c>
      <c r="T124" s="76">
        <f t="shared" ref="T124:T125" si="41">SUM(I124:S124)-H124</f>
        <v>0</v>
      </c>
    </row>
    <row r="125" spans="1:20" ht="15" x14ac:dyDescent="0.25">
      <c r="A125" s="60">
        <f t="shared" si="40"/>
        <v>84</v>
      </c>
      <c r="C125" s="60"/>
      <c r="D125" s="71" t="s">
        <v>127</v>
      </c>
      <c r="H125" s="77">
        <f t="shared" ref="H125:S125" si="42">SUM(H112:H124)</f>
        <v>432383.58999999997</v>
      </c>
      <c r="I125" s="72">
        <f t="shared" si="42"/>
        <v>432383.58999999997</v>
      </c>
      <c r="J125" s="72">
        <f t="shared" si="42"/>
        <v>0</v>
      </c>
      <c r="K125" s="72">
        <f t="shared" si="42"/>
        <v>0</v>
      </c>
      <c r="L125" s="72">
        <f t="shared" si="42"/>
        <v>0</v>
      </c>
      <c r="M125" s="72">
        <f t="shared" si="42"/>
        <v>0</v>
      </c>
      <c r="N125" s="72">
        <f t="shared" si="42"/>
        <v>0</v>
      </c>
      <c r="O125" s="72">
        <f t="shared" si="42"/>
        <v>0</v>
      </c>
      <c r="P125" s="72">
        <f t="shared" si="42"/>
        <v>0</v>
      </c>
      <c r="Q125" s="72">
        <f t="shared" si="42"/>
        <v>0</v>
      </c>
      <c r="R125" s="72">
        <f t="shared" si="42"/>
        <v>0</v>
      </c>
      <c r="S125" s="72">
        <f t="shared" si="42"/>
        <v>0</v>
      </c>
      <c r="T125" s="73">
        <f t="shared" si="41"/>
        <v>0</v>
      </c>
    </row>
    <row r="126" spans="1:20" x14ac:dyDescent="0.2">
      <c r="A126" s="60"/>
      <c r="C126" s="60"/>
      <c r="T126" s="73"/>
    </row>
    <row r="127" spans="1:20" x14ac:dyDescent="0.2">
      <c r="A127" s="60"/>
      <c r="C127" s="60"/>
      <c r="D127" s="2" t="s">
        <v>128</v>
      </c>
      <c r="T127" s="73"/>
    </row>
    <row r="128" spans="1:20" x14ac:dyDescent="0.2">
      <c r="A128" s="60"/>
      <c r="C128" s="60"/>
      <c r="F128" s="2" t="s">
        <v>106</v>
      </c>
      <c r="T128" s="73"/>
    </row>
    <row r="129" spans="1:20" ht="15" x14ac:dyDescent="0.25">
      <c r="A129" s="60">
        <f>+A125+1</f>
        <v>85</v>
      </c>
      <c r="B129" s="57">
        <v>59</v>
      </c>
      <c r="C129" s="60">
        <v>870</v>
      </c>
      <c r="G129" s="2" t="s">
        <v>107</v>
      </c>
      <c r="H129" s="72">
        <v>1034926.51</v>
      </c>
      <c r="I129" s="72">
        <v>0</v>
      </c>
      <c r="J129" s="72">
        <v>141627.59851633548</v>
      </c>
      <c r="K129" s="72">
        <v>338503.32169454533</v>
      </c>
      <c r="L129" s="72">
        <v>430442.78297233232</v>
      </c>
      <c r="M129" s="72">
        <v>111644.92734428449</v>
      </c>
      <c r="N129" s="72">
        <v>12299.478737294256</v>
      </c>
      <c r="O129" s="72">
        <v>408.4007352081818</v>
      </c>
      <c r="P129" s="72">
        <v>0</v>
      </c>
      <c r="Q129" s="72">
        <v>0</v>
      </c>
      <c r="R129" s="72">
        <v>0</v>
      </c>
      <c r="S129" s="72">
        <v>0</v>
      </c>
      <c r="T129" s="73">
        <f t="shared" ref="T129:T133" si="43">SUM(I129:S129)-H129</f>
        <v>0</v>
      </c>
    </row>
    <row r="130" spans="1:20" ht="15" x14ac:dyDescent="0.25">
      <c r="A130" s="60">
        <f>+A129+1</f>
        <v>86</v>
      </c>
      <c r="B130" s="57">
        <v>44</v>
      </c>
      <c r="C130" s="60">
        <v>871</v>
      </c>
      <c r="G130" s="2" t="s">
        <v>129</v>
      </c>
      <c r="H130" s="72">
        <v>135615.67999999999</v>
      </c>
      <c r="I130" s="72">
        <v>0</v>
      </c>
      <c r="J130" s="72">
        <v>20559.24237163191</v>
      </c>
      <c r="K130" s="72">
        <v>49138.52884060549</v>
      </c>
      <c r="L130" s="72">
        <v>45138.150536016503</v>
      </c>
      <c r="M130" s="72">
        <v>17741.921856599842</v>
      </c>
      <c r="N130" s="72">
        <v>2861.2632513316139</v>
      </c>
      <c r="O130" s="72">
        <v>176.57314381463502</v>
      </c>
      <c r="P130" s="72">
        <v>0</v>
      </c>
      <c r="Q130" s="72">
        <v>0</v>
      </c>
      <c r="R130" s="72">
        <v>0</v>
      </c>
      <c r="S130" s="72">
        <v>0</v>
      </c>
      <c r="T130" s="73">
        <f t="shared" si="43"/>
        <v>0</v>
      </c>
    </row>
    <row r="131" spans="1:20" ht="15" x14ac:dyDescent="0.25">
      <c r="A131" s="60">
        <f t="shared" ref="A131:A138" si="44">+A130+1</f>
        <v>87</v>
      </c>
      <c r="B131" s="57">
        <v>44.1</v>
      </c>
      <c r="C131" s="60">
        <v>874</v>
      </c>
      <c r="G131" s="2" t="s">
        <v>130</v>
      </c>
      <c r="H131" s="72">
        <v>1743597.24</v>
      </c>
      <c r="I131" s="72">
        <v>0</v>
      </c>
      <c r="J131" s="72">
        <v>304020.50850121921</v>
      </c>
      <c r="K131" s="72">
        <v>726637.69681201992</v>
      </c>
      <c r="L131" s="72">
        <v>712939.03468676074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3">
        <f t="shared" si="43"/>
        <v>0</v>
      </c>
    </row>
    <row r="132" spans="1:20" ht="15" x14ac:dyDescent="0.25">
      <c r="A132" s="60">
        <f t="shared" si="44"/>
        <v>88</v>
      </c>
      <c r="B132" s="57">
        <v>1.2</v>
      </c>
      <c r="C132" s="60">
        <v>875</v>
      </c>
      <c r="G132" s="2" t="s">
        <v>131</v>
      </c>
      <c r="H132" s="72">
        <v>144583.82</v>
      </c>
      <c r="I132" s="72">
        <v>0</v>
      </c>
      <c r="J132" s="72">
        <v>42648.907514484345</v>
      </c>
      <c r="K132" s="72">
        <v>101934.91248551567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3">
        <f t="shared" si="43"/>
        <v>0</v>
      </c>
    </row>
    <row r="133" spans="1:20" ht="15" x14ac:dyDescent="0.25">
      <c r="A133" s="60">
        <f t="shared" si="44"/>
        <v>89</v>
      </c>
      <c r="B133" s="57">
        <v>1.6</v>
      </c>
      <c r="C133" s="60">
        <v>876</v>
      </c>
      <c r="G133" s="2" t="s">
        <v>132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3">
        <f t="shared" si="43"/>
        <v>0</v>
      </c>
    </row>
    <row r="134" spans="1:20" ht="15" x14ac:dyDescent="0.25">
      <c r="A134" s="60">
        <f t="shared" si="44"/>
        <v>90</v>
      </c>
      <c r="B134" s="57">
        <v>1.2</v>
      </c>
      <c r="C134" s="60">
        <v>877</v>
      </c>
      <c r="G134" s="2" t="s">
        <v>133</v>
      </c>
      <c r="H134" s="72">
        <v>111253.58</v>
      </c>
      <c r="I134" s="72">
        <v>0</v>
      </c>
      <c r="J134" s="72">
        <v>32817.251917090616</v>
      </c>
      <c r="K134" s="72">
        <v>78436.328082909386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3"/>
    </row>
    <row r="135" spans="1:20" ht="15" x14ac:dyDescent="0.25">
      <c r="A135" s="60">
        <f t="shared" si="44"/>
        <v>91</v>
      </c>
      <c r="B135" s="57">
        <v>44.3</v>
      </c>
      <c r="C135" s="60">
        <v>878</v>
      </c>
      <c r="G135" s="2" t="s">
        <v>134</v>
      </c>
      <c r="H135" s="72">
        <v>68545.88</v>
      </c>
      <c r="I135" s="72">
        <v>0</v>
      </c>
      <c r="J135" s="72">
        <v>0</v>
      </c>
      <c r="K135" s="72">
        <v>0</v>
      </c>
      <c r="L135" s="72">
        <v>0</v>
      </c>
      <c r="M135" s="72">
        <v>59026.584490749614</v>
      </c>
      <c r="N135" s="72">
        <v>9519.2955092504017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3">
        <f t="shared" ref="T135:T138" si="45">SUM(I135:S135)-H135</f>
        <v>0</v>
      </c>
    </row>
    <row r="136" spans="1:20" ht="15" x14ac:dyDescent="0.25">
      <c r="A136" s="60">
        <f t="shared" si="44"/>
        <v>92</v>
      </c>
      <c r="B136" s="57">
        <v>44.2</v>
      </c>
      <c r="C136" s="60">
        <v>879</v>
      </c>
      <c r="G136" s="2" t="s">
        <v>135</v>
      </c>
      <c r="H136" s="72">
        <v>698095.74</v>
      </c>
      <c r="I136" s="72">
        <v>0</v>
      </c>
      <c r="J136" s="72">
        <v>0</v>
      </c>
      <c r="K136" s="72">
        <v>0</v>
      </c>
      <c r="L136" s="72">
        <v>501124.59164999257</v>
      </c>
      <c r="M136" s="72">
        <v>196971.14835000742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3">
        <f t="shared" si="45"/>
        <v>0</v>
      </c>
    </row>
    <row r="137" spans="1:20" ht="15" x14ac:dyDescent="0.25">
      <c r="A137" s="60">
        <f t="shared" si="44"/>
        <v>93</v>
      </c>
      <c r="B137" s="57">
        <v>44</v>
      </c>
      <c r="C137" s="60">
        <v>880</v>
      </c>
      <c r="G137" s="2" t="s">
        <v>121</v>
      </c>
      <c r="H137" s="72">
        <v>1610205.75</v>
      </c>
      <c r="I137" s="72">
        <v>0</v>
      </c>
      <c r="J137" s="72">
        <v>244106.06710407927</v>
      </c>
      <c r="K137" s="72">
        <v>583436.52950517077</v>
      </c>
      <c r="L137" s="72">
        <v>535938.83493014495</v>
      </c>
      <c r="M137" s="72">
        <v>210655.17342498849</v>
      </c>
      <c r="N137" s="72">
        <v>33972.639001315038</v>
      </c>
      <c r="O137" s="72">
        <v>2096.5060343015075</v>
      </c>
      <c r="P137" s="72">
        <v>0</v>
      </c>
      <c r="Q137" s="72">
        <v>0</v>
      </c>
      <c r="R137" s="72">
        <v>0</v>
      </c>
      <c r="S137" s="72">
        <v>0</v>
      </c>
      <c r="T137" s="73">
        <f t="shared" si="45"/>
        <v>0</v>
      </c>
    </row>
    <row r="138" spans="1:20" ht="15" x14ac:dyDescent="0.25">
      <c r="A138" s="60">
        <f t="shared" si="44"/>
        <v>94</v>
      </c>
      <c r="B138" s="57">
        <v>44</v>
      </c>
      <c r="C138" s="60">
        <v>881</v>
      </c>
      <c r="G138" s="2" t="s">
        <v>125</v>
      </c>
      <c r="H138" s="72">
        <v>510</v>
      </c>
      <c r="I138" s="72">
        <v>0</v>
      </c>
      <c r="J138" s="72">
        <v>77.315643807060326</v>
      </c>
      <c r="K138" s="72">
        <v>184.79168270740374</v>
      </c>
      <c r="L138" s="72">
        <v>169.7477516860028</v>
      </c>
      <c r="M138" s="72">
        <v>66.720751957781872</v>
      </c>
      <c r="N138" s="72">
        <v>10.760144093803335</v>
      </c>
      <c r="O138" s="72">
        <v>0.66402574794790592</v>
      </c>
      <c r="P138" s="72">
        <v>0</v>
      </c>
      <c r="Q138" s="72">
        <v>0</v>
      </c>
      <c r="R138" s="72">
        <v>0</v>
      </c>
      <c r="S138" s="72">
        <v>0</v>
      </c>
      <c r="T138" s="73">
        <f t="shared" si="45"/>
        <v>0</v>
      </c>
    </row>
    <row r="139" spans="1:20" x14ac:dyDescent="0.2">
      <c r="A139" s="60"/>
      <c r="C139" s="60"/>
      <c r="F139" s="2" t="s">
        <v>113</v>
      </c>
      <c r="T139" s="73"/>
    </row>
    <row r="140" spans="1:20" ht="15" x14ac:dyDescent="0.25">
      <c r="A140" s="60">
        <f>+A138+1</f>
        <v>95</v>
      </c>
      <c r="B140" s="57">
        <v>59</v>
      </c>
      <c r="C140" s="60">
        <v>885</v>
      </c>
      <c r="G140" s="2" t="s">
        <v>107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  <c r="Q140" s="72">
        <v>0</v>
      </c>
      <c r="R140" s="72">
        <v>0</v>
      </c>
      <c r="S140" s="72">
        <v>0</v>
      </c>
      <c r="T140" s="73">
        <f t="shared" ref="T140:T149" si="46">SUM(I140:S140)-H140</f>
        <v>0</v>
      </c>
    </row>
    <row r="141" spans="1:20" ht="15" x14ac:dyDescent="0.25">
      <c r="A141" s="60">
        <f>+A140+1</f>
        <v>96</v>
      </c>
      <c r="B141" s="57">
        <v>44.4</v>
      </c>
      <c r="C141" s="60">
        <v>886</v>
      </c>
      <c r="G141" s="2" t="s">
        <v>114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3">
        <f t="shared" si="46"/>
        <v>0</v>
      </c>
    </row>
    <row r="142" spans="1:20" ht="15" x14ac:dyDescent="0.25">
      <c r="A142" s="60">
        <f t="shared" ref="A142:A149" si="47">+A141+1</f>
        <v>97</v>
      </c>
      <c r="B142" s="57">
        <v>1.2</v>
      </c>
      <c r="C142" s="60">
        <v>887</v>
      </c>
      <c r="G142" s="2" t="s">
        <v>6</v>
      </c>
      <c r="H142" s="72">
        <v>349440.95</v>
      </c>
      <c r="I142" s="72">
        <v>0</v>
      </c>
      <c r="J142" s="72">
        <v>103077.05771173806</v>
      </c>
      <c r="K142" s="72">
        <v>246363.89228826197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72">
        <v>0</v>
      </c>
      <c r="S142" s="72">
        <v>0</v>
      </c>
      <c r="T142" s="73">
        <f t="shared" si="46"/>
        <v>0</v>
      </c>
    </row>
    <row r="143" spans="1:20" ht="15" x14ac:dyDescent="0.25">
      <c r="A143" s="60">
        <f t="shared" si="47"/>
        <v>98</v>
      </c>
      <c r="B143" s="57">
        <v>1.2</v>
      </c>
      <c r="C143" s="60">
        <v>889</v>
      </c>
      <c r="G143" s="2" t="s">
        <v>131</v>
      </c>
      <c r="H143" s="72">
        <v>93391.39</v>
      </c>
      <c r="I143" s="72">
        <v>0</v>
      </c>
      <c r="J143" s="72">
        <v>27548.315950976656</v>
      </c>
      <c r="K143" s="72">
        <v>65843.074049023344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3">
        <f t="shared" si="46"/>
        <v>0</v>
      </c>
    </row>
    <row r="144" spans="1:20" ht="15" x14ac:dyDescent="0.25">
      <c r="A144" s="60">
        <f t="shared" si="47"/>
        <v>99</v>
      </c>
      <c r="B144" s="57">
        <v>1.6</v>
      </c>
      <c r="C144" s="60">
        <v>890</v>
      </c>
      <c r="G144" s="2" t="s">
        <v>132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72">
        <v>0</v>
      </c>
      <c r="Q144" s="72">
        <v>0</v>
      </c>
      <c r="R144" s="72">
        <v>0</v>
      </c>
      <c r="S144" s="72">
        <v>0</v>
      </c>
      <c r="T144" s="73">
        <f t="shared" si="46"/>
        <v>0</v>
      </c>
    </row>
    <row r="145" spans="1:20" ht="15" x14ac:dyDescent="0.25">
      <c r="A145" s="60">
        <f t="shared" si="47"/>
        <v>100</v>
      </c>
      <c r="B145" s="57">
        <v>1.2</v>
      </c>
      <c r="C145" s="60">
        <v>891</v>
      </c>
      <c r="G145" s="2" t="s">
        <v>133</v>
      </c>
      <c r="H145" s="72">
        <v>46265.69</v>
      </c>
      <c r="I145" s="72">
        <v>0</v>
      </c>
      <c r="J145" s="72">
        <v>13647.316372632864</v>
      </c>
      <c r="K145" s="72">
        <v>32618.373627367138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3">
        <f t="shared" si="46"/>
        <v>0</v>
      </c>
    </row>
    <row r="146" spans="1:20" ht="15" x14ac:dyDescent="0.25">
      <c r="A146" s="60">
        <f t="shared" si="47"/>
        <v>101</v>
      </c>
      <c r="B146" s="57">
        <v>1.3</v>
      </c>
      <c r="C146" s="60">
        <v>892</v>
      </c>
      <c r="G146" s="2" t="s">
        <v>19</v>
      </c>
      <c r="H146" s="72">
        <v>601150.43999999994</v>
      </c>
      <c r="I146" s="72">
        <v>0</v>
      </c>
      <c r="J146" s="72">
        <v>0</v>
      </c>
      <c r="K146" s="72">
        <v>0</v>
      </c>
      <c r="L146" s="72">
        <v>601150.43999999994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3">
        <f t="shared" si="46"/>
        <v>0</v>
      </c>
    </row>
    <row r="147" spans="1:20" ht="15" x14ac:dyDescent="0.25">
      <c r="A147" s="60">
        <f t="shared" si="47"/>
        <v>102</v>
      </c>
      <c r="B147" s="57">
        <v>44.3</v>
      </c>
      <c r="C147" s="60">
        <v>893</v>
      </c>
      <c r="G147" s="2" t="s">
        <v>134</v>
      </c>
      <c r="H147" s="72">
        <v>159226.51</v>
      </c>
      <c r="I147" s="72">
        <v>0</v>
      </c>
      <c r="J147" s="72">
        <v>0</v>
      </c>
      <c r="K147" s="72">
        <v>0</v>
      </c>
      <c r="L147" s="72">
        <v>0</v>
      </c>
      <c r="M147" s="72">
        <v>137113.95995911333</v>
      </c>
      <c r="N147" s="72">
        <v>22112.55004088669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3">
        <f t="shared" si="46"/>
        <v>0</v>
      </c>
    </row>
    <row r="148" spans="1:20" ht="15" x14ac:dyDescent="0.25">
      <c r="A148" s="64">
        <f t="shared" si="47"/>
        <v>103</v>
      </c>
      <c r="B148" s="63">
        <v>44</v>
      </c>
      <c r="C148" s="64">
        <v>894</v>
      </c>
      <c r="D148" s="65"/>
      <c r="E148" s="65"/>
      <c r="F148" s="65"/>
      <c r="G148" s="65" t="s">
        <v>61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75">
        <v>0</v>
      </c>
      <c r="S148" s="75">
        <v>0</v>
      </c>
      <c r="T148" s="76">
        <f t="shared" si="46"/>
        <v>0</v>
      </c>
    </row>
    <row r="149" spans="1:20" x14ac:dyDescent="0.2">
      <c r="A149" s="60">
        <f t="shared" si="47"/>
        <v>104</v>
      </c>
      <c r="C149" s="60"/>
      <c r="D149" s="2" t="s">
        <v>136</v>
      </c>
      <c r="H149" s="14">
        <f t="shared" ref="H149:P149" si="48">SUM(H129:H148)</f>
        <v>6796809.1799999997</v>
      </c>
      <c r="I149" s="15">
        <f t="shared" si="48"/>
        <v>0</v>
      </c>
      <c r="J149" s="15">
        <f t="shared" si="48"/>
        <v>930129.58160399552</v>
      </c>
      <c r="K149" s="15">
        <f t="shared" si="48"/>
        <v>2223097.4490681263</v>
      </c>
      <c r="L149" s="15">
        <f t="shared" si="48"/>
        <v>2826903.5825269329</v>
      </c>
      <c r="M149" s="15">
        <f t="shared" si="48"/>
        <v>733220.43617770099</v>
      </c>
      <c r="N149" s="15">
        <f t="shared" si="48"/>
        <v>80775.986684171803</v>
      </c>
      <c r="O149" s="15">
        <f t="shared" si="48"/>
        <v>2682.1439390722721</v>
      </c>
      <c r="P149" s="15">
        <f t="shared" si="48"/>
        <v>0</v>
      </c>
      <c r="Q149" s="15">
        <f t="shared" ref="Q149:S149" si="49">SUM(Q129:Q148)</f>
        <v>0</v>
      </c>
      <c r="R149" s="15">
        <f t="shared" si="49"/>
        <v>0</v>
      </c>
      <c r="S149" s="15">
        <f t="shared" si="49"/>
        <v>0</v>
      </c>
      <c r="T149" s="73">
        <f t="shared" si="46"/>
        <v>0</v>
      </c>
    </row>
    <row r="150" spans="1:20" x14ac:dyDescent="0.2">
      <c r="A150" s="60"/>
      <c r="C150" s="60"/>
      <c r="H150" s="16"/>
      <c r="T150" s="73"/>
    </row>
    <row r="151" spans="1:20" x14ac:dyDescent="0.2">
      <c r="A151" s="60"/>
      <c r="C151" s="60"/>
      <c r="D151" s="2" t="s">
        <v>137</v>
      </c>
      <c r="H151" s="73"/>
      <c r="T151" s="73"/>
    </row>
    <row r="152" spans="1:20" ht="15" x14ac:dyDescent="0.25">
      <c r="A152" s="60">
        <f>+A149+1</f>
        <v>105</v>
      </c>
      <c r="B152" s="57">
        <v>59.1</v>
      </c>
      <c r="C152" s="60">
        <v>901</v>
      </c>
      <c r="G152" s="2" t="s">
        <v>138</v>
      </c>
      <c r="H152" s="72">
        <v>127549.45</v>
      </c>
      <c r="I152" s="72">
        <v>0</v>
      </c>
      <c r="J152" s="72">
        <v>0</v>
      </c>
      <c r="K152" s="72">
        <v>0</v>
      </c>
      <c r="L152" s="72">
        <v>0</v>
      </c>
      <c r="M152" s="72">
        <v>12922.844702896668</v>
      </c>
      <c r="N152" s="72">
        <v>0</v>
      </c>
      <c r="O152" s="72">
        <v>0</v>
      </c>
      <c r="P152" s="72">
        <v>107657.91813447345</v>
      </c>
      <c r="Q152" s="72">
        <v>3448.6727288201964</v>
      </c>
      <c r="R152" s="72">
        <v>3520.0144338096525</v>
      </c>
      <c r="S152" s="72">
        <v>0</v>
      </c>
      <c r="T152" s="73">
        <f t="shared" ref="T152:T158" si="50">SUM(I152:S152)-H152</f>
        <v>0</v>
      </c>
    </row>
    <row r="153" spans="1:20" ht="15" x14ac:dyDescent="0.25">
      <c r="A153" s="60">
        <f>+A152+1</f>
        <v>106</v>
      </c>
      <c r="B153" s="57">
        <v>1.4</v>
      </c>
      <c r="C153" s="60">
        <v>902</v>
      </c>
      <c r="G153" s="2" t="s">
        <v>139</v>
      </c>
      <c r="H153" s="72">
        <v>304324.68</v>
      </c>
      <c r="I153" s="72">
        <v>0</v>
      </c>
      <c r="J153" s="72">
        <v>0</v>
      </c>
      <c r="K153" s="72">
        <v>0</v>
      </c>
      <c r="L153" s="72">
        <v>0</v>
      </c>
      <c r="M153" s="72">
        <v>304324.68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3">
        <f t="shared" si="50"/>
        <v>0</v>
      </c>
    </row>
    <row r="154" spans="1:20" ht="15" x14ac:dyDescent="0.25">
      <c r="A154" s="60">
        <f t="shared" ref="A154:A157" si="51">+A153+1</f>
        <v>107</v>
      </c>
      <c r="B154" s="57">
        <v>1.7</v>
      </c>
      <c r="C154" s="60">
        <v>903</v>
      </c>
      <c r="G154" s="2" t="s">
        <v>140</v>
      </c>
      <c r="H154" s="72">
        <v>2064038.5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2064038.5</v>
      </c>
      <c r="Q154" s="72">
        <v>0</v>
      </c>
      <c r="R154" s="72">
        <v>0</v>
      </c>
      <c r="S154" s="72">
        <v>0</v>
      </c>
      <c r="T154" s="73">
        <f t="shared" si="50"/>
        <v>0</v>
      </c>
    </row>
    <row r="155" spans="1:20" ht="15" x14ac:dyDescent="0.25">
      <c r="A155" s="60">
        <f t="shared" si="51"/>
        <v>108</v>
      </c>
      <c r="B155" s="57">
        <v>1.7</v>
      </c>
      <c r="C155" s="60">
        <v>904</v>
      </c>
      <c r="G155" s="2" t="s">
        <v>141</v>
      </c>
      <c r="H155" s="72">
        <v>441276.72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441276.72</v>
      </c>
      <c r="Q155" s="72">
        <v>0</v>
      </c>
      <c r="R155" s="72">
        <v>0</v>
      </c>
      <c r="S155" s="72">
        <v>0</v>
      </c>
      <c r="T155" s="73">
        <f t="shared" ref="T155" si="52">SUM(I155:S155)-H155</f>
        <v>0</v>
      </c>
    </row>
    <row r="156" spans="1:20" ht="15" x14ac:dyDescent="0.25">
      <c r="A156" s="60">
        <f t="shared" si="51"/>
        <v>109</v>
      </c>
      <c r="B156" s="57">
        <v>1.7</v>
      </c>
      <c r="C156" s="60">
        <v>905</v>
      </c>
      <c r="G156" s="2" t="s">
        <v>142</v>
      </c>
      <c r="H156" s="72">
        <v>29959.5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29959.5</v>
      </c>
      <c r="Q156" s="72">
        <v>0</v>
      </c>
      <c r="R156" s="72">
        <v>0</v>
      </c>
      <c r="S156" s="72">
        <v>0</v>
      </c>
      <c r="T156" s="73">
        <f t="shared" si="50"/>
        <v>0</v>
      </c>
    </row>
    <row r="157" spans="1:20" ht="15" x14ac:dyDescent="0.25">
      <c r="A157" s="64">
        <f t="shared" si="51"/>
        <v>110</v>
      </c>
      <c r="B157" s="63">
        <v>1.8</v>
      </c>
      <c r="C157" s="64" t="s">
        <v>143</v>
      </c>
      <c r="D157" s="65"/>
      <c r="E157" s="65"/>
      <c r="F157" s="65"/>
      <c r="G157" s="65" t="s">
        <v>144</v>
      </c>
      <c r="H157" s="5">
        <v>164108.1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81214.024369393141</v>
      </c>
      <c r="R157" s="75">
        <v>82894.075630606865</v>
      </c>
      <c r="S157" s="75">
        <v>0</v>
      </c>
      <c r="T157" s="76">
        <f t="shared" si="50"/>
        <v>0</v>
      </c>
    </row>
    <row r="158" spans="1:20" ht="15" x14ac:dyDescent="0.25">
      <c r="A158" s="60">
        <f>+A157+1</f>
        <v>111</v>
      </c>
      <c r="C158" s="60"/>
      <c r="D158" s="2" t="s">
        <v>145</v>
      </c>
      <c r="H158" s="77">
        <f t="shared" ref="H158:S158" si="53">SUM(H152:H157)</f>
        <v>3131256.9499999997</v>
      </c>
      <c r="I158" s="72">
        <f t="shared" si="53"/>
        <v>0</v>
      </c>
      <c r="J158" s="72">
        <f t="shared" si="53"/>
        <v>0</v>
      </c>
      <c r="K158" s="72">
        <f t="shared" si="53"/>
        <v>0</v>
      </c>
      <c r="L158" s="72">
        <f t="shared" si="53"/>
        <v>0</v>
      </c>
      <c r="M158" s="72">
        <f t="shared" si="53"/>
        <v>317247.52470289666</v>
      </c>
      <c r="N158" s="72">
        <f t="shared" si="53"/>
        <v>0</v>
      </c>
      <c r="O158" s="72">
        <f t="shared" si="53"/>
        <v>0</v>
      </c>
      <c r="P158" s="72">
        <f t="shared" si="53"/>
        <v>2642932.638134473</v>
      </c>
      <c r="Q158" s="72">
        <f t="shared" si="53"/>
        <v>84662.697098213335</v>
      </c>
      <c r="R158" s="72">
        <f t="shared" si="53"/>
        <v>86414.090064416523</v>
      </c>
      <c r="S158" s="72">
        <f t="shared" si="53"/>
        <v>0</v>
      </c>
      <c r="T158" s="73">
        <f t="shared" si="50"/>
        <v>0</v>
      </c>
    </row>
    <row r="159" spans="1:20" x14ac:dyDescent="0.2">
      <c r="A159" s="60"/>
      <c r="C159" s="60"/>
      <c r="H159" s="16"/>
      <c r="T159" s="73"/>
    </row>
    <row r="160" spans="1:20" x14ac:dyDescent="0.2">
      <c r="A160" s="60"/>
      <c r="C160" s="60"/>
      <c r="D160" s="2" t="s">
        <v>146</v>
      </c>
      <c r="T160" s="73"/>
    </row>
    <row r="161" spans="1:20" ht="15" x14ac:dyDescent="0.25">
      <c r="A161" s="60">
        <f>+A158+1</f>
        <v>112</v>
      </c>
      <c r="B161" s="57">
        <v>1.7</v>
      </c>
      <c r="C161" s="60">
        <v>908</v>
      </c>
      <c r="G161" s="2" t="s">
        <v>147</v>
      </c>
      <c r="H161" s="72">
        <v>1483.63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1483.63</v>
      </c>
      <c r="Q161" s="72">
        <v>0</v>
      </c>
      <c r="R161" s="72">
        <v>0</v>
      </c>
      <c r="S161" s="72">
        <v>0</v>
      </c>
      <c r="T161" s="73">
        <f t="shared" ref="T161:T164" si="54">SUM(I161:S161)-H161</f>
        <v>0</v>
      </c>
    </row>
    <row r="162" spans="1:20" ht="15" x14ac:dyDescent="0.25">
      <c r="A162" s="60">
        <f>+A161+1</f>
        <v>113</v>
      </c>
      <c r="B162" s="57">
        <v>1.7</v>
      </c>
      <c r="C162" s="60">
        <v>909</v>
      </c>
      <c r="G162" s="2" t="s">
        <v>148</v>
      </c>
      <c r="H162" s="72">
        <v>970884.8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970884.8</v>
      </c>
      <c r="Q162" s="72">
        <v>0</v>
      </c>
      <c r="R162" s="72">
        <v>0</v>
      </c>
      <c r="S162" s="72">
        <v>0</v>
      </c>
      <c r="T162" s="73">
        <f t="shared" si="54"/>
        <v>0</v>
      </c>
    </row>
    <row r="163" spans="1:20" ht="15" x14ac:dyDescent="0.25">
      <c r="A163" s="64">
        <f t="shared" ref="A163:A164" si="55">+A162+1</f>
        <v>114</v>
      </c>
      <c r="B163" s="63">
        <v>1.7</v>
      </c>
      <c r="C163" s="64">
        <v>910</v>
      </c>
      <c r="D163" s="65"/>
      <c r="E163" s="65"/>
      <c r="F163" s="65"/>
      <c r="G163" s="65" t="s">
        <v>142</v>
      </c>
      <c r="H163" s="5">
        <v>7351.59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7351.59</v>
      </c>
      <c r="Q163" s="5">
        <v>0</v>
      </c>
      <c r="R163" s="75">
        <v>0</v>
      </c>
      <c r="S163" s="75">
        <v>0</v>
      </c>
      <c r="T163" s="76">
        <f t="shared" si="54"/>
        <v>0</v>
      </c>
    </row>
    <row r="164" spans="1:20" ht="15" x14ac:dyDescent="0.25">
      <c r="A164" s="60">
        <f t="shared" si="55"/>
        <v>115</v>
      </c>
      <c r="C164" s="60"/>
      <c r="D164" s="2" t="s">
        <v>149</v>
      </c>
      <c r="H164" s="77">
        <f t="shared" ref="H164:S164" si="56">SUM(H161:H163)</f>
        <v>979720.02</v>
      </c>
      <c r="I164" s="72">
        <f t="shared" si="56"/>
        <v>0</v>
      </c>
      <c r="J164" s="72">
        <f t="shared" si="56"/>
        <v>0</v>
      </c>
      <c r="K164" s="72">
        <f t="shared" si="56"/>
        <v>0</v>
      </c>
      <c r="L164" s="72">
        <f t="shared" si="56"/>
        <v>0</v>
      </c>
      <c r="M164" s="72">
        <f t="shared" si="56"/>
        <v>0</v>
      </c>
      <c r="N164" s="72">
        <f t="shared" si="56"/>
        <v>0</v>
      </c>
      <c r="O164" s="72">
        <f t="shared" si="56"/>
        <v>0</v>
      </c>
      <c r="P164" s="72">
        <f t="shared" si="56"/>
        <v>979720.02</v>
      </c>
      <c r="Q164" s="72">
        <f t="shared" ref="Q164:R164" si="57">SUM(Q161:Q163)</f>
        <v>0</v>
      </c>
      <c r="R164" s="72">
        <f t="shared" si="57"/>
        <v>0</v>
      </c>
      <c r="S164" s="72">
        <f t="shared" si="56"/>
        <v>0</v>
      </c>
      <c r="T164" s="73">
        <f t="shared" si="54"/>
        <v>0</v>
      </c>
    </row>
    <row r="165" spans="1:20" x14ac:dyDescent="0.2">
      <c r="A165" s="60"/>
      <c r="C165" s="60"/>
      <c r="T165" s="73"/>
    </row>
    <row r="166" spans="1:20" x14ac:dyDescent="0.2">
      <c r="A166" s="60"/>
      <c r="C166" s="60"/>
      <c r="D166" s="2" t="s">
        <v>150</v>
      </c>
      <c r="T166" s="73"/>
    </row>
    <row r="167" spans="1:20" ht="15" x14ac:dyDescent="0.25">
      <c r="A167" s="60">
        <f>+A164+1</f>
        <v>116</v>
      </c>
      <c r="B167" s="57">
        <v>1.7</v>
      </c>
      <c r="C167" s="60">
        <v>912</v>
      </c>
      <c r="G167" s="2" t="s">
        <v>151</v>
      </c>
      <c r="H167" s="72">
        <v>104844.01999999999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104844.01999999999</v>
      </c>
      <c r="Q167" s="72">
        <v>0</v>
      </c>
      <c r="R167" s="72">
        <v>0</v>
      </c>
      <c r="S167" s="72">
        <v>0</v>
      </c>
      <c r="T167" s="73">
        <f t="shared" ref="T167:T169" si="58">SUM(I167:S167)-H167</f>
        <v>0</v>
      </c>
    </row>
    <row r="168" spans="1:20" ht="15" x14ac:dyDescent="0.25">
      <c r="A168" s="64">
        <f>+A167+1</f>
        <v>117</v>
      </c>
      <c r="B168" s="63">
        <v>1.7</v>
      </c>
      <c r="C168" s="64">
        <v>916</v>
      </c>
      <c r="D168" s="65"/>
      <c r="E168" s="65"/>
      <c r="F168" s="65"/>
      <c r="G168" s="65" t="s">
        <v>142</v>
      </c>
      <c r="H168" s="5">
        <v>50425.95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50425.95</v>
      </c>
      <c r="Q168" s="5">
        <v>0</v>
      </c>
      <c r="R168" s="75">
        <v>0</v>
      </c>
      <c r="S168" s="75">
        <v>0</v>
      </c>
      <c r="T168" s="76">
        <f t="shared" si="58"/>
        <v>0</v>
      </c>
    </row>
    <row r="169" spans="1:20" ht="15" x14ac:dyDescent="0.25">
      <c r="A169" s="60">
        <f>+A168+1</f>
        <v>118</v>
      </c>
      <c r="C169" s="60"/>
      <c r="D169" s="2" t="s">
        <v>152</v>
      </c>
      <c r="H169" s="77">
        <f t="shared" ref="H169:S169" si="59">SUM(H167:H168)</f>
        <v>155269.96999999997</v>
      </c>
      <c r="I169" s="72">
        <f t="shared" si="59"/>
        <v>0</v>
      </c>
      <c r="J169" s="72">
        <f t="shared" si="59"/>
        <v>0</v>
      </c>
      <c r="K169" s="72">
        <f t="shared" si="59"/>
        <v>0</v>
      </c>
      <c r="L169" s="72">
        <f t="shared" si="59"/>
        <v>0</v>
      </c>
      <c r="M169" s="72">
        <f t="shared" si="59"/>
        <v>0</v>
      </c>
      <c r="N169" s="72">
        <f t="shared" si="59"/>
        <v>0</v>
      </c>
      <c r="O169" s="72">
        <f t="shared" si="59"/>
        <v>0</v>
      </c>
      <c r="P169" s="72">
        <f t="shared" si="59"/>
        <v>155269.96999999997</v>
      </c>
      <c r="Q169" s="72">
        <f t="shared" ref="Q169:R169" si="60">SUM(Q167:Q168)</f>
        <v>0</v>
      </c>
      <c r="R169" s="72">
        <f t="shared" si="60"/>
        <v>0</v>
      </c>
      <c r="S169" s="72">
        <f t="shared" si="59"/>
        <v>0</v>
      </c>
      <c r="T169" s="73">
        <f t="shared" si="58"/>
        <v>0</v>
      </c>
    </row>
    <row r="170" spans="1:20" x14ac:dyDescent="0.2">
      <c r="A170" s="60"/>
      <c r="C170" s="60"/>
      <c r="T170" s="73"/>
    </row>
    <row r="171" spans="1:20" x14ac:dyDescent="0.2">
      <c r="A171" s="60"/>
      <c r="C171" s="60"/>
      <c r="D171" s="2" t="s">
        <v>153</v>
      </c>
      <c r="T171" s="73"/>
    </row>
    <row r="172" spans="1:20" x14ac:dyDescent="0.2">
      <c r="A172" s="60"/>
      <c r="C172" s="60"/>
      <c r="F172" s="2" t="s">
        <v>106</v>
      </c>
      <c r="T172" s="73"/>
    </row>
    <row r="173" spans="1:20" ht="15" x14ac:dyDescent="0.25">
      <c r="A173" s="60">
        <f>+A169+1</f>
        <v>119</v>
      </c>
      <c r="B173" s="57">
        <v>40</v>
      </c>
      <c r="C173" s="60">
        <v>920</v>
      </c>
      <c r="G173" s="2" t="s">
        <v>154</v>
      </c>
      <c r="H173" s="72">
        <v>699868.03</v>
      </c>
      <c r="I173" s="72">
        <v>23898.310460296136</v>
      </c>
      <c r="J173" s="72">
        <v>58279.723433881802</v>
      </c>
      <c r="K173" s="72">
        <v>139294.0371542979</v>
      </c>
      <c r="L173" s="72">
        <v>177131.19159149428</v>
      </c>
      <c r="M173" s="72">
        <v>65821.132865154519</v>
      </c>
      <c r="N173" s="72">
        <v>5060.9790848378416</v>
      </c>
      <c r="O173" s="72">
        <v>168.02916724331752</v>
      </c>
      <c r="P173" s="72">
        <v>209083.73415133901</v>
      </c>
      <c r="Q173" s="72">
        <v>5305.2056885817947</v>
      </c>
      <c r="R173" s="72">
        <v>5414.9529591709261</v>
      </c>
      <c r="S173" s="72">
        <v>10410.73344370266</v>
      </c>
      <c r="T173" s="73">
        <f t="shared" ref="T173:T186" si="61">SUM(I173:S173)-H173</f>
        <v>0</v>
      </c>
    </row>
    <row r="174" spans="1:20" ht="15" x14ac:dyDescent="0.25">
      <c r="A174" s="60">
        <f>+A173+1</f>
        <v>120</v>
      </c>
      <c r="B174" s="57">
        <v>40</v>
      </c>
      <c r="C174" s="60">
        <v>921</v>
      </c>
      <c r="G174" s="2" t="s">
        <v>155</v>
      </c>
      <c r="H174" s="72">
        <v>304191.95</v>
      </c>
      <c r="I174" s="72">
        <v>10387.20637178252</v>
      </c>
      <c r="J174" s="72">
        <v>25330.808033642003</v>
      </c>
      <c r="K174" s="72">
        <v>60543.020925442659</v>
      </c>
      <c r="L174" s="72">
        <v>76988.632522677523</v>
      </c>
      <c r="M174" s="72">
        <v>28608.620338695055</v>
      </c>
      <c r="N174" s="72">
        <v>2199.7134184369565</v>
      </c>
      <c r="O174" s="72">
        <v>73.032511630258185</v>
      </c>
      <c r="P174" s="72">
        <v>90876.545403534736</v>
      </c>
      <c r="Q174" s="72">
        <v>2305.8645264319175</v>
      </c>
      <c r="R174" s="72">
        <v>2353.5652854559944</v>
      </c>
      <c r="S174" s="72">
        <v>4524.9406622704673</v>
      </c>
      <c r="T174" s="73">
        <f t="shared" si="61"/>
        <v>0</v>
      </c>
    </row>
    <row r="175" spans="1:20" ht="15" x14ac:dyDescent="0.25">
      <c r="A175" s="60">
        <f t="shared" ref="A175:A183" si="62">+A174+1</f>
        <v>121</v>
      </c>
      <c r="B175" s="57">
        <v>40</v>
      </c>
      <c r="C175" s="60">
        <v>922</v>
      </c>
      <c r="G175" s="2" t="s">
        <v>156</v>
      </c>
      <c r="H175" s="72">
        <v>-129935.95</v>
      </c>
      <c r="I175" s="72">
        <v>-4436.9074453272506</v>
      </c>
      <c r="J175" s="72">
        <v>-10820.084509530594</v>
      </c>
      <c r="K175" s="72">
        <v>-25861.02275164504</v>
      </c>
      <c r="L175" s="72">
        <v>-32885.785130194934</v>
      </c>
      <c r="M175" s="72">
        <v>-12220.205899260856</v>
      </c>
      <c r="N175" s="72">
        <v>-939.61017953418377</v>
      </c>
      <c r="O175" s="72">
        <v>-31.195923427834447</v>
      </c>
      <c r="P175" s="72">
        <v>-38818.023487230406</v>
      </c>
      <c r="Q175" s="72">
        <v>-984.95275043679248</v>
      </c>
      <c r="R175" s="72">
        <v>-1005.3281858798229</v>
      </c>
      <c r="S175" s="72">
        <v>-1932.8337375323124</v>
      </c>
      <c r="T175" s="73">
        <f t="shared" si="61"/>
        <v>0</v>
      </c>
    </row>
    <row r="176" spans="1:20" ht="15" x14ac:dyDescent="0.25">
      <c r="A176" s="60">
        <f t="shared" si="62"/>
        <v>122</v>
      </c>
      <c r="B176" s="57">
        <v>40</v>
      </c>
      <c r="C176" s="60">
        <v>923</v>
      </c>
      <c r="G176" s="2" t="s">
        <v>157</v>
      </c>
      <c r="H176" s="72">
        <v>176942.44</v>
      </c>
      <c r="I176" s="72">
        <v>6042.0324739255793</v>
      </c>
      <c r="J176" s="72">
        <v>14734.429956625143</v>
      </c>
      <c r="K176" s="72">
        <v>35216.677652116967</v>
      </c>
      <c r="L176" s="72">
        <v>44782.764602501535</v>
      </c>
      <c r="M176" s="72">
        <v>16641.068535056005</v>
      </c>
      <c r="N176" s="72">
        <v>1279.5297822936343</v>
      </c>
      <c r="O176" s="72">
        <v>42.481567336631556</v>
      </c>
      <c r="P176" s="72">
        <v>52861.088804198203</v>
      </c>
      <c r="Q176" s="72">
        <v>1341.2757820064203</v>
      </c>
      <c r="R176" s="72">
        <v>1369.0223699472656</v>
      </c>
      <c r="S176" s="72">
        <v>2632.0684739926628</v>
      </c>
      <c r="T176" s="73">
        <f t="shared" si="61"/>
        <v>0</v>
      </c>
    </row>
    <row r="177" spans="1:20" ht="15" x14ac:dyDescent="0.25">
      <c r="A177" s="60">
        <f t="shared" si="62"/>
        <v>123</v>
      </c>
      <c r="B177" s="57">
        <v>47</v>
      </c>
      <c r="C177" s="60">
        <v>924</v>
      </c>
      <c r="G177" s="2" t="s">
        <v>158</v>
      </c>
      <c r="H177" s="72">
        <v>13316.46</v>
      </c>
      <c r="I177" s="72">
        <v>254.63564387167585</v>
      </c>
      <c r="J177" s="72">
        <v>1893.0431528970282</v>
      </c>
      <c r="K177" s="72">
        <v>4524.5517263561342</v>
      </c>
      <c r="L177" s="72">
        <v>4253.1443964688715</v>
      </c>
      <c r="M177" s="72">
        <v>1664.2394848335719</v>
      </c>
      <c r="N177" s="72">
        <v>257.44595857975332</v>
      </c>
      <c r="O177" s="72">
        <v>15.602976149908615</v>
      </c>
      <c r="P177" s="72">
        <v>412.1436675982917</v>
      </c>
      <c r="Q177" s="72">
        <v>10.457565906455374</v>
      </c>
      <c r="R177" s="72">
        <v>10.673898577158331</v>
      </c>
      <c r="S177" s="72">
        <v>20.521528761152219</v>
      </c>
      <c r="T177" s="73">
        <f t="shared" si="61"/>
        <v>0</v>
      </c>
    </row>
    <row r="178" spans="1:20" ht="15" x14ac:dyDescent="0.25">
      <c r="A178" s="60">
        <f t="shared" si="62"/>
        <v>124</v>
      </c>
      <c r="B178" s="57">
        <v>40</v>
      </c>
      <c r="C178" s="60">
        <v>925</v>
      </c>
      <c r="G178" s="2" t="s">
        <v>159</v>
      </c>
      <c r="H178" s="72">
        <v>170496.76</v>
      </c>
      <c r="I178" s="72">
        <v>5821.9326048578041</v>
      </c>
      <c r="J178" s="72">
        <v>14197.682410458043</v>
      </c>
      <c r="K178" s="72">
        <v>33933.800379662163</v>
      </c>
      <c r="L178" s="72">
        <v>43151.412790335657</v>
      </c>
      <c r="M178" s="72">
        <v>16034.865734670524</v>
      </c>
      <c r="N178" s="72">
        <v>1232.9189210037457</v>
      </c>
      <c r="O178" s="72">
        <v>40.934043808921764</v>
      </c>
      <c r="P178" s="72">
        <v>50935.458848584138</v>
      </c>
      <c r="Q178" s="72">
        <v>1292.4156301821145</v>
      </c>
      <c r="R178" s="72">
        <v>1319.1514621564515</v>
      </c>
      <c r="S178" s="72">
        <v>2536.1871742804797</v>
      </c>
      <c r="T178" s="73">
        <f t="shared" si="61"/>
        <v>0</v>
      </c>
    </row>
    <row r="179" spans="1:20" ht="15" x14ac:dyDescent="0.25">
      <c r="A179" s="60">
        <f t="shared" si="62"/>
        <v>125</v>
      </c>
      <c r="B179" s="57">
        <v>58.1</v>
      </c>
      <c r="C179" s="60">
        <v>926</v>
      </c>
      <c r="G179" s="2" t="s">
        <v>160</v>
      </c>
      <c r="H179" s="72">
        <v>728692.95</v>
      </c>
      <c r="I179" s="72">
        <v>22308.60732724511</v>
      </c>
      <c r="J179" s="72">
        <v>63846.07270569972</v>
      </c>
      <c r="K179" s="72">
        <v>152598.13704698271</v>
      </c>
      <c r="L179" s="72">
        <v>184432.191069772</v>
      </c>
      <c r="M179" s="72">
        <v>110219.82954033908</v>
      </c>
      <c r="N179" s="72">
        <v>10222.213768764856</v>
      </c>
      <c r="O179" s="72">
        <v>193.8238746430178</v>
      </c>
      <c r="P179" s="72">
        <v>154357.04397167495</v>
      </c>
      <c r="Q179" s="72">
        <v>686.85120851086936</v>
      </c>
      <c r="R179" s="72">
        <v>701.05990273683562</v>
      </c>
      <c r="S179" s="72">
        <v>29127.119583630814</v>
      </c>
      <c r="T179" s="73">
        <f>SUM(I179:S179)-H179</f>
        <v>0</v>
      </c>
    </row>
    <row r="180" spans="1:20" ht="15" x14ac:dyDescent="0.25">
      <c r="A180" s="60">
        <f t="shared" si="62"/>
        <v>126</v>
      </c>
      <c r="B180" s="57">
        <v>47</v>
      </c>
      <c r="C180" s="60">
        <v>928</v>
      </c>
      <c r="G180" s="2" t="s">
        <v>161</v>
      </c>
      <c r="H180" s="72">
        <v>227581.31</v>
      </c>
      <c r="I180" s="72">
        <v>4351.780683831098</v>
      </c>
      <c r="J180" s="72">
        <v>32352.53517998297</v>
      </c>
      <c r="K180" s="72">
        <v>77325.611239540434</v>
      </c>
      <c r="L180" s="72">
        <v>72687.198652460589</v>
      </c>
      <c r="M180" s="72">
        <v>28442.228798956286</v>
      </c>
      <c r="N180" s="72">
        <v>4399.8095971291168</v>
      </c>
      <c r="O180" s="72">
        <v>266.65838759662546</v>
      </c>
      <c r="P180" s="72">
        <v>7043.6283952509739</v>
      </c>
      <c r="Q180" s="72">
        <v>178.72216402876225</v>
      </c>
      <c r="R180" s="72">
        <v>182.41933824731416</v>
      </c>
      <c r="S180" s="72">
        <v>350.71756297587336</v>
      </c>
      <c r="T180" s="73">
        <f t="shared" si="61"/>
        <v>0</v>
      </c>
    </row>
    <row r="181" spans="1:20" ht="15" x14ac:dyDescent="0.25">
      <c r="A181" s="60">
        <f t="shared" si="62"/>
        <v>127</v>
      </c>
      <c r="B181" s="57">
        <v>40</v>
      </c>
      <c r="C181" s="60">
        <v>929</v>
      </c>
      <c r="G181" s="2" t="s">
        <v>162</v>
      </c>
      <c r="H181" s="72">
        <v>-6303.5600000000013</v>
      </c>
      <c r="I181" s="72">
        <v>-215.24691431483782</v>
      </c>
      <c r="J181" s="72">
        <v>-524.91286599972284</v>
      </c>
      <c r="K181" s="72">
        <v>-1254.59127036328</v>
      </c>
      <c r="L181" s="72">
        <v>-1595.3823381080572</v>
      </c>
      <c r="M181" s="72">
        <v>-592.83670992011662</v>
      </c>
      <c r="N181" s="72">
        <v>-45.583144182225944</v>
      </c>
      <c r="O181" s="72">
        <v>-1.5134023731135235</v>
      </c>
      <c r="P181" s="72">
        <v>-1883.1719792187318</v>
      </c>
      <c r="Q181" s="72">
        <v>-47.78284038823243</v>
      </c>
      <c r="R181" s="72">
        <v>-48.771310321620902</v>
      </c>
      <c r="S181" s="72">
        <v>-93.767224810063624</v>
      </c>
      <c r="T181" s="73">
        <f t="shared" si="61"/>
        <v>0</v>
      </c>
    </row>
    <row r="182" spans="1:20" ht="15" x14ac:dyDescent="0.25">
      <c r="A182" s="60">
        <f t="shared" si="62"/>
        <v>128</v>
      </c>
      <c r="B182" s="57">
        <v>40</v>
      </c>
      <c r="C182" s="60">
        <v>930.2</v>
      </c>
      <c r="G182" s="2" t="s">
        <v>163</v>
      </c>
      <c r="H182" s="72">
        <v>83273.33</v>
      </c>
      <c r="I182" s="72">
        <v>2843.5245047594076</v>
      </c>
      <c r="J182" s="72">
        <v>6934.3739587853042</v>
      </c>
      <c r="K182" s="72">
        <v>16573.807954882737</v>
      </c>
      <c r="L182" s="72">
        <v>21075.836498334877</v>
      </c>
      <c r="M182" s="72">
        <v>7831.6835218974893</v>
      </c>
      <c r="N182" s="72">
        <v>602.1772154027376</v>
      </c>
      <c r="O182" s="72">
        <v>19.992838211909707</v>
      </c>
      <c r="P182" s="72">
        <v>24877.688428798101</v>
      </c>
      <c r="Q182" s="72">
        <v>631.23635469268254</v>
      </c>
      <c r="R182" s="72">
        <v>644.29456036664089</v>
      </c>
      <c r="S182" s="72">
        <v>1238.7141638681339</v>
      </c>
      <c r="T182" s="73">
        <f t="shared" si="61"/>
        <v>0</v>
      </c>
    </row>
    <row r="183" spans="1:20" ht="15" x14ac:dyDescent="0.25">
      <c r="A183" s="60">
        <f t="shared" si="62"/>
        <v>129</v>
      </c>
      <c r="B183" s="57">
        <v>40</v>
      </c>
      <c r="C183" s="60">
        <v>931</v>
      </c>
      <c r="G183" s="2" t="s">
        <v>125</v>
      </c>
      <c r="H183" s="72">
        <v>-308065.55</v>
      </c>
      <c r="I183" s="72">
        <v>-10519.477730711435</v>
      </c>
      <c r="J183" s="72">
        <v>-25653.372184334072</v>
      </c>
      <c r="K183" s="72">
        <v>-61313.979676510178</v>
      </c>
      <c r="L183" s="72">
        <v>-77969.010757341006</v>
      </c>
      <c r="M183" s="72">
        <v>-28972.924363650247</v>
      </c>
      <c r="N183" s="72">
        <v>-2227.7247116275139</v>
      </c>
      <c r="O183" s="72">
        <v>-73.962512365159171</v>
      </c>
      <c r="P183" s="72">
        <v>-92033.773220625648</v>
      </c>
      <c r="Q183" s="72">
        <v>-2335.227554709249</v>
      </c>
      <c r="R183" s="72">
        <v>-2383.5357382892871</v>
      </c>
      <c r="S183" s="72">
        <v>-4582.5615498362649</v>
      </c>
      <c r="T183" s="73">
        <f t="shared" si="61"/>
        <v>0</v>
      </c>
    </row>
    <row r="184" spans="1:20" ht="15" x14ac:dyDescent="0.25">
      <c r="A184" s="60"/>
      <c r="C184" s="60"/>
      <c r="F184" s="2" t="s">
        <v>113</v>
      </c>
      <c r="R184" s="72"/>
      <c r="S184" s="72"/>
      <c r="T184" s="73">
        <f t="shared" si="61"/>
        <v>0</v>
      </c>
    </row>
    <row r="185" spans="1:20" ht="15" x14ac:dyDescent="0.25">
      <c r="A185" s="64">
        <f>+A183+1</f>
        <v>130</v>
      </c>
      <c r="B185" s="63">
        <v>40</v>
      </c>
      <c r="C185" s="64">
        <v>935</v>
      </c>
      <c r="D185" s="65"/>
      <c r="E185" s="65"/>
      <c r="F185" s="65"/>
      <c r="G185" s="65" t="s">
        <v>164</v>
      </c>
      <c r="H185" s="5">
        <v>173.15</v>
      </c>
      <c r="I185" s="5">
        <v>5.9125324758730242</v>
      </c>
      <c r="J185" s="5">
        <v>14.41862419773144</v>
      </c>
      <c r="K185" s="5">
        <v>34.461872095038665</v>
      </c>
      <c r="L185" s="5">
        <v>43.822927336839825</v>
      </c>
      <c r="M185" s="5">
        <v>16.284397439330821</v>
      </c>
      <c r="N185" s="5">
        <v>1.2521053841245933</v>
      </c>
      <c r="O185" s="5">
        <v>4.1571052057029136E-2</v>
      </c>
      <c r="P185" s="5">
        <v>51.728107323754095</v>
      </c>
      <c r="Q185" s="5">
        <v>1.3125279704202772</v>
      </c>
      <c r="R185" s="75">
        <v>1.3396798606166449</v>
      </c>
      <c r="S185" s="75">
        <v>2.5756548642136368</v>
      </c>
      <c r="T185" s="76">
        <f t="shared" si="61"/>
        <v>0</v>
      </c>
    </row>
    <row r="186" spans="1:20" x14ac:dyDescent="0.2">
      <c r="A186" s="60">
        <f>+A185+1</f>
        <v>131</v>
      </c>
      <c r="C186" s="60"/>
      <c r="D186" s="2" t="s">
        <v>165</v>
      </c>
      <c r="H186" s="73">
        <f t="shared" ref="H186:S186" si="63">SUM(H173:H185)</f>
        <v>1960231.3199999996</v>
      </c>
      <c r="I186" s="73">
        <f t="shared" si="63"/>
        <v>60742.310512691678</v>
      </c>
      <c r="J186" s="73">
        <f t="shared" si="63"/>
        <v>180584.71789630534</v>
      </c>
      <c r="K186" s="73">
        <f t="shared" si="63"/>
        <v>431614.51225285832</v>
      </c>
      <c r="L186" s="73">
        <f t="shared" si="63"/>
        <v>512096.01682573825</v>
      </c>
      <c r="M186" s="73">
        <f t="shared" si="63"/>
        <v>233493.98624421065</v>
      </c>
      <c r="N186" s="73">
        <f t="shared" si="63"/>
        <v>22043.121816488841</v>
      </c>
      <c r="O186" s="73">
        <f t="shared" si="63"/>
        <v>713.9250995065405</v>
      </c>
      <c r="P186" s="73">
        <f t="shared" si="63"/>
        <v>457764.09109122743</v>
      </c>
      <c r="Q186" s="73">
        <f t="shared" ref="Q186:R186" si="64">SUM(Q173:Q185)</f>
        <v>8385.3783027771642</v>
      </c>
      <c r="R186" s="73">
        <f t="shared" si="64"/>
        <v>8558.8442220284742</v>
      </c>
      <c r="S186" s="73">
        <f t="shared" si="63"/>
        <v>44234.415736167815</v>
      </c>
      <c r="T186" s="73">
        <f t="shared" si="61"/>
        <v>0</v>
      </c>
    </row>
    <row r="187" spans="1:20" x14ac:dyDescent="0.2">
      <c r="A187" s="60"/>
      <c r="C187" s="60"/>
      <c r="H187" s="73"/>
      <c r="T187" s="73"/>
    </row>
    <row r="188" spans="1:20" x14ac:dyDescent="0.2">
      <c r="A188" s="60">
        <f>+A186+1</f>
        <v>132</v>
      </c>
      <c r="C188" s="60"/>
      <c r="D188" s="9" t="s">
        <v>166</v>
      </c>
      <c r="H188" s="12">
        <f>H108+H125+H149+H158+H164+H169+H186</f>
        <v>32827854.489999983</v>
      </c>
      <c r="I188" s="12">
        <f t="shared" ref="I188:S188" si="65">I108+I125+I149+I158+I164+I169+I186</f>
        <v>493125.90051269165</v>
      </c>
      <c r="J188" s="12">
        <f t="shared" si="65"/>
        <v>1110714.2995003008</v>
      </c>
      <c r="K188" s="12">
        <f t="shared" si="65"/>
        <v>2654711.9613209846</v>
      </c>
      <c r="L188" s="12">
        <f t="shared" si="65"/>
        <v>3338999.5993526713</v>
      </c>
      <c r="M188" s="12">
        <f t="shared" si="65"/>
        <v>1283961.9471248083</v>
      </c>
      <c r="N188" s="12">
        <f t="shared" si="65"/>
        <v>102819.10850066064</v>
      </c>
      <c r="O188" s="12">
        <f t="shared" si="65"/>
        <v>3396.0690385788125</v>
      </c>
      <c r="P188" s="12">
        <f t="shared" si="65"/>
        <v>4235686.7192257009</v>
      </c>
      <c r="Q188" s="12">
        <f>Q108+Q125+Q149+Q158+Q164+Q169+Q186</f>
        <v>93048.075400990492</v>
      </c>
      <c r="R188" s="12">
        <f>R108+R125+R149+R158+R164+R169+R186</f>
        <v>94972.934286445001</v>
      </c>
      <c r="S188" s="12">
        <f t="shared" si="65"/>
        <v>19416417.875736155</v>
      </c>
      <c r="T188" s="73">
        <f>SUM(I188:S188)-H188</f>
        <v>0</v>
      </c>
    </row>
    <row r="189" spans="1:20" x14ac:dyDescent="0.2">
      <c r="A189" s="60">
        <f>+A188+1</f>
        <v>133</v>
      </c>
      <c r="C189" s="60"/>
      <c r="D189" s="9" t="s">
        <v>167</v>
      </c>
      <c r="H189" s="12">
        <f>SUM(H93:H102)+H107+H125+H149+H158+H164+H169-SUM(H94:H97)-H114-H138-H155</f>
        <v>11168787.509999998</v>
      </c>
      <c r="I189" s="12">
        <f t="shared" ref="I189:T189" si="66">SUM(I93:I102)+I107+I125+I149+I158+I164+I169-SUM(I94:I97)-I114-I138-I155</f>
        <v>381379.25999999995</v>
      </c>
      <c r="J189" s="12">
        <f t="shared" si="66"/>
        <v>930052.26596018847</v>
      </c>
      <c r="K189" s="12">
        <f t="shared" si="66"/>
        <v>2222912.6573854187</v>
      </c>
      <c r="L189" s="12">
        <f t="shared" si="66"/>
        <v>2826733.8347752471</v>
      </c>
      <c r="M189" s="12">
        <f t="shared" si="66"/>
        <v>1050401.2401286399</v>
      </c>
      <c r="N189" s="12">
        <f t="shared" si="66"/>
        <v>80765.226540078002</v>
      </c>
      <c r="O189" s="12">
        <f t="shared" si="66"/>
        <v>2681.4799133243241</v>
      </c>
      <c r="P189" s="12">
        <f t="shared" si="66"/>
        <v>3336645.9081344735</v>
      </c>
      <c r="Q189" s="12">
        <f t="shared" si="66"/>
        <v>84662.697098213335</v>
      </c>
      <c r="R189" s="12">
        <f t="shared" ref="R189" si="67">SUM(R93:R102)+R107+R125+R149+R158+R164+R169-SUM(R94:R97)-R114-R138-R155</f>
        <v>86414.090064416523</v>
      </c>
      <c r="S189" s="12">
        <f t="shared" si="66"/>
        <v>166138.85000000003</v>
      </c>
      <c r="T189" s="12">
        <f t="shared" si="66"/>
        <v>0</v>
      </c>
    </row>
    <row r="190" spans="1:20" x14ac:dyDescent="0.2">
      <c r="A190" s="60"/>
      <c r="H190" s="73"/>
      <c r="T190" s="73"/>
    </row>
    <row r="191" spans="1:20" x14ac:dyDescent="0.2">
      <c r="A191" s="60"/>
      <c r="D191" s="2" t="s">
        <v>168</v>
      </c>
      <c r="G191" s="15"/>
      <c r="T191" s="73"/>
    </row>
    <row r="192" spans="1:20" ht="15" x14ac:dyDescent="0.25">
      <c r="A192" s="60">
        <f>+A189+1</f>
        <v>134</v>
      </c>
      <c r="B192" s="57">
        <v>40</v>
      </c>
      <c r="C192" s="2" t="s">
        <v>169</v>
      </c>
      <c r="E192" s="2" t="s">
        <v>92</v>
      </c>
      <c r="H192" s="15">
        <v>646391.41</v>
      </c>
      <c r="I192" s="15">
        <v>22072.250671385245</v>
      </c>
      <c r="J192" s="15">
        <v>53826.59442929105</v>
      </c>
      <c r="K192" s="15">
        <v>128650.63872221597</v>
      </c>
      <c r="L192" s="15">
        <v>163596.67220090926</v>
      </c>
      <c r="M192" s="15">
        <v>60791.767957316995</v>
      </c>
      <c r="N192" s="15">
        <v>4674.2718146860379</v>
      </c>
      <c r="O192" s="15">
        <v>155.19012968135411</v>
      </c>
      <c r="P192" s="15">
        <v>193107.73450553123</v>
      </c>
      <c r="Q192" s="15">
        <v>4899.8371669904782</v>
      </c>
      <c r="R192" s="72">
        <v>5001.1986950770815</v>
      </c>
      <c r="S192" s="72">
        <v>9615.2537069154569</v>
      </c>
      <c r="T192" s="73">
        <f t="shared" ref="T192:T194" si="68">SUM(I192:S192)-H192</f>
        <v>0</v>
      </c>
    </row>
    <row r="193" spans="1:20" ht="15" x14ac:dyDescent="0.25">
      <c r="A193" s="60">
        <f>+A192+1</f>
        <v>135</v>
      </c>
      <c r="B193" s="57">
        <v>1.1000000000000001</v>
      </c>
      <c r="C193" s="2" t="s">
        <v>169</v>
      </c>
      <c r="E193" s="2" t="s">
        <v>170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72">
        <v>0</v>
      </c>
      <c r="S193" s="72">
        <v>0</v>
      </c>
      <c r="T193" s="73">
        <f t="shared" si="68"/>
        <v>0</v>
      </c>
    </row>
    <row r="194" spans="1:20" ht="15" x14ac:dyDescent="0.25">
      <c r="A194" s="60">
        <f>+A193+1</f>
        <v>136</v>
      </c>
      <c r="B194" s="57">
        <v>1.1000000000000001</v>
      </c>
      <c r="C194" s="2" t="s">
        <v>169</v>
      </c>
      <c r="E194" s="2" t="s">
        <v>54</v>
      </c>
      <c r="H194" s="15">
        <v>183540.49307264271</v>
      </c>
      <c r="I194" s="15">
        <v>183540.49307264271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72">
        <v>0</v>
      </c>
      <c r="S194" s="72">
        <v>0</v>
      </c>
      <c r="T194" s="73">
        <f t="shared" si="68"/>
        <v>0</v>
      </c>
    </row>
    <row r="195" spans="1:20" ht="15" x14ac:dyDescent="0.25">
      <c r="A195" s="60">
        <f t="shared" ref="A195:A199" si="69">+A194+1</f>
        <v>137</v>
      </c>
      <c r="B195" s="57">
        <v>44</v>
      </c>
      <c r="C195" s="60" t="s">
        <v>169</v>
      </c>
      <c r="E195" s="2" t="s">
        <v>91</v>
      </c>
      <c r="H195" s="15">
        <v>6630919.4003351592</v>
      </c>
      <c r="I195" s="15">
        <v>0</v>
      </c>
      <c r="J195" s="15">
        <v>1005242.749940469</v>
      </c>
      <c r="K195" s="15">
        <v>2402625.0076178485</v>
      </c>
      <c r="L195" s="15">
        <v>2207026.7839568458</v>
      </c>
      <c r="M195" s="15">
        <v>867490.05600354087</v>
      </c>
      <c r="N195" s="15">
        <v>139901.27102353395</v>
      </c>
      <c r="O195" s="15">
        <v>8633.5317929212415</v>
      </c>
      <c r="P195" s="15">
        <v>0</v>
      </c>
      <c r="Q195" s="15">
        <v>0</v>
      </c>
      <c r="R195" s="72">
        <v>0</v>
      </c>
      <c r="S195" s="72">
        <v>0</v>
      </c>
      <c r="T195" s="73"/>
    </row>
    <row r="196" spans="1:20" ht="15" x14ac:dyDescent="0.25">
      <c r="A196" s="60">
        <f t="shared" si="69"/>
        <v>138</v>
      </c>
      <c r="B196" s="57">
        <v>40</v>
      </c>
      <c r="C196" s="60" t="s">
        <v>169</v>
      </c>
      <c r="E196" s="2" t="s">
        <v>93</v>
      </c>
      <c r="H196" s="15">
        <v>575126.60020817583</v>
      </c>
      <c r="I196" s="15">
        <v>19638.779679291256</v>
      </c>
      <c r="J196" s="15">
        <v>47892.199333067394</v>
      </c>
      <c r="K196" s="15">
        <v>114466.87458751713</v>
      </c>
      <c r="L196" s="15">
        <v>145560.09939593772</v>
      </c>
      <c r="M196" s="15">
        <v>54089.460789610501</v>
      </c>
      <c r="N196" s="15">
        <v>4158.932212959453</v>
      </c>
      <c r="O196" s="15">
        <v>138.08038022891284</v>
      </c>
      <c r="P196" s="15">
        <v>171817.55992096063</v>
      </c>
      <c r="Q196" s="15">
        <v>4359.6289304415322</v>
      </c>
      <c r="R196" s="72">
        <v>4449.8153254623958</v>
      </c>
      <c r="S196" s="72">
        <v>8555.1696526990454</v>
      </c>
      <c r="T196" s="73"/>
    </row>
    <row r="197" spans="1:20" ht="15" x14ac:dyDescent="0.25">
      <c r="A197" s="60">
        <f t="shared" si="69"/>
        <v>139</v>
      </c>
      <c r="B197" s="57">
        <v>47</v>
      </c>
      <c r="C197" s="80" t="s">
        <v>169</v>
      </c>
      <c r="E197" s="2" t="s">
        <v>171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72">
        <v>0</v>
      </c>
      <c r="S197" s="72">
        <v>0</v>
      </c>
      <c r="T197" s="73">
        <f t="shared" ref="T197:T199" si="70">SUM(I197:S197)-H197</f>
        <v>0</v>
      </c>
    </row>
    <row r="198" spans="1:20" ht="15" x14ac:dyDescent="0.25">
      <c r="A198" s="64">
        <f t="shared" si="69"/>
        <v>140</v>
      </c>
      <c r="B198" s="63">
        <v>47</v>
      </c>
      <c r="C198" s="64">
        <v>407</v>
      </c>
      <c r="D198" s="65"/>
      <c r="E198" s="65" t="s">
        <v>172</v>
      </c>
      <c r="F198" s="65"/>
      <c r="G198" s="65"/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75">
        <v>0</v>
      </c>
      <c r="S198" s="75">
        <v>0</v>
      </c>
      <c r="T198" s="76">
        <f t="shared" si="70"/>
        <v>0</v>
      </c>
    </row>
    <row r="199" spans="1:20" x14ac:dyDescent="0.2">
      <c r="A199" s="60">
        <f t="shared" si="69"/>
        <v>141</v>
      </c>
      <c r="D199" s="2" t="s">
        <v>173</v>
      </c>
      <c r="H199" s="14">
        <f t="shared" ref="H199:S199" si="71">SUM(H192:H198)</f>
        <v>8035977.9036159776</v>
      </c>
      <c r="I199" s="15">
        <f t="shared" si="71"/>
        <v>225251.52342331922</v>
      </c>
      <c r="J199" s="15">
        <f t="shared" si="71"/>
        <v>1106961.5437028273</v>
      </c>
      <c r="K199" s="15">
        <f t="shared" si="71"/>
        <v>2645742.5209275815</v>
      </c>
      <c r="L199" s="15">
        <f t="shared" si="71"/>
        <v>2516183.5555536929</v>
      </c>
      <c r="M199" s="15">
        <f t="shared" si="71"/>
        <v>982371.28475046833</v>
      </c>
      <c r="N199" s="15">
        <f t="shared" si="71"/>
        <v>148734.47505117944</v>
      </c>
      <c r="O199" s="15">
        <f t="shared" si="71"/>
        <v>8926.8023028315074</v>
      </c>
      <c r="P199" s="15">
        <f t="shared" si="71"/>
        <v>364925.29442649183</v>
      </c>
      <c r="Q199" s="15">
        <f t="shared" si="71"/>
        <v>9259.4660974320104</v>
      </c>
      <c r="R199" s="15">
        <f t="shared" si="71"/>
        <v>9451.0140205394782</v>
      </c>
      <c r="S199" s="15">
        <f t="shared" si="71"/>
        <v>18170.423359614502</v>
      </c>
      <c r="T199" s="73">
        <f t="shared" si="70"/>
        <v>0</v>
      </c>
    </row>
    <row r="200" spans="1:20" x14ac:dyDescent="0.2">
      <c r="A200" s="60"/>
      <c r="H200" s="73"/>
      <c r="T200" s="73"/>
    </row>
    <row r="201" spans="1:20" x14ac:dyDescent="0.2">
      <c r="A201" s="60"/>
      <c r="D201" s="2" t="s">
        <v>174</v>
      </c>
      <c r="H201" s="15"/>
      <c r="T201" s="73"/>
    </row>
    <row r="202" spans="1:20" ht="15" x14ac:dyDescent="0.25">
      <c r="A202" s="60">
        <f>+A199+1</f>
        <v>142</v>
      </c>
      <c r="B202" s="57">
        <v>58.1</v>
      </c>
      <c r="C202" s="60" t="s">
        <v>175</v>
      </c>
      <c r="E202" s="2" t="s">
        <v>176</v>
      </c>
      <c r="H202" s="15">
        <v>551858</v>
      </c>
      <c r="I202" s="15">
        <v>16894.884769228014</v>
      </c>
      <c r="J202" s="15">
        <v>48352.280602168634</v>
      </c>
      <c r="K202" s="15">
        <v>115566.5122250377</v>
      </c>
      <c r="L202" s="15">
        <v>139675.26390832002</v>
      </c>
      <c r="M202" s="15">
        <v>83472.324921590713</v>
      </c>
      <c r="N202" s="15">
        <v>7741.5466226248463</v>
      </c>
      <c r="O202" s="15">
        <v>146.78782855350326</v>
      </c>
      <c r="P202" s="15">
        <v>116898.57788814974</v>
      </c>
      <c r="Q202" s="15">
        <v>520.17016800614226</v>
      </c>
      <c r="R202" s="72">
        <v>530.93077928713956</v>
      </c>
      <c r="S202" s="72">
        <v>22058.720287033564</v>
      </c>
      <c r="T202" s="73">
        <f t="shared" ref="T202:T206" si="72">SUM(I202:S202)-H202</f>
        <v>0</v>
      </c>
    </row>
    <row r="203" spans="1:20" ht="15" x14ac:dyDescent="0.25">
      <c r="A203" s="60">
        <f>+A202+1</f>
        <v>143</v>
      </c>
      <c r="B203" s="57">
        <v>46</v>
      </c>
      <c r="C203" s="60" t="s">
        <v>177</v>
      </c>
      <c r="E203" s="2" t="s">
        <v>178</v>
      </c>
      <c r="H203" s="15">
        <v>1277900</v>
      </c>
      <c r="I203" s="15">
        <v>31917.60888241441</v>
      </c>
      <c r="J203" s="15">
        <v>182153.06917872009</v>
      </c>
      <c r="K203" s="15">
        <v>435363.01977711776</v>
      </c>
      <c r="L203" s="15">
        <v>407416.1677301501</v>
      </c>
      <c r="M203" s="15">
        <v>159558.77502146616</v>
      </c>
      <c r="N203" s="15">
        <v>24885.637464650368</v>
      </c>
      <c r="O203" s="15">
        <v>1513.7379410419442</v>
      </c>
      <c r="P203" s="15">
        <v>31870.968296728133</v>
      </c>
      <c r="Q203" s="15">
        <v>808.68099565328748</v>
      </c>
      <c r="R203" s="72">
        <v>825.40994779198877</v>
      </c>
      <c r="S203" s="72">
        <v>1586.9247642658379</v>
      </c>
      <c r="T203" s="73">
        <f t="shared" si="72"/>
        <v>0</v>
      </c>
    </row>
    <row r="204" spans="1:20" ht="15" x14ac:dyDescent="0.25">
      <c r="A204" s="60">
        <f t="shared" ref="A204:A206" si="73">+A203+1</f>
        <v>144</v>
      </c>
      <c r="B204" s="57">
        <v>39</v>
      </c>
      <c r="C204" s="60" t="s">
        <v>179</v>
      </c>
      <c r="E204" s="2" t="s">
        <v>180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72">
        <v>0</v>
      </c>
      <c r="S204" s="72">
        <v>0</v>
      </c>
      <c r="T204" s="73">
        <f t="shared" si="72"/>
        <v>0</v>
      </c>
    </row>
    <row r="205" spans="1:20" ht="15" x14ac:dyDescent="0.25">
      <c r="A205" s="64">
        <f t="shared" si="73"/>
        <v>145</v>
      </c>
      <c r="B205" s="63">
        <v>39</v>
      </c>
      <c r="C205" s="64">
        <v>408181</v>
      </c>
      <c r="D205" s="65"/>
      <c r="E205" s="65" t="s">
        <v>181</v>
      </c>
      <c r="F205" s="65"/>
      <c r="G205" s="65"/>
      <c r="H205" s="5">
        <v>872</v>
      </c>
      <c r="I205" s="5">
        <v>21.990004522695941</v>
      </c>
      <c r="J205" s="5">
        <v>122.93585379004725</v>
      </c>
      <c r="K205" s="5">
        <v>293.82828840726359</v>
      </c>
      <c r="L205" s="5">
        <v>276.50039513400236</v>
      </c>
      <c r="M205" s="5">
        <v>108.17109266118587</v>
      </c>
      <c r="N205" s="5">
        <v>16.700309805786954</v>
      </c>
      <c r="O205" s="5">
        <v>1.0112589785993</v>
      </c>
      <c r="P205" s="5">
        <v>28.029968754772703</v>
      </c>
      <c r="Q205" s="5">
        <v>0.71122103444428941</v>
      </c>
      <c r="R205" s="75">
        <v>0.72593386027945606</v>
      </c>
      <c r="S205" s="75">
        <v>1.3956730509224262</v>
      </c>
      <c r="T205" s="76">
        <f t="shared" si="72"/>
        <v>0</v>
      </c>
    </row>
    <row r="206" spans="1:20" x14ac:dyDescent="0.2">
      <c r="A206" s="60">
        <f t="shared" si="73"/>
        <v>146</v>
      </c>
      <c r="C206" s="60"/>
      <c r="D206" s="2" t="s">
        <v>182</v>
      </c>
      <c r="H206" s="14">
        <f t="shared" ref="H206:S206" si="74">SUM(H202:H205)</f>
        <v>1830630</v>
      </c>
      <c r="I206" s="15">
        <f t="shared" si="74"/>
        <v>48834.483656165117</v>
      </c>
      <c r="J206" s="15">
        <f t="shared" si="74"/>
        <v>230628.28563467879</v>
      </c>
      <c r="K206" s="15">
        <f t="shared" si="74"/>
        <v>551223.36029056273</v>
      </c>
      <c r="L206" s="15">
        <f t="shared" si="74"/>
        <v>547367.93203360413</v>
      </c>
      <c r="M206" s="15">
        <f t="shared" si="74"/>
        <v>243139.27103571806</v>
      </c>
      <c r="N206" s="15">
        <f t="shared" si="74"/>
        <v>32643.884397081001</v>
      </c>
      <c r="O206" s="15">
        <f t="shared" si="74"/>
        <v>1661.5370285740466</v>
      </c>
      <c r="P206" s="15">
        <f t="shared" si="74"/>
        <v>148797.57615363263</v>
      </c>
      <c r="Q206" s="15">
        <f t="shared" si="74"/>
        <v>1329.562384693874</v>
      </c>
      <c r="R206" s="15">
        <f t="shared" si="74"/>
        <v>1357.0666609394077</v>
      </c>
      <c r="S206" s="15">
        <f t="shared" si="74"/>
        <v>23647.040724350325</v>
      </c>
      <c r="T206" s="73">
        <f t="shared" si="72"/>
        <v>0</v>
      </c>
    </row>
    <row r="207" spans="1:20" x14ac:dyDescent="0.2">
      <c r="A207" s="60"/>
      <c r="C207" s="60"/>
      <c r="H207" s="73"/>
      <c r="T207" s="73"/>
    </row>
    <row r="208" spans="1:20" x14ac:dyDescent="0.2">
      <c r="A208" s="60">
        <f>+A206+1</f>
        <v>147</v>
      </c>
      <c r="B208" s="7"/>
      <c r="C208" s="8"/>
      <c r="D208" s="2" t="s">
        <v>121</v>
      </c>
      <c r="H208" s="14">
        <f t="shared" ref="H208:S208" si="75">H199+H206</f>
        <v>9866607.9036159776</v>
      </c>
      <c r="I208" s="14">
        <f t="shared" si="75"/>
        <v>274086.00707948435</v>
      </c>
      <c r="J208" s="14">
        <f t="shared" si="75"/>
        <v>1337589.8293375061</v>
      </c>
      <c r="K208" s="14">
        <f t="shared" si="75"/>
        <v>3196965.8812181442</v>
      </c>
      <c r="L208" s="14">
        <f t="shared" si="75"/>
        <v>3063551.4875872969</v>
      </c>
      <c r="M208" s="14">
        <f t="shared" si="75"/>
        <v>1225510.5557861864</v>
      </c>
      <c r="N208" s="14">
        <f t="shared" si="75"/>
        <v>181378.35944826045</v>
      </c>
      <c r="O208" s="14">
        <f t="shared" si="75"/>
        <v>10588.339331405554</v>
      </c>
      <c r="P208" s="14">
        <f t="shared" si="75"/>
        <v>513722.87058012444</v>
      </c>
      <c r="Q208" s="14">
        <f t="shared" si="75"/>
        <v>10589.028482125885</v>
      </c>
      <c r="R208" s="14">
        <f t="shared" si="75"/>
        <v>10808.080681478887</v>
      </c>
      <c r="S208" s="14">
        <f t="shared" si="75"/>
        <v>41817.464083964827</v>
      </c>
      <c r="T208" s="73">
        <f>SUM(I208:S208)-H208</f>
        <v>0</v>
      </c>
    </row>
    <row r="209" spans="1:20" x14ac:dyDescent="0.2">
      <c r="A209" s="60"/>
      <c r="H209" s="73"/>
      <c r="T209" s="73"/>
    </row>
    <row r="210" spans="1:20" ht="18" x14ac:dyDescent="0.25">
      <c r="A210" s="4" t="s">
        <v>183</v>
      </c>
      <c r="B210" s="2"/>
      <c r="C210" s="4"/>
      <c r="H210" s="73"/>
      <c r="T210" s="73"/>
    </row>
    <row r="211" spans="1:20" x14ac:dyDescent="0.2">
      <c r="A211" s="60"/>
      <c r="C211" s="60"/>
      <c r="H211" s="14"/>
      <c r="I211" s="14"/>
      <c r="T211" s="73"/>
    </row>
    <row r="212" spans="1:20" ht="15" x14ac:dyDescent="0.25">
      <c r="A212" s="60">
        <f>+A208+1</f>
        <v>148</v>
      </c>
      <c r="C212" s="69" t="s">
        <v>184</v>
      </c>
      <c r="D212" s="2" t="s">
        <v>185</v>
      </c>
      <c r="H212" s="14">
        <v>30043002.670000006</v>
      </c>
      <c r="I212" s="14">
        <f>(I$238*I$255+I$86*$H$261+I$245+I$246+I$249+I$250)/(1-'Statement N(1)'!I$255)-I$224+I$231</f>
        <v>955487.28557690769</v>
      </c>
      <c r="J212" s="14">
        <f>(J$238*J$255+J$86*$H$261+J$245+J$246+J$249+J$250)/(1-'Statement N(1)'!J$255)-J$224+J$231</f>
        <v>3399039.8177911257</v>
      </c>
      <c r="K212" s="14">
        <f>(K$238*K$255+K$86*$H$261+K$245+K$246+K$249+K$250)/(1-'Statement N(1)'!K$255)-K$224+K$231</f>
        <v>8124025.8321658149</v>
      </c>
      <c r="L212" s="14">
        <f>(L$238*L$255+L$86*$H$261+L$245+L$246+L$249+L$250)/(1-'Statement N(1)'!L$255)-L$224+L$231</f>
        <v>8532658.1292778067</v>
      </c>
      <c r="M212" s="14">
        <f>(M$238*M$255+M$86*$H$261+M$245+M$246+M$249+M$250)/(1-'Statement N(1)'!M$255)-M$224+M$231</f>
        <v>3357890.4816987822</v>
      </c>
      <c r="N212" s="14">
        <f>(N$238*N$255+N$86*$H$261+N$245+N$246+N$249+N$250)/(1-'Statement N(1)'!N$255)-N$224+N$231</f>
        <v>415992.88090382505</v>
      </c>
      <c r="O212" s="14">
        <f>(O$238*O$255+O$86*$H$261+O$245+O$246+O$249+O$250)/(1-'Statement N(1)'!O$255)-O$224+O$231</f>
        <v>21996.000462379354</v>
      </c>
      <c r="P212" s="14">
        <f>(P$238*P$255+P$86*$H$261+P$245+P$246+P$249+P$250)/(1-'Statement N(1)'!P$255)-P$224+P$231</f>
        <v>4848540.6009081593</v>
      </c>
      <c r="Q212" s="14">
        <f>(Q$238*Q$255+Q$86*$H$261+Q$245+Q$246+Q$249+Q$250)/(1-'Statement N(1)'!Q$255)-Q$224+Q$231</f>
        <v>84331.298516054143</v>
      </c>
      <c r="R212" s="14">
        <f>(R$238*R$255+R$86*$H$261+R$245+R$246+R$249+R$250)/(1-'Statement N(1)'!R$255)-R$224+R$231</f>
        <v>86075.835934705756</v>
      </c>
      <c r="S212" s="14">
        <f>(S$238*S$255+S$86*$H$261+S$245+S$246+S$249+S$250)/(1-'Statement N(1)'!S$255)-S$224+S$231</f>
        <v>216964.22579288483</v>
      </c>
      <c r="T212" s="73">
        <f>SUM(I212:S212)-H212</f>
        <v>-0.28097156062722206</v>
      </c>
    </row>
    <row r="213" spans="1:20" x14ac:dyDescent="0.2">
      <c r="A213" s="60"/>
      <c r="C213" s="60"/>
      <c r="K213" s="15"/>
      <c r="T213" s="73"/>
    </row>
    <row r="214" spans="1:20" x14ac:dyDescent="0.2">
      <c r="A214" s="60"/>
      <c r="C214" s="60"/>
      <c r="D214" s="2" t="s">
        <v>186</v>
      </c>
      <c r="H214" s="15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</row>
    <row r="215" spans="1:20" ht="15" x14ac:dyDescent="0.25">
      <c r="A215" s="60">
        <f>+A212+1</f>
        <v>149</v>
      </c>
      <c r="B215" s="57">
        <v>1.9</v>
      </c>
      <c r="C215" s="60">
        <v>481</v>
      </c>
      <c r="E215" s="2" t="s">
        <v>187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72">
        <v>0</v>
      </c>
      <c r="S215" s="72">
        <v>0</v>
      </c>
      <c r="T215" s="73">
        <f t="shared" ref="T215:T223" si="76">SUM(I215:S215)-H215</f>
        <v>0</v>
      </c>
    </row>
    <row r="216" spans="1:20" ht="15" x14ac:dyDescent="0.25">
      <c r="A216" s="60">
        <f>+A215+1</f>
        <v>150</v>
      </c>
      <c r="B216" s="57">
        <v>1.9</v>
      </c>
      <c r="C216" s="60">
        <v>483</v>
      </c>
      <c r="E216" s="2" t="s">
        <v>188</v>
      </c>
      <c r="H216" s="15">
        <v>19206044.539999999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72">
        <v>0</v>
      </c>
      <c r="S216" s="72">
        <v>19206044.539999999</v>
      </c>
      <c r="T216" s="73">
        <f t="shared" si="76"/>
        <v>0</v>
      </c>
    </row>
    <row r="217" spans="1:20" ht="15" x14ac:dyDescent="0.25">
      <c r="A217" s="60">
        <f t="shared" ref="A217:A224" si="77">+A216+1</f>
        <v>151</v>
      </c>
      <c r="B217" s="57">
        <v>1.9</v>
      </c>
      <c r="C217" s="60">
        <v>484</v>
      </c>
      <c r="E217" s="2" t="s">
        <v>189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72">
        <v>0</v>
      </c>
      <c r="S217" s="72">
        <v>0</v>
      </c>
      <c r="T217" s="73">
        <f t="shared" si="76"/>
        <v>0</v>
      </c>
    </row>
    <row r="218" spans="1:20" ht="15" x14ac:dyDescent="0.25">
      <c r="A218" s="60">
        <f t="shared" si="77"/>
        <v>152</v>
      </c>
      <c r="B218" s="57">
        <v>1.7</v>
      </c>
      <c r="C218" s="60">
        <v>487011</v>
      </c>
      <c r="E218" s="2" t="s">
        <v>190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72">
        <v>0</v>
      </c>
      <c r="S218" s="72">
        <v>0</v>
      </c>
      <c r="T218" s="73">
        <f t="shared" si="76"/>
        <v>0</v>
      </c>
    </row>
    <row r="219" spans="1:20" ht="15" x14ac:dyDescent="0.25">
      <c r="A219" s="60">
        <f t="shared" si="77"/>
        <v>153</v>
      </c>
      <c r="B219" s="57">
        <v>1.7</v>
      </c>
      <c r="C219" s="60">
        <v>488</v>
      </c>
      <c r="E219" s="2" t="s">
        <v>191</v>
      </c>
      <c r="H219" s="15">
        <v>74126.98000000001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74126.98000000001</v>
      </c>
      <c r="Q219" s="15">
        <v>0</v>
      </c>
      <c r="R219" s="72">
        <v>0</v>
      </c>
      <c r="S219" s="72">
        <v>0</v>
      </c>
      <c r="T219" s="73">
        <f t="shared" si="76"/>
        <v>0</v>
      </c>
    </row>
    <row r="220" spans="1:20" ht="15" x14ac:dyDescent="0.25">
      <c r="A220" s="60">
        <f t="shared" si="77"/>
        <v>154</v>
      </c>
      <c r="B220" s="57">
        <v>1.8</v>
      </c>
      <c r="C220" s="60">
        <v>489</v>
      </c>
      <c r="E220" s="2" t="s">
        <v>192</v>
      </c>
      <c r="H220" s="15">
        <v>49210.840000000317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24353.522824274565</v>
      </c>
      <c r="R220" s="72">
        <v>24857.317175725755</v>
      </c>
      <c r="S220" s="72">
        <v>0</v>
      </c>
      <c r="T220" s="73">
        <f t="shared" si="76"/>
        <v>0</v>
      </c>
    </row>
    <row r="221" spans="1:20" ht="15" x14ac:dyDescent="0.25">
      <c r="A221" s="60">
        <f t="shared" si="77"/>
        <v>155</v>
      </c>
      <c r="B221" s="57">
        <v>47</v>
      </c>
      <c r="C221" s="60">
        <v>493001</v>
      </c>
      <c r="E221" s="2" t="s">
        <v>193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72">
        <v>0</v>
      </c>
      <c r="S221" s="72">
        <v>0</v>
      </c>
      <c r="T221" s="73">
        <f t="shared" si="76"/>
        <v>0</v>
      </c>
    </row>
    <row r="222" spans="1:20" ht="15" x14ac:dyDescent="0.25">
      <c r="A222" s="60">
        <f t="shared" si="77"/>
        <v>156</v>
      </c>
      <c r="B222" s="57">
        <v>39</v>
      </c>
      <c r="C222" s="60">
        <v>495051</v>
      </c>
      <c r="E222" s="2" t="s">
        <v>194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72">
        <v>0</v>
      </c>
      <c r="S222" s="72">
        <v>0</v>
      </c>
      <c r="T222" s="73">
        <f t="shared" si="76"/>
        <v>0</v>
      </c>
    </row>
    <row r="223" spans="1:20" ht="15" x14ac:dyDescent="0.25">
      <c r="A223" s="64">
        <f t="shared" si="77"/>
        <v>157</v>
      </c>
      <c r="B223" s="63">
        <v>39</v>
      </c>
      <c r="C223" s="64">
        <v>495061</v>
      </c>
      <c r="D223" s="65"/>
      <c r="E223" s="65" t="s">
        <v>195</v>
      </c>
      <c r="F223" s="65"/>
      <c r="G223" s="65"/>
      <c r="H223" s="5">
        <v>840</v>
      </c>
      <c r="I223" s="5">
        <v>21.183031879661225</v>
      </c>
      <c r="J223" s="5">
        <v>118.42444631151341</v>
      </c>
      <c r="K223" s="5">
        <v>283.04559892442819</v>
      </c>
      <c r="L223" s="5">
        <v>266.35359164284631</v>
      </c>
      <c r="M223" s="5">
        <v>104.20151127912401</v>
      </c>
      <c r="N223" s="5">
        <v>16.087454400070001</v>
      </c>
      <c r="O223" s="5">
        <v>0.97414855736629824</v>
      </c>
      <c r="P223" s="5">
        <v>27.001346048175538</v>
      </c>
      <c r="Q223" s="5">
        <v>0.68512117996926958</v>
      </c>
      <c r="R223" s="75">
        <v>0.69929408559030171</v>
      </c>
      <c r="S223" s="75">
        <v>1.3444556912555483</v>
      </c>
      <c r="T223" s="76">
        <f t="shared" si="76"/>
        <v>0</v>
      </c>
    </row>
    <row r="224" spans="1:20" x14ac:dyDescent="0.2">
      <c r="A224" s="60">
        <f t="shared" si="77"/>
        <v>158</v>
      </c>
      <c r="C224" s="60"/>
      <c r="D224" s="2" t="s">
        <v>196</v>
      </c>
      <c r="H224" s="14">
        <f t="shared" ref="H224:S224" si="78">SUM(H215:H223)</f>
        <v>19330222.359999999</v>
      </c>
      <c r="I224" s="15">
        <f t="shared" si="78"/>
        <v>21.183031879661225</v>
      </c>
      <c r="J224" s="15">
        <f t="shared" si="78"/>
        <v>118.42444631151341</v>
      </c>
      <c r="K224" s="15">
        <f t="shared" si="78"/>
        <v>283.04559892442819</v>
      </c>
      <c r="L224" s="15">
        <f t="shared" si="78"/>
        <v>266.35359164284631</v>
      </c>
      <c r="M224" s="15">
        <f t="shared" si="78"/>
        <v>104.20151127912401</v>
      </c>
      <c r="N224" s="15">
        <f t="shared" si="78"/>
        <v>16.087454400070001</v>
      </c>
      <c r="O224" s="15">
        <f t="shared" si="78"/>
        <v>0.97414855736629824</v>
      </c>
      <c r="P224" s="15">
        <f t="shared" si="78"/>
        <v>74153.981346048182</v>
      </c>
      <c r="Q224" s="15">
        <f t="shared" si="78"/>
        <v>24354.207945454535</v>
      </c>
      <c r="R224" s="15">
        <f t="shared" si="78"/>
        <v>24858.016469811344</v>
      </c>
      <c r="S224" s="15">
        <f t="shared" si="78"/>
        <v>19206045.884455692</v>
      </c>
      <c r="T224" s="73">
        <f>SUM(I224:S224)-H224</f>
        <v>0</v>
      </c>
    </row>
    <row r="225" spans="1:20" x14ac:dyDescent="0.2">
      <c r="A225" s="60"/>
      <c r="C225" s="60"/>
      <c r="H225" s="14"/>
      <c r="I225" s="14"/>
      <c r="T225" s="73"/>
    </row>
    <row r="226" spans="1:20" x14ac:dyDescent="0.2">
      <c r="A226" s="60">
        <f>+A224+1</f>
        <v>159</v>
      </c>
      <c r="B226" s="7"/>
      <c r="C226" s="8"/>
      <c r="D226" s="9" t="s">
        <v>197</v>
      </c>
      <c r="E226" s="9"/>
      <c r="F226" s="9"/>
      <c r="H226" s="10">
        <f>H212+H224</f>
        <v>49373225.030000001</v>
      </c>
      <c r="I226" s="10">
        <f>I212+I224</f>
        <v>955508.4686087874</v>
      </c>
      <c r="J226" s="10">
        <f t="shared" ref="J226:R226" si="79">J212+J224</f>
        <v>3399158.2422374371</v>
      </c>
      <c r="K226" s="10">
        <f t="shared" si="79"/>
        <v>8124308.8777647391</v>
      </c>
      <c r="L226" s="10">
        <f t="shared" si="79"/>
        <v>8532924.48286945</v>
      </c>
      <c r="M226" s="10">
        <f t="shared" si="79"/>
        <v>3357994.6832100614</v>
      </c>
      <c r="N226" s="10">
        <f t="shared" si="79"/>
        <v>416008.96835822513</v>
      </c>
      <c r="O226" s="10">
        <f t="shared" si="79"/>
        <v>21996.974610936719</v>
      </c>
      <c r="P226" s="10">
        <f t="shared" si="79"/>
        <v>4922694.5822542077</v>
      </c>
      <c r="Q226" s="10">
        <f t="shared" si="79"/>
        <v>108685.50646150867</v>
      </c>
      <c r="R226" s="10">
        <f t="shared" si="79"/>
        <v>110933.85240451709</v>
      </c>
      <c r="S226" s="10">
        <f>S212+S224</f>
        <v>19423010.110248577</v>
      </c>
      <c r="T226" s="73">
        <f>SUM(I226:S226)-H226</f>
        <v>-0.28097155690193176</v>
      </c>
    </row>
    <row r="227" spans="1:20" x14ac:dyDescent="0.2">
      <c r="A227" s="60"/>
      <c r="H227" s="73"/>
      <c r="S227" s="73"/>
      <c r="T227" s="73"/>
    </row>
    <row r="228" spans="1:20" x14ac:dyDescent="0.2">
      <c r="A228" s="60"/>
      <c r="D228" s="2" t="s">
        <v>198</v>
      </c>
      <c r="H228" s="15"/>
      <c r="T228" s="73"/>
    </row>
    <row r="229" spans="1:20" x14ac:dyDescent="0.2">
      <c r="A229" s="60">
        <f>+A226+1</f>
        <v>160</v>
      </c>
      <c r="E229" s="2" t="s">
        <v>199</v>
      </c>
      <c r="H229" s="15">
        <f>'Statement N(1)'!H188</f>
        <v>32827854.489999983</v>
      </c>
      <c r="I229" s="15">
        <f>'Statement N(1)'!I188</f>
        <v>493125.90051269165</v>
      </c>
      <c r="J229" s="15">
        <f>'Statement N(1)'!J188</f>
        <v>1110714.2995003008</v>
      </c>
      <c r="K229" s="15">
        <f>'Statement N(1)'!K188</f>
        <v>2654711.9613209846</v>
      </c>
      <c r="L229" s="15">
        <f>'Statement N(1)'!L188</f>
        <v>3338999.5993526713</v>
      </c>
      <c r="M229" s="15">
        <f>'Statement N(1)'!M188</f>
        <v>1283961.9471248083</v>
      </c>
      <c r="N229" s="15">
        <f>'Statement N(1)'!N188</f>
        <v>102819.10850066064</v>
      </c>
      <c r="O229" s="15">
        <f>'Statement N(1)'!O188</f>
        <v>3396.0690385788125</v>
      </c>
      <c r="P229" s="15">
        <f>'Statement N(1)'!P188</f>
        <v>4235686.7192257009</v>
      </c>
      <c r="Q229" s="15">
        <f>'Statement N(1)'!Q188</f>
        <v>93048.075400990492</v>
      </c>
      <c r="R229" s="15">
        <f>'Statement N(1)'!R188</f>
        <v>94972.934286445001</v>
      </c>
      <c r="S229" s="15">
        <f>'Statement N(1)'!S188</f>
        <v>19416417.875736155</v>
      </c>
      <c r="T229" s="73">
        <f t="shared" ref="T229:T231" si="80">SUM(I229:S229)-H229</f>
        <v>0</v>
      </c>
    </row>
    <row r="230" spans="1:20" x14ac:dyDescent="0.2">
      <c r="A230" s="64">
        <f>+A229+1</f>
        <v>161</v>
      </c>
      <c r="B230" s="63"/>
      <c r="C230" s="65"/>
      <c r="D230" s="65"/>
      <c r="E230" s="65" t="s">
        <v>200</v>
      </c>
      <c r="F230" s="65"/>
      <c r="G230" s="65"/>
      <c r="H230" s="5">
        <f>'Statement N(1)'!H208</f>
        <v>9866607.9036159776</v>
      </c>
      <c r="I230" s="5">
        <f>'Statement N(1)'!I208</f>
        <v>274086.00707948435</v>
      </c>
      <c r="J230" s="5">
        <f>'Statement N(1)'!J208</f>
        <v>1337589.8293375061</v>
      </c>
      <c r="K230" s="5">
        <f>'Statement N(1)'!K208</f>
        <v>3196965.8812181442</v>
      </c>
      <c r="L230" s="5">
        <f>'Statement N(1)'!L208</f>
        <v>3063551.4875872969</v>
      </c>
      <c r="M230" s="5">
        <f>'Statement N(1)'!M208</f>
        <v>1225510.5557861864</v>
      </c>
      <c r="N230" s="5">
        <f>'Statement N(1)'!N208</f>
        <v>181378.35944826045</v>
      </c>
      <c r="O230" s="5">
        <f>'Statement N(1)'!O208</f>
        <v>10588.339331405554</v>
      </c>
      <c r="P230" s="5">
        <f>'Statement N(1)'!P208</f>
        <v>513722.87058012444</v>
      </c>
      <c r="Q230" s="5">
        <f>'Statement N(1)'!Q208</f>
        <v>10589.028482125885</v>
      </c>
      <c r="R230" s="5">
        <f>'Statement N(1)'!R208</f>
        <v>10808.080681478887</v>
      </c>
      <c r="S230" s="5">
        <f>'Statement N(1)'!S208</f>
        <v>41817.464083964827</v>
      </c>
      <c r="T230" s="76">
        <f t="shared" si="80"/>
        <v>0</v>
      </c>
    </row>
    <row r="231" spans="1:20" x14ac:dyDescent="0.2">
      <c r="A231" s="60">
        <f>+A230+1</f>
        <v>162</v>
      </c>
      <c r="D231" s="2" t="s">
        <v>198</v>
      </c>
      <c r="H231" s="14">
        <f t="shared" ref="H231:S231" si="81">SUM(H229:H230)</f>
        <v>42694462.393615961</v>
      </c>
      <c r="I231" s="15">
        <f t="shared" si="81"/>
        <v>767211.90759217599</v>
      </c>
      <c r="J231" s="15">
        <f t="shared" si="81"/>
        <v>2448304.1288378071</v>
      </c>
      <c r="K231" s="15">
        <f t="shared" si="81"/>
        <v>5851677.8425391288</v>
      </c>
      <c r="L231" s="15">
        <f t="shared" si="81"/>
        <v>6402551.0869399682</v>
      </c>
      <c r="M231" s="15">
        <f t="shared" si="81"/>
        <v>2509472.5029109949</v>
      </c>
      <c r="N231" s="15">
        <f t="shared" si="81"/>
        <v>284197.46794892108</v>
      </c>
      <c r="O231" s="15">
        <f t="shared" si="81"/>
        <v>13984.408369984367</v>
      </c>
      <c r="P231" s="15">
        <f t="shared" si="81"/>
        <v>4749409.5898058256</v>
      </c>
      <c r="Q231" s="15">
        <f t="shared" ref="Q231:R231" si="82">SUM(Q229:Q230)</f>
        <v>103637.10388311638</v>
      </c>
      <c r="R231" s="15">
        <f t="shared" si="82"/>
        <v>105781.01496792388</v>
      </c>
      <c r="S231" s="15">
        <f t="shared" si="81"/>
        <v>19458235.33982012</v>
      </c>
      <c r="T231" s="73">
        <f t="shared" si="80"/>
        <v>0</v>
      </c>
    </row>
    <row r="232" spans="1:20" x14ac:dyDescent="0.2">
      <c r="A232" s="60"/>
      <c r="H232" s="73"/>
      <c r="T232" s="73"/>
    </row>
    <row r="233" spans="1:20" x14ac:dyDescent="0.2">
      <c r="A233" s="60">
        <f>+A231+1</f>
        <v>163</v>
      </c>
      <c r="D233" s="2" t="s">
        <v>201</v>
      </c>
      <c r="H233" s="14">
        <f t="shared" ref="H233:S233" si="83">H226-H231</f>
        <v>6678762.6363840401</v>
      </c>
      <c r="I233" s="15">
        <f>I226-I231</f>
        <v>188296.56101661141</v>
      </c>
      <c r="J233" s="15">
        <f t="shared" si="83"/>
        <v>950854.11339962995</v>
      </c>
      <c r="K233" s="15">
        <f t="shared" si="83"/>
        <v>2272631.0352256102</v>
      </c>
      <c r="L233" s="15">
        <f t="shared" si="83"/>
        <v>2130373.3959294818</v>
      </c>
      <c r="M233" s="15">
        <f t="shared" si="83"/>
        <v>848522.18029906647</v>
      </c>
      <c r="N233" s="15">
        <f t="shared" si="83"/>
        <v>131811.50040930405</v>
      </c>
      <c r="O233" s="15">
        <f t="shared" si="83"/>
        <v>8012.566240952352</v>
      </c>
      <c r="P233" s="15">
        <f t="shared" si="83"/>
        <v>173284.99244838208</v>
      </c>
      <c r="Q233" s="15">
        <f t="shared" si="83"/>
        <v>5048.4025783922989</v>
      </c>
      <c r="R233" s="15">
        <f t="shared" si="83"/>
        <v>5152.8374365932104</v>
      </c>
      <c r="S233" s="15">
        <f t="shared" si="83"/>
        <v>-35225.229571543634</v>
      </c>
      <c r="T233" s="73">
        <f>SUM(I233:S233)-H233</f>
        <v>-0.28097156062722206</v>
      </c>
    </row>
    <row r="234" spans="1:20" x14ac:dyDescent="0.2">
      <c r="A234" s="60"/>
      <c r="H234" s="14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73"/>
    </row>
    <row r="235" spans="1:20" x14ac:dyDescent="0.2">
      <c r="A235" s="60"/>
      <c r="D235" s="2" t="s">
        <v>202</v>
      </c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73"/>
    </row>
    <row r="236" spans="1:20" ht="15" x14ac:dyDescent="0.25">
      <c r="A236" s="60">
        <f>+A233+1</f>
        <v>164</v>
      </c>
      <c r="B236" s="57">
        <v>47</v>
      </c>
      <c r="C236" s="60">
        <v>427</v>
      </c>
      <c r="E236" s="2" t="s">
        <v>203</v>
      </c>
      <c r="H236" s="15">
        <v>-2811787.78</v>
      </c>
      <c r="I236" s="15">
        <v>-53766.646074918564</v>
      </c>
      <c r="J236" s="15">
        <v>-399718.51410423906</v>
      </c>
      <c r="K236" s="15">
        <v>-955364.95841583132</v>
      </c>
      <c r="L236" s="15">
        <v>-898056.94911159936</v>
      </c>
      <c r="M236" s="15">
        <v>-351406.32318563137</v>
      </c>
      <c r="N236" s="15">
        <v>-54360.047666191807</v>
      </c>
      <c r="O236" s="15">
        <v>-3294.5886271534996</v>
      </c>
      <c r="P236" s="15">
        <v>-87024.669330832563</v>
      </c>
      <c r="Q236" s="15">
        <v>-2208.1285885525012</v>
      </c>
      <c r="R236" s="72">
        <v>-2253.8075122227065</v>
      </c>
      <c r="S236" s="72">
        <v>-4333.1473828274438</v>
      </c>
      <c r="T236" s="73">
        <f t="shared" ref="T236:T238" si="84">SUM(I236:S236)-H236</f>
        <v>0</v>
      </c>
    </row>
    <row r="237" spans="1:20" ht="15" x14ac:dyDescent="0.25">
      <c r="A237" s="64">
        <f>+A236+1</f>
        <v>165</v>
      </c>
      <c r="B237" s="63">
        <v>47</v>
      </c>
      <c r="C237" s="65"/>
      <c r="D237" s="65"/>
      <c r="E237" s="65" t="s">
        <v>204</v>
      </c>
      <c r="F237" s="65"/>
      <c r="G237" s="65"/>
      <c r="H237" s="13">
        <v>-54189.470000000008</v>
      </c>
      <c r="I237" s="5">
        <v>-1036.2041101399971</v>
      </c>
      <c r="J237" s="5">
        <v>-7703.4741322107338</v>
      </c>
      <c r="K237" s="5">
        <v>-18412.029926784144</v>
      </c>
      <c r="L237" s="5">
        <v>-17307.575788018596</v>
      </c>
      <c r="M237" s="5">
        <v>-6772.38963179436</v>
      </c>
      <c r="N237" s="5">
        <v>-1047.6402924710312</v>
      </c>
      <c r="O237" s="5">
        <v>-63.49412741721062</v>
      </c>
      <c r="P237" s="5">
        <v>-1677.1609655274453</v>
      </c>
      <c r="Q237" s="5">
        <v>-42.555600659701334</v>
      </c>
      <c r="R237" s="75">
        <v>-43.435936181985618</v>
      </c>
      <c r="S237" s="75">
        <v>-83.509488794814501</v>
      </c>
      <c r="T237" s="76">
        <f t="shared" si="84"/>
        <v>0</v>
      </c>
    </row>
    <row r="238" spans="1:20" x14ac:dyDescent="0.2">
      <c r="A238" s="60">
        <f>+A237+1</f>
        <v>166</v>
      </c>
      <c r="D238" s="2" t="s">
        <v>205</v>
      </c>
      <c r="H238" s="14">
        <f t="shared" ref="H238:S238" si="85">SUM(H236:H237)</f>
        <v>-2865977.25</v>
      </c>
      <c r="I238" s="15">
        <f t="shared" si="85"/>
        <v>-54802.85018505856</v>
      </c>
      <c r="J238" s="15">
        <f t="shared" si="85"/>
        <v>-407421.98823644978</v>
      </c>
      <c r="K238" s="15">
        <f t="shared" si="85"/>
        <v>-973776.98834261543</v>
      </c>
      <c r="L238" s="15">
        <f t="shared" si="85"/>
        <v>-915364.524899618</v>
      </c>
      <c r="M238" s="15">
        <f t="shared" si="85"/>
        <v>-358178.71281742572</v>
      </c>
      <c r="N238" s="15">
        <f t="shared" si="85"/>
        <v>-55407.687958662842</v>
      </c>
      <c r="O238" s="15">
        <f t="shared" si="85"/>
        <v>-3358.0827545707102</v>
      </c>
      <c r="P238" s="15">
        <f t="shared" si="85"/>
        <v>-88701.830296360014</v>
      </c>
      <c r="Q238" s="15">
        <f t="shared" ref="Q238:R238" si="86">SUM(Q236:Q237)</f>
        <v>-2250.6841892122025</v>
      </c>
      <c r="R238" s="15">
        <f t="shared" si="86"/>
        <v>-2297.2434484046921</v>
      </c>
      <c r="S238" s="15">
        <f t="shared" si="85"/>
        <v>-4416.6568716222582</v>
      </c>
      <c r="T238" s="73">
        <f t="shared" si="84"/>
        <v>0</v>
      </c>
    </row>
    <row r="239" spans="1:20" x14ac:dyDescent="0.2">
      <c r="A239" s="60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73"/>
    </row>
    <row r="240" spans="1:20" x14ac:dyDescent="0.2">
      <c r="A240" s="60">
        <f>+A238+1</f>
        <v>167</v>
      </c>
      <c r="B240" s="7"/>
      <c r="D240" s="9" t="s">
        <v>206</v>
      </c>
      <c r="E240" s="9"/>
      <c r="H240" s="10">
        <f t="shared" ref="H240:S240" si="87">H233+H238</f>
        <v>3812785.3863840401</v>
      </c>
      <c r="I240" s="10">
        <f>I233+I238</f>
        <v>133493.71083155286</v>
      </c>
      <c r="J240" s="10">
        <f t="shared" si="87"/>
        <v>543432.12516318017</v>
      </c>
      <c r="K240" s="10">
        <f t="shared" si="87"/>
        <v>1298854.0468829949</v>
      </c>
      <c r="L240" s="10">
        <f t="shared" si="87"/>
        <v>1215008.8710298638</v>
      </c>
      <c r="M240" s="10">
        <f t="shared" si="87"/>
        <v>490343.46748164075</v>
      </c>
      <c r="N240" s="10">
        <f t="shared" si="87"/>
        <v>76403.812450641213</v>
      </c>
      <c r="O240" s="10">
        <f t="shared" si="87"/>
        <v>4654.4834863816413</v>
      </c>
      <c r="P240" s="10">
        <f t="shared" si="87"/>
        <v>84583.162152022065</v>
      </c>
      <c r="Q240" s="10">
        <f t="shared" si="87"/>
        <v>2797.7183891800964</v>
      </c>
      <c r="R240" s="10">
        <f t="shared" si="87"/>
        <v>2855.5939881885183</v>
      </c>
      <c r="S240" s="10">
        <f t="shared" si="87"/>
        <v>-39641.886443165895</v>
      </c>
      <c r="T240" s="73">
        <f>SUM(I240:S240)-H240</f>
        <v>-0.28097155969589949</v>
      </c>
    </row>
    <row r="241" spans="1:32" x14ac:dyDescent="0.2">
      <c r="A241" s="60"/>
      <c r="H241" s="73"/>
      <c r="T241" s="73"/>
    </row>
    <row r="242" spans="1:32" x14ac:dyDescent="0.2">
      <c r="A242" s="60"/>
      <c r="D242" s="2" t="s">
        <v>207</v>
      </c>
      <c r="H242" s="73"/>
      <c r="T242" s="73"/>
    </row>
    <row r="243" spans="1:32" ht="15" x14ac:dyDescent="0.25">
      <c r="A243" s="60"/>
      <c r="E243" s="71" t="s">
        <v>208</v>
      </c>
      <c r="H243" s="73"/>
      <c r="T243" s="73"/>
    </row>
    <row r="244" spans="1:32" ht="15" x14ac:dyDescent="0.25">
      <c r="A244" s="60">
        <f>+A240+1</f>
        <v>168</v>
      </c>
      <c r="B244" s="57">
        <v>47</v>
      </c>
      <c r="C244" s="60">
        <v>409111</v>
      </c>
      <c r="E244" s="81" t="s">
        <v>209</v>
      </c>
      <c r="H244" s="14">
        <v>800685.15310818295</v>
      </c>
      <c r="I244" s="15">
        <f>I240*I255</f>
        <v>28033.679274626098</v>
      </c>
      <c r="J244" s="15">
        <f t="shared" ref="J244:S244" si="88">J240*J255</f>
        <v>114120.74628426784</v>
      </c>
      <c r="K244" s="15">
        <f t="shared" si="88"/>
        <v>272759.34984542895</v>
      </c>
      <c r="L244" s="15">
        <f t="shared" si="88"/>
        <v>255151.86291627141</v>
      </c>
      <c r="M244" s="15">
        <f t="shared" si="88"/>
        <v>102972.12817114455</v>
      </c>
      <c r="N244" s="15">
        <f t="shared" si="88"/>
        <v>16044.800614634654</v>
      </c>
      <c r="O244" s="15">
        <f t="shared" si="88"/>
        <v>977.44153214014466</v>
      </c>
      <c r="P244" s="15">
        <f t="shared" si="88"/>
        <v>17762.464051924631</v>
      </c>
      <c r="Q244" s="15">
        <f t="shared" si="88"/>
        <v>587.52086172782026</v>
      </c>
      <c r="R244" s="15">
        <f t="shared" si="88"/>
        <v>599.6747375195888</v>
      </c>
      <c r="S244" s="15">
        <f t="shared" si="88"/>
        <v>-8324.7961530648372</v>
      </c>
      <c r="T244" s="73">
        <f t="shared" ref="T244:T253" si="89">SUM(I244:S244)-H244</f>
        <v>-0.28097156214062124</v>
      </c>
    </row>
    <row r="245" spans="1:32" ht="15" x14ac:dyDescent="0.25">
      <c r="A245" s="60">
        <f t="shared" ref="A245:A251" si="90">+A244+1</f>
        <v>169</v>
      </c>
      <c r="B245" s="57">
        <v>47</v>
      </c>
      <c r="C245" s="60">
        <v>409118</v>
      </c>
      <c r="E245" s="81" t="s">
        <v>210</v>
      </c>
      <c r="H245" s="14">
        <v>3698.929999999993</v>
      </c>
      <c r="I245" s="15">
        <v>70.730466068779265</v>
      </c>
      <c r="J245" s="15">
        <v>525.83299987724911</v>
      </c>
      <c r="K245" s="15">
        <v>1256.7904771366011</v>
      </c>
      <c r="L245" s="15">
        <v>1181.4013185509193</v>
      </c>
      <c r="M245" s="15">
        <v>462.27791452348691</v>
      </c>
      <c r="N245" s="15">
        <v>71.511090753053381</v>
      </c>
      <c r="O245" s="15">
        <v>4.3340584937874906</v>
      </c>
      <c r="P245" s="15">
        <v>114.48166978231049</v>
      </c>
      <c r="Q245" s="15">
        <v>2.9048113581511079</v>
      </c>
      <c r="R245" s="72">
        <v>2.9649023587355945</v>
      </c>
      <c r="S245" s="72">
        <v>5.7002910969197993</v>
      </c>
      <c r="T245" s="73">
        <f t="shared" si="89"/>
        <v>0</v>
      </c>
    </row>
    <row r="246" spans="1:32" ht="15" x14ac:dyDescent="0.25">
      <c r="A246" s="60">
        <f t="shared" si="90"/>
        <v>170</v>
      </c>
      <c r="B246" s="57">
        <v>47</v>
      </c>
      <c r="C246" s="60">
        <v>409119</v>
      </c>
      <c r="E246" s="81" t="s">
        <v>112</v>
      </c>
      <c r="H246" s="14">
        <v>-2148626.63</v>
      </c>
      <c r="I246" s="15">
        <v>-41085.763436369656</v>
      </c>
      <c r="J246" s="15">
        <v>-305444.76009793265</v>
      </c>
      <c r="K246" s="15">
        <v>-730041.79249299457</v>
      </c>
      <c r="L246" s="15">
        <v>-686249.89760704397</v>
      </c>
      <c r="M246" s="15">
        <v>-268527.01662535639</v>
      </c>
      <c r="N246" s="15">
        <v>-41539.211050859987</v>
      </c>
      <c r="O246" s="15">
        <v>-2517.5587252879909</v>
      </c>
      <c r="P246" s="15">
        <v>-66499.870054620958</v>
      </c>
      <c r="Q246" s="15">
        <v>-1687.340673992195</v>
      </c>
      <c r="R246" s="72">
        <v>-1722.2462072353687</v>
      </c>
      <c r="S246" s="72">
        <v>-3311.173028306514</v>
      </c>
      <c r="T246" s="73">
        <f t="shared" ref="T246" si="91">SUM(I246:S246)-H246</f>
        <v>0</v>
      </c>
    </row>
    <row r="247" spans="1:32" ht="15" x14ac:dyDescent="0.25">
      <c r="A247" s="60">
        <f t="shared" si="90"/>
        <v>171</v>
      </c>
      <c r="B247" s="2"/>
      <c r="C247" s="60"/>
      <c r="D247" s="71" t="s">
        <v>211</v>
      </c>
      <c r="H247" s="82"/>
      <c r="I247" s="17"/>
      <c r="J247" s="78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</row>
    <row r="248" spans="1:32" ht="15" x14ac:dyDescent="0.25">
      <c r="A248" s="60">
        <f t="shared" si="90"/>
        <v>172</v>
      </c>
      <c r="B248" s="57">
        <v>47</v>
      </c>
      <c r="C248" s="60">
        <v>409121</v>
      </c>
      <c r="D248" s="81"/>
      <c r="E248" s="71" t="s">
        <v>209</v>
      </c>
      <c r="H248" s="17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77">
        <v>0</v>
      </c>
      <c r="S248" s="77">
        <v>0</v>
      </c>
      <c r="T248" s="73">
        <f t="shared" si="89"/>
        <v>0</v>
      </c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</row>
    <row r="249" spans="1:32" ht="15" x14ac:dyDescent="0.25">
      <c r="A249" s="60">
        <f t="shared" si="90"/>
        <v>173</v>
      </c>
      <c r="B249" s="57">
        <v>47</v>
      </c>
      <c r="C249" s="69" t="s">
        <v>212</v>
      </c>
      <c r="E249" s="2" t="s">
        <v>213</v>
      </c>
      <c r="H249" s="14">
        <v>1972112</v>
      </c>
      <c r="I249" s="15">
        <v>37710.473271955045</v>
      </c>
      <c r="J249" s="15">
        <v>280351.76903967455</v>
      </c>
      <c r="K249" s="15">
        <v>670067.17657452868</v>
      </c>
      <c r="L249" s="15">
        <v>629872.88678890793</v>
      </c>
      <c r="M249" s="15">
        <v>246466.90328466464</v>
      </c>
      <c r="N249" s="15">
        <v>38126.669119768652</v>
      </c>
      <c r="O249" s="15">
        <v>2310.7354733126208</v>
      </c>
      <c r="P249" s="15">
        <v>61036.752454826754</v>
      </c>
      <c r="Q249" s="15">
        <v>1548.7217484910796</v>
      </c>
      <c r="R249" s="72">
        <v>1580.7597117249534</v>
      </c>
      <c r="S249" s="72">
        <v>3039.1525321454369</v>
      </c>
      <c r="T249" s="73">
        <f t="shared" si="89"/>
        <v>0</v>
      </c>
    </row>
    <row r="250" spans="1:32" ht="15" x14ac:dyDescent="0.25">
      <c r="A250" s="64">
        <f t="shared" si="90"/>
        <v>174</v>
      </c>
      <c r="B250" s="63">
        <v>47</v>
      </c>
      <c r="C250" s="64">
        <v>411401</v>
      </c>
      <c r="D250" s="65"/>
      <c r="E250" s="65" t="s">
        <v>214</v>
      </c>
      <c r="F250" s="65"/>
      <c r="G250" s="65"/>
      <c r="H250" s="5">
        <v>-1696</v>
      </c>
      <c r="I250" s="5">
        <v>-32.430694944929982</v>
      </c>
      <c r="J250" s="5">
        <v>-241.10020135331462</v>
      </c>
      <c r="K250" s="5">
        <v>-576.25222678549733</v>
      </c>
      <c r="L250" s="5">
        <v>-541.68547019337029</v>
      </c>
      <c r="M250" s="5">
        <v>-211.95949721455537</v>
      </c>
      <c r="N250" s="5">
        <v>-32.788619929865867</v>
      </c>
      <c r="O250" s="5">
        <v>-1.9872133848068489</v>
      </c>
      <c r="P250" s="5">
        <v>-52.491102008093954</v>
      </c>
      <c r="Q250" s="5">
        <v>-1.331887887422657</v>
      </c>
      <c r="R250" s="75">
        <v>-1.3594402706770816</v>
      </c>
      <c r="S250" s="75">
        <v>-2.6136460274663209</v>
      </c>
      <c r="T250" s="76">
        <f t="shared" si="89"/>
        <v>0</v>
      </c>
    </row>
    <row r="251" spans="1:32" x14ac:dyDescent="0.2">
      <c r="A251" s="60">
        <f t="shared" si="90"/>
        <v>175</v>
      </c>
      <c r="D251" s="9"/>
      <c r="E251" s="2" t="s">
        <v>215</v>
      </c>
      <c r="H251" s="14">
        <f>SUM(H244:H250)</f>
        <v>626173.45310818311</v>
      </c>
      <c r="I251" s="73">
        <f>SUM(I244:I250)</f>
        <v>24696.688881335336</v>
      </c>
      <c r="J251" s="73">
        <f t="shared" ref="J251:S251" si="92">SUM(J244:J250)</f>
        <v>89312.488024533668</v>
      </c>
      <c r="K251" s="73">
        <f t="shared" si="92"/>
        <v>213465.27217731418</v>
      </c>
      <c r="L251" s="73">
        <f t="shared" si="92"/>
        <v>199414.56794649296</v>
      </c>
      <c r="M251" s="73">
        <f t="shared" si="92"/>
        <v>81162.333247761708</v>
      </c>
      <c r="N251" s="73">
        <f t="shared" si="92"/>
        <v>12670.981154366506</v>
      </c>
      <c r="O251" s="73">
        <f t="shared" si="92"/>
        <v>772.96512527375512</v>
      </c>
      <c r="P251" s="73">
        <f t="shared" si="92"/>
        <v>12361.337019904644</v>
      </c>
      <c r="Q251" s="73">
        <f t="shared" si="92"/>
        <v>450.4748596974332</v>
      </c>
      <c r="R251" s="73">
        <f t="shared" si="92"/>
        <v>459.79370409723208</v>
      </c>
      <c r="S251" s="73">
        <f t="shared" si="92"/>
        <v>-8593.7300041564595</v>
      </c>
      <c r="T251" s="73">
        <f t="shared" si="89"/>
        <v>-0.28097156214062124</v>
      </c>
    </row>
    <row r="252" spans="1:32" x14ac:dyDescent="0.2">
      <c r="B252" s="2"/>
    </row>
    <row r="253" spans="1:32" x14ac:dyDescent="0.2">
      <c r="A253" s="60">
        <f>+A251+1</f>
        <v>176</v>
      </c>
      <c r="D253" s="9" t="s">
        <v>216</v>
      </c>
      <c r="E253" s="9"/>
      <c r="F253" s="9"/>
      <c r="G253" s="9"/>
      <c r="H253" s="10">
        <f t="shared" ref="H253:S253" si="93">SUM(H251:H252)</f>
        <v>626173.45310818311</v>
      </c>
      <c r="I253" s="10">
        <f t="shared" si="93"/>
        <v>24696.688881335336</v>
      </c>
      <c r="J253" s="10">
        <f t="shared" si="93"/>
        <v>89312.488024533668</v>
      </c>
      <c r="K253" s="10">
        <f t="shared" si="93"/>
        <v>213465.27217731418</v>
      </c>
      <c r="L253" s="10">
        <f t="shared" si="93"/>
        <v>199414.56794649296</v>
      </c>
      <c r="M253" s="10">
        <f t="shared" si="93"/>
        <v>81162.333247761708</v>
      </c>
      <c r="N253" s="10">
        <f t="shared" si="93"/>
        <v>12670.981154366506</v>
      </c>
      <c r="O253" s="10">
        <f t="shared" si="93"/>
        <v>772.96512527375512</v>
      </c>
      <c r="P253" s="10">
        <f t="shared" si="93"/>
        <v>12361.337019904644</v>
      </c>
      <c r="Q253" s="10">
        <f t="shared" si="93"/>
        <v>450.4748596974332</v>
      </c>
      <c r="R253" s="10">
        <f t="shared" si="93"/>
        <v>459.79370409723208</v>
      </c>
      <c r="S253" s="10">
        <f t="shared" si="93"/>
        <v>-8593.7300041564595</v>
      </c>
      <c r="T253" s="10">
        <f t="shared" si="89"/>
        <v>-0.28097156214062124</v>
      </c>
    </row>
    <row r="254" spans="1:32" x14ac:dyDescent="0.2">
      <c r="A254" s="60"/>
      <c r="H254" s="7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</row>
    <row r="255" spans="1:32" ht="15" x14ac:dyDescent="0.25">
      <c r="A255" s="60">
        <f>+A253+1</f>
        <v>177</v>
      </c>
      <c r="D255" s="71" t="s">
        <v>217</v>
      </c>
      <c r="H255" s="18">
        <v>0.21</v>
      </c>
      <c r="I255" s="19">
        <f t="shared" ref="I255:S255" si="94">$H$255</f>
        <v>0.21</v>
      </c>
      <c r="J255" s="19">
        <f t="shared" si="94"/>
        <v>0.21</v>
      </c>
      <c r="K255" s="19">
        <f t="shared" si="94"/>
        <v>0.21</v>
      </c>
      <c r="L255" s="19">
        <f t="shared" si="94"/>
        <v>0.21</v>
      </c>
      <c r="M255" s="19">
        <f t="shared" si="94"/>
        <v>0.21</v>
      </c>
      <c r="N255" s="19">
        <f t="shared" si="94"/>
        <v>0.21</v>
      </c>
      <c r="O255" s="19">
        <f t="shared" si="94"/>
        <v>0.21</v>
      </c>
      <c r="P255" s="19">
        <f t="shared" si="94"/>
        <v>0.21</v>
      </c>
      <c r="Q255" s="19">
        <f t="shared" si="94"/>
        <v>0.21</v>
      </c>
      <c r="R255" s="19">
        <f t="shared" si="94"/>
        <v>0.21</v>
      </c>
      <c r="S255" s="19">
        <f t="shared" si="94"/>
        <v>0.21</v>
      </c>
      <c r="T255" s="19"/>
    </row>
    <row r="256" spans="1:32" x14ac:dyDescent="0.2">
      <c r="A256" s="60"/>
      <c r="H256" s="84"/>
      <c r="I256" s="85"/>
    </row>
    <row r="257" spans="1:20" x14ac:dyDescent="0.2">
      <c r="A257" s="60">
        <f>+A255+1</f>
        <v>178</v>
      </c>
      <c r="D257" s="2" t="s">
        <v>218</v>
      </c>
      <c r="H257" s="84">
        <f t="shared" ref="H257:S257" si="95">H233-H253</f>
        <v>6052589.183275857</v>
      </c>
      <c r="I257" s="84">
        <f t="shared" si="95"/>
        <v>163599.87213527606</v>
      </c>
      <c r="J257" s="84">
        <f t="shared" si="95"/>
        <v>861541.62537509622</v>
      </c>
      <c r="K257" s="84">
        <f t="shared" si="95"/>
        <v>2059165.7630482961</v>
      </c>
      <c r="L257" s="84">
        <f t="shared" si="95"/>
        <v>1930958.8279829889</v>
      </c>
      <c r="M257" s="84">
        <f t="shared" si="95"/>
        <v>767359.84705130477</v>
      </c>
      <c r="N257" s="84">
        <f t="shared" si="95"/>
        <v>119140.51925493754</v>
      </c>
      <c r="O257" s="84">
        <f t="shared" si="95"/>
        <v>7239.6011156785971</v>
      </c>
      <c r="P257" s="84">
        <f t="shared" si="95"/>
        <v>160923.65542847745</v>
      </c>
      <c r="Q257" s="84">
        <f t="shared" si="95"/>
        <v>4597.9277186948657</v>
      </c>
      <c r="R257" s="84">
        <f>R233-R253</f>
        <v>4693.0437324959785</v>
      </c>
      <c r="S257" s="84">
        <f t="shared" si="95"/>
        <v>-26631.499567387174</v>
      </c>
      <c r="T257" s="15">
        <f>SUM(I257:S257)-H257</f>
        <v>0</v>
      </c>
    </row>
    <row r="258" spans="1:20" x14ac:dyDescent="0.2">
      <c r="A258" s="60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</row>
    <row r="259" spans="1:20" x14ac:dyDescent="0.2">
      <c r="A259" s="60">
        <f>+A257+1</f>
        <v>179</v>
      </c>
      <c r="D259" s="2" t="s">
        <v>44</v>
      </c>
      <c r="H259" s="84">
        <f>H86</f>
        <v>152184860.11532155</v>
      </c>
      <c r="I259" s="84">
        <f t="shared" ref="I259:S259" si="96">I86</f>
        <v>4113516.1997425025</v>
      </c>
      <c r="J259" s="84">
        <f t="shared" si="96"/>
        <v>21662397.326341067</v>
      </c>
      <c r="K259" s="84">
        <f t="shared" si="96"/>
        <v>51775173.254722081</v>
      </c>
      <c r="L259" s="84">
        <f t="shared" si="96"/>
        <v>48551568.630664676</v>
      </c>
      <c r="M259" s="84">
        <f t="shared" si="96"/>
        <v>19294313.135326974</v>
      </c>
      <c r="N259" s="84">
        <f t="shared" si="96"/>
        <v>2995640.8254138529</v>
      </c>
      <c r="O259" s="84">
        <f t="shared" si="96"/>
        <v>182030.80528323023</v>
      </c>
      <c r="P259" s="84">
        <f t="shared" si="96"/>
        <v>4046226.044599006</v>
      </c>
      <c r="Q259" s="84">
        <f t="shared" si="96"/>
        <v>115609.19889018798</v>
      </c>
      <c r="R259" s="84">
        <f t="shared" si="96"/>
        <v>118000.77327541902</v>
      </c>
      <c r="S259" s="84">
        <f t="shared" si="96"/>
        <v>-669616.07893738779</v>
      </c>
      <c r="T259" s="15">
        <f>SUM(I259:S259)-H259</f>
        <v>0</v>
      </c>
    </row>
    <row r="260" spans="1:20" x14ac:dyDescent="0.2">
      <c r="A260" s="60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</row>
    <row r="261" spans="1:20" x14ac:dyDescent="0.2">
      <c r="A261" s="60">
        <f>+A259+1</f>
        <v>180</v>
      </c>
      <c r="D261" s="2" t="s">
        <v>219</v>
      </c>
      <c r="H261" s="86">
        <f>H257/H259</f>
        <v>3.9771296426526069E-2</v>
      </c>
      <c r="I261" s="86">
        <f>I257/I259</f>
        <v>3.9771296426526062E-2</v>
      </c>
      <c r="J261" s="86">
        <f>J257/J259</f>
        <v>3.9771296426526062E-2</v>
      </c>
      <c r="K261" s="86">
        <f t="shared" ref="K261:P261" si="97">K257/K259</f>
        <v>3.9771296426526062E-2</v>
      </c>
      <c r="L261" s="86">
        <f t="shared" si="97"/>
        <v>3.9771296426526062E-2</v>
      </c>
      <c r="M261" s="86">
        <f t="shared" si="97"/>
        <v>3.9771296426526076E-2</v>
      </c>
      <c r="N261" s="86">
        <f t="shared" si="97"/>
        <v>3.9771296426526055E-2</v>
      </c>
      <c r="O261" s="86">
        <f t="shared" si="97"/>
        <v>3.9771296426526069E-2</v>
      </c>
      <c r="P261" s="86">
        <f t="shared" si="97"/>
        <v>3.9771296426526138E-2</v>
      </c>
      <c r="Q261" s="86">
        <f>Q257/Q259</f>
        <v>3.9771296426525993E-2</v>
      </c>
      <c r="R261" s="86">
        <f>R257/R259</f>
        <v>3.9771296426526014E-2</v>
      </c>
      <c r="S261" s="86">
        <f>S257/S259</f>
        <v>3.9771296426526437E-2</v>
      </c>
      <c r="T261" s="86"/>
    </row>
    <row r="262" spans="1:20" x14ac:dyDescent="0.2">
      <c r="H262" s="86"/>
      <c r="I262" s="85"/>
    </row>
    <row r="263" spans="1:20" s="87" customFormat="1" ht="15" x14ac:dyDescent="0.25"/>
    <row r="264" spans="1:20" s="87" customFormat="1" ht="15" x14ac:dyDescent="0.25"/>
    <row r="265" spans="1:20" s="87" customFormat="1" ht="15" x14ac:dyDescent="0.25"/>
    <row r="266" spans="1:20" s="87" customFormat="1" ht="15" x14ac:dyDescent="0.25"/>
    <row r="267" spans="1:20" s="87" customFormat="1" ht="15" x14ac:dyDescent="0.25"/>
    <row r="268" spans="1:20" s="87" customFormat="1" ht="15" x14ac:dyDescent="0.25"/>
    <row r="269" spans="1:20" s="87" customFormat="1" ht="15" x14ac:dyDescent="0.25"/>
    <row r="270" spans="1:20" s="87" customFormat="1" ht="15" x14ac:dyDescent="0.25"/>
    <row r="271" spans="1:20" s="87" customFormat="1" ht="15" x14ac:dyDescent="0.25"/>
    <row r="272" spans="1:20" s="87" customFormat="1" ht="15" x14ac:dyDescent="0.25"/>
    <row r="273" s="87" customFormat="1" ht="15" x14ac:dyDescent="0.25"/>
    <row r="274" s="87" customFormat="1" ht="15" x14ac:dyDescent="0.25"/>
    <row r="275" s="87" customFormat="1" ht="15" x14ac:dyDescent="0.25"/>
    <row r="276" s="87" customFormat="1" ht="15" x14ac:dyDescent="0.25"/>
    <row r="277" s="87" customFormat="1" ht="15" x14ac:dyDescent="0.25"/>
    <row r="278" s="87" customFormat="1" ht="15" x14ac:dyDescent="0.25"/>
  </sheetData>
  <pageMargins left="0.7" right="0.7" top="1.6666666666666667" bottom="0.8" header="0.3" footer="0.3"/>
  <pageSetup scale="80" fitToWidth="2" fitToHeight="6" pageOrder="overThenDown" orientation="landscape" useFirstPageNumber="1" r:id="rId1"/>
  <headerFooter alignWithMargins="0">
    <oddHeader>&amp;CRULE 20:10:13:97
STATEMENT N
Allocated Cost of Service
Test Year Ending December 31, 2021
Utility: MidAmerican Energy Company
Docket No. NG22-___
Individual Responsible: Amanda Hosch</oddHeader>
    <oddFooter>&amp;C20:10:13:97
Statement N
&amp;P of &amp;N</oddFooter>
  </headerFooter>
  <rowBreaks count="1" manualBreakCount="1">
    <brk id="2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D893-43F7-4A9B-ACDE-BDE7C01D98E8}">
  <dimension ref="A2:J4"/>
  <sheetViews>
    <sheetView view="pageLayout" zoomScaleNormal="100" zoomScaleSheetLayoutView="115" workbookViewId="0">
      <selection activeCell="A2" sqref="A2:J4"/>
    </sheetView>
  </sheetViews>
  <sheetFormatPr defaultRowHeight="15" x14ac:dyDescent="0.25"/>
  <sheetData>
    <row r="2" spans="1:10" x14ac:dyDescent="0.25">
      <c r="A2" s="88" t="s">
        <v>220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</row>
  </sheetData>
  <mergeCells count="1">
    <mergeCell ref="A2:J4"/>
  </mergeCells>
  <pageMargins left="0.7" right="0.7" top="2.0729166666666665" bottom="0.94937499999999997" header="0.3" footer="0.3"/>
  <pageSetup scale="98" orientation="portrait" r:id="rId1"/>
  <headerFooter>
    <oddHeader>&amp;CRULE 20:10:13:97
STATEMENT N
Classification of Energy and Customer
Test Year Ending December 31, 2021
Utility: MidAmerican Energy Company
Docket No. NG22-___
Individual Responsible: Amanda Hosch</oddHeader>
    <oddFooter>&amp;C20:10:13:97
Statement N
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44B5-DF4A-42D0-AB85-871179C1DC80}">
  <dimension ref="A1:J4"/>
  <sheetViews>
    <sheetView view="pageLayout" zoomScaleNormal="100" zoomScaleSheetLayoutView="115" workbookViewId="0"/>
  </sheetViews>
  <sheetFormatPr defaultRowHeight="15" x14ac:dyDescent="0.25"/>
  <sheetData>
    <row r="1" spans="1:10" x14ac:dyDescent="0.25">
      <c r="A1" t="s">
        <v>221</v>
      </c>
    </row>
    <row r="2" spans="1:10" ht="15" customHeight="1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</row>
  </sheetData>
  <pageMargins left="0.7" right="0.7" top="2.0729166666666665" bottom="0.94937499999999997" header="0.3" footer="0.3"/>
  <pageSetup scale="98" orientation="portrait" r:id="rId1"/>
  <headerFooter>
    <oddHeader>&amp;CRULE 20:10:13:97
STATEMENT N
Facilities Allocated to South Dakota Only
Test Year Ending December 31, 2021
Utility: MidAmerican Energy Company
Docket No. NG22-___
Individual Responsible: Amanda Hosch</oddHeader>
    <oddFooter>&amp;C20:10:13:97
Statement N
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7CA8D-825F-4846-A030-C7A3A1234A98}">
  <dimension ref="A1:Z70"/>
  <sheetViews>
    <sheetView view="pageLayout" zoomScaleNormal="100" workbookViewId="0">
      <selection activeCell="A4" sqref="A4"/>
    </sheetView>
  </sheetViews>
  <sheetFormatPr defaultColWidth="9.140625" defaultRowHeight="12.75" x14ac:dyDescent="0.2"/>
  <cols>
    <col min="1" max="1" width="21.42578125" style="21" customWidth="1"/>
    <col min="2" max="2" width="7.28515625" style="21" customWidth="1"/>
    <col min="3" max="3" width="13.7109375" style="20" customWidth="1"/>
    <col min="4" max="4" width="14.7109375" style="20" customWidth="1"/>
    <col min="5" max="5" width="15.42578125" style="20" customWidth="1"/>
    <col min="6" max="6" width="23.28515625" style="20" customWidth="1"/>
    <col min="7" max="7" width="22.28515625" style="20" customWidth="1"/>
    <col min="8" max="8" width="12.7109375" style="20" customWidth="1"/>
    <col min="9" max="10" width="12.28515625" style="20" bestFit="1" customWidth="1"/>
    <col min="11" max="11" width="13.42578125" style="20" bestFit="1" customWidth="1"/>
    <col min="12" max="12" width="13.28515625" style="20" customWidth="1"/>
    <col min="13" max="14" width="12.85546875" style="20" customWidth="1"/>
    <col min="15" max="17" width="9.140625" style="2"/>
    <col min="18" max="20" width="12.28515625" style="2" bestFit="1" customWidth="1"/>
    <col min="21" max="21" width="13.42578125" style="2" bestFit="1" customWidth="1"/>
    <col min="22" max="22" width="8.7109375" style="2" customWidth="1"/>
    <col min="23" max="16384" width="9.140625" style="20"/>
  </cols>
  <sheetData>
    <row r="1" spans="1:22" x14ac:dyDescent="0.2">
      <c r="C1" s="24"/>
      <c r="D1" s="24"/>
      <c r="E1" s="24"/>
      <c r="F1" s="24" t="s">
        <v>222</v>
      </c>
      <c r="G1" s="24" t="s">
        <v>222</v>
      </c>
    </row>
    <row r="2" spans="1:22" ht="14.25" x14ac:dyDescent="0.2">
      <c r="C2" s="27" t="s">
        <v>223</v>
      </c>
      <c r="D2" s="27" t="s">
        <v>224</v>
      </c>
      <c r="E2" s="27" t="s">
        <v>225</v>
      </c>
      <c r="F2" s="27" t="s">
        <v>1</v>
      </c>
      <c r="G2" s="27" t="s">
        <v>226</v>
      </c>
    </row>
    <row r="3" spans="1:22" x14ac:dyDescent="0.2">
      <c r="C3" s="23">
        <f>SUMIF($B$13:$B$34,1,$F$13:$F$34)</f>
        <v>73744369.689338818</v>
      </c>
      <c r="D3" s="23">
        <f>SUMIF($B$13:$B$34,2,$F$13:$F$34)</f>
        <v>40080907.520729132</v>
      </c>
      <c r="E3" s="23">
        <f>SUMIF($B$13:$B$34,3,$F$13:$F$34)</f>
        <v>32994000.789932065</v>
      </c>
      <c r="F3" s="23">
        <f>SUM(C3:E3)</f>
        <v>146819278.00000003</v>
      </c>
      <c r="G3" s="23">
        <v>1902105516</v>
      </c>
    </row>
    <row r="4" spans="1:22" x14ac:dyDescent="0.2">
      <c r="C4" s="22"/>
    </row>
    <row r="5" spans="1:22" x14ac:dyDescent="0.2">
      <c r="A5" s="35" t="s">
        <v>227</v>
      </c>
    </row>
    <row r="6" spans="1:22" x14ac:dyDescent="0.2">
      <c r="A6" s="28" t="s">
        <v>228</v>
      </c>
    </row>
    <row r="7" spans="1:22" x14ac:dyDescent="0.2">
      <c r="A7" s="28" t="s">
        <v>229</v>
      </c>
    </row>
    <row r="9" spans="1:22" x14ac:dyDescent="0.2">
      <c r="C9" s="23"/>
    </row>
    <row r="10" spans="1:22" x14ac:dyDescent="0.2">
      <c r="A10" s="24" t="s">
        <v>230</v>
      </c>
      <c r="B10" s="24"/>
      <c r="C10" s="24" t="s">
        <v>222</v>
      </c>
      <c r="D10" s="25" t="s">
        <v>231</v>
      </c>
      <c r="E10" s="25" t="s">
        <v>232</v>
      </c>
      <c r="F10" s="25" t="s">
        <v>233</v>
      </c>
      <c r="G10" s="2"/>
      <c r="H10" s="2"/>
      <c r="I10" s="2"/>
      <c r="J10" s="2"/>
      <c r="K10" s="2"/>
      <c r="L10" s="2"/>
      <c r="M10" s="2"/>
      <c r="N10" s="2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A11" s="26" t="s">
        <v>12</v>
      </c>
      <c r="B11" s="26" t="s">
        <v>234</v>
      </c>
      <c r="C11" s="27" t="s">
        <v>235</v>
      </c>
      <c r="D11" s="26" t="s">
        <v>236</v>
      </c>
      <c r="E11" s="26" t="s">
        <v>236</v>
      </c>
      <c r="F11" s="26" t="s">
        <v>237</v>
      </c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F12" s="23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0"/>
      <c r="T12" s="20"/>
      <c r="U12" s="20"/>
      <c r="V12" s="20"/>
    </row>
    <row r="13" spans="1:22" x14ac:dyDescent="0.2">
      <c r="A13" s="30" t="s">
        <v>238</v>
      </c>
      <c r="B13" s="30"/>
      <c r="C13" s="23">
        <v>-965668</v>
      </c>
      <c r="D13" s="23">
        <v>965667.99999999988</v>
      </c>
      <c r="E13" s="23">
        <v>0</v>
      </c>
      <c r="F13" s="23">
        <f>C13+D13+E13</f>
        <v>-1.1641532182693481E-10</v>
      </c>
      <c r="O13" s="20"/>
      <c r="P13" s="20"/>
      <c r="Q13" s="20"/>
      <c r="R13" s="20"/>
      <c r="S13" s="20"/>
      <c r="T13" s="20"/>
      <c r="U13" s="20"/>
      <c r="V13" s="20"/>
    </row>
    <row r="14" spans="1:22" x14ac:dyDescent="0.2">
      <c r="A14" s="29" t="s">
        <v>239</v>
      </c>
      <c r="B14" s="29">
        <v>1</v>
      </c>
      <c r="C14" s="23">
        <v>204141</v>
      </c>
      <c r="D14" s="23">
        <v>-3256.8756547330918</v>
      </c>
      <c r="E14" s="23">
        <v>0</v>
      </c>
      <c r="F14" s="23">
        <f t="shared" ref="F14:F34" si="0">C14+D14+E14</f>
        <v>200884.1243452669</v>
      </c>
      <c r="H14" s="31"/>
      <c r="O14" s="20"/>
      <c r="P14" s="20"/>
      <c r="Q14" s="20"/>
      <c r="R14" s="20"/>
      <c r="S14" s="20"/>
      <c r="T14" s="20"/>
      <c r="U14" s="20"/>
      <c r="V14" s="20"/>
    </row>
    <row r="15" spans="1:22" x14ac:dyDescent="0.2">
      <c r="A15" s="30" t="s">
        <v>240</v>
      </c>
      <c r="B15" s="30">
        <v>1</v>
      </c>
      <c r="C15" s="23">
        <v>58167188</v>
      </c>
      <c r="D15" s="23">
        <v>-962411.12434526684</v>
      </c>
      <c r="E15" s="23">
        <v>0</v>
      </c>
      <c r="F15" s="23">
        <f t="shared" si="0"/>
        <v>57204776.875654735</v>
      </c>
      <c r="I15" s="23"/>
      <c r="L15" s="32"/>
      <c r="O15" s="20"/>
      <c r="P15" s="20"/>
      <c r="Q15" s="20"/>
      <c r="R15" s="20"/>
      <c r="S15" s="20"/>
      <c r="T15" s="20"/>
      <c r="U15" s="20"/>
      <c r="V15" s="20"/>
    </row>
    <row r="16" spans="1:22" x14ac:dyDescent="0.2">
      <c r="A16" s="29" t="s">
        <v>241</v>
      </c>
      <c r="B16" s="29"/>
      <c r="C16" s="23">
        <v>-817716</v>
      </c>
      <c r="D16" s="23">
        <v>817716</v>
      </c>
      <c r="E16" s="23">
        <v>0</v>
      </c>
      <c r="F16" s="23">
        <f t="shared" si="0"/>
        <v>0</v>
      </c>
      <c r="O16" s="20"/>
      <c r="P16" s="20"/>
      <c r="Q16" s="20"/>
      <c r="R16" s="20"/>
      <c r="S16" s="20"/>
      <c r="T16" s="20"/>
      <c r="U16" s="20"/>
      <c r="V16" s="20"/>
    </row>
    <row r="17" spans="1:22" x14ac:dyDescent="0.2">
      <c r="A17" s="29" t="s">
        <v>242</v>
      </c>
      <c r="B17" s="29">
        <v>3</v>
      </c>
      <c r="C17" s="23">
        <v>788247</v>
      </c>
      <c r="D17" s="23">
        <v>-12470.045966749753</v>
      </c>
      <c r="E17" s="23">
        <v>0</v>
      </c>
      <c r="F17" s="23">
        <f t="shared" si="0"/>
        <v>775776.95403325022</v>
      </c>
      <c r="O17" s="20"/>
      <c r="P17" s="20"/>
      <c r="Q17" s="20"/>
      <c r="R17" s="20"/>
      <c r="S17" s="20"/>
      <c r="T17" s="20"/>
      <c r="U17" s="20"/>
      <c r="V17" s="20"/>
    </row>
    <row r="18" spans="1:22" x14ac:dyDescent="0.2">
      <c r="A18" s="29" t="s">
        <v>243</v>
      </c>
      <c r="B18" s="29">
        <v>2</v>
      </c>
      <c r="C18" s="23">
        <v>22496491</v>
      </c>
      <c r="D18" s="23">
        <v>-448988.47927851276</v>
      </c>
      <c r="E18" s="23">
        <v>0</v>
      </c>
      <c r="F18" s="23">
        <f t="shared" si="0"/>
        <v>22047502.520721488</v>
      </c>
      <c r="O18" s="20"/>
      <c r="P18" s="20"/>
      <c r="Q18" s="20"/>
      <c r="R18" s="20"/>
      <c r="S18" s="20"/>
      <c r="T18" s="20"/>
      <c r="U18" s="20"/>
      <c r="V18" s="20"/>
    </row>
    <row r="19" spans="1:22" x14ac:dyDescent="0.2">
      <c r="A19" s="29" t="s">
        <v>239</v>
      </c>
      <c r="B19" s="29">
        <v>1</v>
      </c>
      <c r="C19" s="23">
        <v>28630</v>
      </c>
      <c r="D19" s="23">
        <v>-343.51318985076534</v>
      </c>
      <c r="E19" s="23">
        <v>0</v>
      </c>
      <c r="F19" s="23">
        <f t="shared" si="0"/>
        <v>28286.486810149236</v>
      </c>
      <c r="O19" s="20"/>
      <c r="P19" s="20"/>
      <c r="Q19" s="20"/>
      <c r="R19" s="20"/>
      <c r="S19" s="20"/>
      <c r="T19" s="20"/>
      <c r="U19" s="20"/>
      <c r="V19" s="20"/>
    </row>
    <row r="20" spans="1:22" x14ac:dyDescent="0.2">
      <c r="A20" s="29" t="s">
        <v>244</v>
      </c>
      <c r="B20" s="29">
        <v>1</v>
      </c>
      <c r="C20" s="23">
        <v>17993</v>
      </c>
      <c r="D20" s="23">
        <v>91.662493409069128</v>
      </c>
      <c r="E20" s="23">
        <v>0</v>
      </c>
      <c r="F20" s="23">
        <f t="shared" si="0"/>
        <v>18084.662493409069</v>
      </c>
      <c r="I20" s="23"/>
      <c r="L20" s="32"/>
      <c r="O20" s="20"/>
      <c r="P20" s="20"/>
      <c r="Q20" s="20"/>
      <c r="R20" s="20"/>
      <c r="S20" s="20"/>
      <c r="T20" s="20"/>
      <c r="U20" s="20"/>
      <c r="V20" s="20"/>
    </row>
    <row r="21" spans="1:22" x14ac:dyDescent="0.2">
      <c r="A21" s="29" t="s">
        <v>245</v>
      </c>
      <c r="B21" s="29">
        <v>1</v>
      </c>
      <c r="C21" s="23">
        <v>120038</v>
      </c>
      <c r="D21" s="23">
        <v>-523.84400464960208</v>
      </c>
      <c r="E21" s="23">
        <v>0</v>
      </c>
      <c r="F21" s="23">
        <f t="shared" si="0"/>
        <v>119514.1559953504</v>
      </c>
      <c r="O21" s="20"/>
      <c r="P21" s="20"/>
      <c r="Q21" s="20"/>
      <c r="R21" s="20"/>
      <c r="S21" s="20"/>
      <c r="T21" s="20"/>
      <c r="U21" s="20"/>
      <c r="V21" s="20"/>
    </row>
    <row r="22" spans="1:22" x14ac:dyDescent="0.2">
      <c r="A22" s="29" t="s">
        <v>240</v>
      </c>
      <c r="B22" s="29">
        <v>1</v>
      </c>
      <c r="C22" s="23">
        <v>15827794</v>
      </c>
      <c r="D22" s="23">
        <v>-355481.78005364619</v>
      </c>
      <c r="E22" s="23">
        <v>0</v>
      </c>
      <c r="F22" s="23">
        <f t="shared" si="0"/>
        <v>15472312.219946355</v>
      </c>
      <c r="O22" s="20"/>
      <c r="P22" s="20"/>
      <c r="Q22" s="20"/>
      <c r="R22" s="20"/>
      <c r="S22" s="20"/>
      <c r="T22" s="20"/>
      <c r="U22" s="20"/>
      <c r="V22" s="20"/>
    </row>
    <row r="23" spans="1:22" x14ac:dyDescent="0.2">
      <c r="A23" s="29" t="s">
        <v>246</v>
      </c>
      <c r="B23" s="29"/>
      <c r="C23" s="23">
        <v>-5528</v>
      </c>
      <c r="D23" s="23">
        <v>5528</v>
      </c>
      <c r="E23" s="23">
        <v>0</v>
      </c>
      <c r="F23" s="23">
        <f t="shared" si="0"/>
        <v>0</v>
      </c>
      <c r="O23" s="20"/>
      <c r="P23" s="20"/>
      <c r="Q23" s="20"/>
      <c r="R23" s="20"/>
      <c r="S23" s="20"/>
      <c r="T23" s="20"/>
      <c r="U23" s="20"/>
      <c r="V23" s="20"/>
    </row>
    <row r="24" spans="1:22" x14ac:dyDescent="0.2">
      <c r="A24" s="29" t="s">
        <v>243</v>
      </c>
      <c r="B24" s="29">
        <v>2</v>
      </c>
      <c r="C24" s="23">
        <v>1041719</v>
      </c>
      <c r="D24" s="23">
        <v>-4653.8879411311009</v>
      </c>
      <c r="E24" s="23">
        <v>0</v>
      </c>
      <c r="F24" s="23">
        <f t="shared" si="0"/>
        <v>1037065.1120588689</v>
      </c>
      <c r="O24" s="20"/>
      <c r="P24" s="20"/>
      <c r="Q24" s="20"/>
      <c r="R24" s="20"/>
      <c r="S24" s="20"/>
      <c r="T24" s="20"/>
      <c r="U24" s="20"/>
      <c r="V24" s="20"/>
    </row>
    <row r="25" spans="1:22" x14ac:dyDescent="0.2">
      <c r="A25" s="29" t="s">
        <v>245</v>
      </c>
      <c r="B25" s="29">
        <v>1</v>
      </c>
      <c r="C25" s="23">
        <v>137619</v>
      </c>
      <c r="D25" s="23">
        <v>-353.42526266475465</v>
      </c>
      <c r="E25" s="23">
        <v>0</v>
      </c>
      <c r="F25" s="23">
        <f t="shared" si="0"/>
        <v>137265.57473733524</v>
      </c>
      <c r="O25" s="20"/>
      <c r="P25" s="20"/>
      <c r="Q25" s="20"/>
      <c r="R25" s="20"/>
      <c r="S25" s="20"/>
      <c r="T25" s="20"/>
      <c r="U25" s="20"/>
      <c r="V25" s="20"/>
    </row>
    <row r="26" spans="1:22" x14ac:dyDescent="0.2">
      <c r="A26" s="29" t="s">
        <v>240</v>
      </c>
      <c r="B26" s="29">
        <v>1</v>
      </c>
      <c r="C26" s="23">
        <v>63437</v>
      </c>
      <c r="D26" s="23">
        <v>-520.68679620414434</v>
      </c>
      <c r="E26" s="23">
        <v>0</v>
      </c>
      <c r="F26" s="23">
        <f t="shared" si="0"/>
        <v>62916.313203795857</v>
      </c>
      <c r="I26" s="23"/>
      <c r="O26" s="20"/>
      <c r="P26" s="20"/>
      <c r="Q26" s="20"/>
      <c r="R26" s="20"/>
      <c r="S26" s="20"/>
      <c r="T26" s="20"/>
      <c r="U26" s="20"/>
      <c r="V26" s="20"/>
    </row>
    <row r="27" spans="1:22" x14ac:dyDescent="0.2">
      <c r="A27" s="29" t="s">
        <v>247</v>
      </c>
      <c r="B27" s="29"/>
      <c r="C27" s="23">
        <v>4658818</v>
      </c>
      <c r="D27" s="23">
        <v>0</v>
      </c>
      <c r="E27" s="23">
        <v>-4658818</v>
      </c>
      <c r="F27" s="23">
        <f t="shared" si="0"/>
        <v>0</v>
      </c>
      <c r="O27" s="20"/>
      <c r="P27" s="20"/>
      <c r="Q27" s="20"/>
      <c r="R27" s="20"/>
      <c r="S27" s="20"/>
      <c r="T27" s="20"/>
      <c r="U27" s="20"/>
      <c r="V27" s="20"/>
    </row>
    <row r="28" spans="1:22" x14ac:dyDescent="0.2">
      <c r="A28" s="29" t="s">
        <v>248</v>
      </c>
      <c r="B28" s="29"/>
      <c r="C28" s="23">
        <v>588840</v>
      </c>
      <c r="D28" s="23">
        <v>0</v>
      </c>
      <c r="E28" s="23">
        <v>-588840</v>
      </c>
      <c r="F28" s="23">
        <f t="shared" si="0"/>
        <v>0</v>
      </c>
      <c r="O28" s="20"/>
      <c r="P28" s="20"/>
      <c r="Q28" s="20"/>
      <c r="R28" s="20"/>
      <c r="S28" s="20"/>
      <c r="T28" s="20"/>
      <c r="U28" s="20"/>
      <c r="V28" s="20"/>
    </row>
    <row r="29" spans="1:22" x14ac:dyDescent="0.2">
      <c r="A29" s="29" t="s">
        <v>249</v>
      </c>
      <c r="B29" s="29">
        <v>3</v>
      </c>
      <c r="C29" s="23">
        <v>665633</v>
      </c>
      <c r="D29" s="23">
        <v>0</v>
      </c>
      <c r="E29" s="23">
        <v>8293.8734343140113</v>
      </c>
      <c r="F29" s="23">
        <f t="shared" si="0"/>
        <v>673926.87343431404</v>
      </c>
      <c r="I29" s="32"/>
      <c r="O29" s="20"/>
      <c r="P29" s="20"/>
      <c r="Q29" s="20"/>
      <c r="R29" s="20"/>
      <c r="S29" s="20"/>
      <c r="T29" s="20"/>
      <c r="U29" s="20"/>
      <c r="V29" s="20"/>
    </row>
    <row r="30" spans="1:22" x14ac:dyDescent="0.2">
      <c r="A30" s="29" t="s">
        <v>250</v>
      </c>
      <c r="B30" s="29">
        <v>3</v>
      </c>
      <c r="C30" s="23">
        <v>31214361</v>
      </c>
      <c r="D30" s="23">
        <v>0</v>
      </c>
      <c r="E30" s="23">
        <v>329935.96246449894</v>
      </c>
      <c r="F30" s="23">
        <f t="shared" si="0"/>
        <v>31544296.9624645</v>
      </c>
      <c r="O30" s="20"/>
      <c r="P30" s="20"/>
      <c r="Q30" s="20"/>
      <c r="R30" s="20"/>
      <c r="S30" s="20"/>
      <c r="T30" s="20"/>
      <c r="U30" s="20"/>
      <c r="V30" s="20"/>
    </row>
    <row r="31" spans="1:22" x14ac:dyDescent="0.2">
      <c r="A31" s="29" t="s">
        <v>251</v>
      </c>
      <c r="B31" s="29">
        <v>2</v>
      </c>
      <c r="C31" s="23">
        <v>8353639</v>
      </c>
      <c r="D31" s="23">
        <v>0</v>
      </c>
      <c r="E31" s="23">
        <v>134548.36457498907</v>
      </c>
      <c r="F31" s="23">
        <f t="shared" si="0"/>
        <v>8488187.3645749893</v>
      </c>
      <c r="O31" s="20"/>
      <c r="P31" s="20"/>
      <c r="Q31" s="20"/>
      <c r="R31" s="20"/>
      <c r="S31" s="20"/>
      <c r="T31" s="20"/>
      <c r="U31" s="20"/>
      <c r="V31" s="20"/>
    </row>
    <row r="32" spans="1:22" x14ac:dyDescent="0.2">
      <c r="A32" s="29" t="s">
        <v>252</v>
      </c>
      <c r="B32" s="29">
        <v>2</v>
      </c>
      <c r="C32" s="23">
        <v>8400354</v>
      </c>
      <c r="D32" s="23">
        <v>0</v>
      </c>
      <c r="E32" s="23">
        <v>107798.52337378022</v>
      </c>
      <c r="F32" s="23">
        <f t="shared" si="0"/>
        <v>8508152.5233737808</v>
      </c>
      <c r="O32" s="20"/>
      <c r="P32" s="20"/>
      <c r="Q32" s="20"/>
      <c r="R32" s="20"/>
      <c r="S32" s="20"/>
      <c r="T32" s="20"/>
      <c r="U32" s="20"/>
      <c r="V32" s="20"/>
    </row>
    <row r="33" spans="1:26" x14ac:dyDescent="0.2">
      <c r="A33" s="29" t="s">
        <v>253</v>
      </c>
      <c r="B33" s="29">
        <v>1</v>
      </c>
      <c r="C33" s="23">
        <v>479741</v>
      </c>
      <c r="D33" s="23">
        <v>0</v>
      </c>
      <c r="E33" s="23">
        <v>8147.41965618628</v>
      </c>
      <c r="F33" s="23">
        <f t="shared" si="0"/>
        <v>487888.41965618631</v>
      </c>
      <c r="O33" s="20"/>
      <c r="P33" s="20"/>
      <c r="Q33" s="20"/>
      <c r="R33" s="20"/>
      <c r="S33" s="20"/>
      <c r="T33" s="20"/>
      <c r="U33" s="20"/>
      <c r="V33" s="20"/>
    </row>
    <row r="34" spans="1:26" x14ac:dyDescent="0.2">
      <c r="A34" s="29" t="s">
        <v>254</v>
      </c>
      <c r="B34" s="29">
        <v>1</v>
      </c>
      <c r="C34" s="23">
        <v>12325</v>
      </c>
      <c r="D34" s="23">
        <v>0</v>
      </c>
      <c r="E34" s="23">
        <v>115.85649623143024</v>
      </c>
      <c r="F34" s="23">
        <f t="shared" si="0"/>
        <v>12440.85649623143</v>
      </c>
      <c r="O34" s="20"/>
      <c r="P34" s="20"/>
      <c r="Q34" s="20"/>
      <c r="R34" s="20"/>
      <c r="S34" s="20"/>
      <c r="T34" s="20"/>
      <c r="U34" s="20"/>
      <c r="V34" s="20"/>
    </row>
    <row r="35" spans="1:26" s="2" customFormat="1" x14ac:dyDescent="0.2">
      <c r="A35" s="21"/>
      <c r="B35" s="21"/>
      <c r="C35" s="20"/>
      <c r="D35" s="20"/>
      <c r="E35" s="20"/>
      <c r="F35" s="20"/>
      <c r="U35" s="20"/>
      <c r="V35" s="20"/>
      <c r="W35" s="20"/>
      <c r="X35" s="20"/>
      <c r="Y35" s="20"/>
      <c r="Z35" s="20"/>
    </row>
    <row r="36" spans="1:26" s="2" customFormat="1" ht="15.75" thickBot="1" x14ac:dyDescent="0.3">
      <c r="A36" s="21"/>
      <c r="B36" s="21"/>
      <c r="C36"/>
      <c r="D36"/>
      <c r="E36"/>
      <c r="F36" s="33">
        <f>+SUM(F13:F34)</f>
        <v>146819278.00000003</v>
      </c>
      <c r="U36" s="20"/>
      <c r="V36" s="20"/>
      <c r="W36" s="20"/>
      <c r="X36" s="20"/>
      <c r="Y36" s="20"/>
      <c r="Z36" s="20"/>
    </row>
    <row r="37" spans="1:26" s="2" customFormat="1" ht="13.5" thickTop="1" x14ac:dyDescent="0.2">
      <c r="A37" s="21"/>
      <c r="B37" s="21"/>
      <c r="C37" s="20"/>
      <c r="D37" s="20"/>
      <c r="E37" s="20"/>
      <c r="F37" s="20"/>
      <c r="G37" s="20"/>
      <c r="H37" s="20"/>
      <c r="I37" s="20"/>
      <c r="J37" s="20"/>
      <c r="W37" s="20"/>
      <c r="X37" s="20"/>
      <c r="Y37" s="20"/>
      <c r="Z37" s="20"/>
    </row>
    <row r="38" spans="1:26" s="2" customFormat="1" x14ac:dyDescent="0.2">
      <c r="A38" s="20"/>
      <c r="B38" s="23"/>
      <c r="C38" s="20"/>
      <c r="D38" s="20"/>
      <c r="E38" s="20"/>
      <c r="F38" s="20"/>
      <c r="G38" s="20"/>
      <c r="Q38" s="20"/>
      <c r="R38" s="20"/>
      <c r="S38" s="20"/>
      <c r="T38" s="20"/>
    </row>
    <row r="39" spans="1:26" s="2" customFormat="1" x14ac:dyDescent="0.2">
      <c r="A39" s="23"/>
      <c r="B39" s="23"/>
      <c r="C39" s="20"/>
      <c r="D39" s="20"/>
      <c r="E39" s="20"/>
      <c r="F39" s="20"/>
      <c r="G39" s="20"/>
      <c r="Q39" s="20"/>
      <c r="R39" s="20"/>
      <c r="S39" s="20"/>
      <c r="T39" s="20"/>
    </row>
    <row r="40" spans="1:26" s="2" customFormat="1" x14ac:dyDescent="0.2">
      <c r="A40" s="20"/>
      <c r="B40" s="23"/>
      <c r="C40" s="20"/>
      <c r="D40" s="20"/>
      <c r="E40" s="20"/>
      <c r="F40" s="20"/>
      <c r="G40" s="20"/>
      <c r="Q40" s="20"/>
      <c r="R40" s="20"/>
      <c r="S40" s="20"/>
      <c r="T40" s="20"/>
    </row>
    <row r="41" spans="1:26" s="2" customFormat="1" x14ac:dyDescent="0.2">
      <c r="A41" s="20"/>
      <c r="B41" s="23"/>
      <c r="C41" s="20"/>
      <c r="D41" s="20"/>
      <c r="E41" s="20"/>
      <c r="F41" s="20"/>
      <c r="G41" s="20"/>
      <c r="Q41" s="20"/>
      <c r="R41" s="20"/>
      <c r="S41" s="20"/>
      <c r="T41" s="20"/>
    </row>
    <row r="42" spans="1:26" s="2" customFormat="1" x14ac:dyDescent="0.2">
      <c r="A42" s="20"/>
      <c r="B42" s="20"/>
      <c r="C42" s="20"/>
      <c r="D42" s="20"/>
      <c r="E42" s="23"/>
      <c r="F42" s="20"/>
      <c r="G42" s="20"/>
      <c r="Q42" s="20"/>
      <c r="R42" s="20"/>
      <c r="S42" s="20"/>
      <c r="T42" s="20"/>
    </row>
    <row r="43" spans="1:26" s="2" customFormat="1" x14ac:dyDescent="0.2">
      <c r="A43" s="20"/>
      <c r="B43" s="20"/>
      <c r="C43" s="20"/>
      <c r="D43" s="20"/>
      <c r="E43" s="20"/>
      <c r="F43" s="20"/>
      <c r="G43" s="20"/>
      <c r="Q43" s="20"/>
      <c r="R43" s="20"/>
      <c r="S43" s="20"/>
      <c r="T43" s="20"/>
    </row>
    <row r="44" spans="1:26" s="2" customFormat="1" x14ac:dyDescent="0.2">
      <c r="Q44" s="20"/>
      <c r="R44" s="20"/>
      <c r="S44" s="20"/>
      <c r="T44" s="20"/>
    </row>
    <row r="45" spans="1:26" s="2" customFormat="1" x14ac:dyDescent="0.2">
      <c r="Q45" s="20"/>
      <c r="R45" s="20"/>
      <c r="S45" s="20"/>
      <c r="T45" s="20"/>
    </row>
    <row r="46" spans="1:26" s="2" customFormat="1" x14ac:dyDescent="0.2">
      <c r="A46" s="21"/>
      <c r="B46" s="21"/>
      <c r="C46" s="34"/>
      <c r="D46" s="34"/>
      <c r="E46" s="34"/>
      <c r="F46" s="34"/>
      <c r="W46" s="20"/>
      <c r="X46" s="20"/>
      <c r="Y46" s="20"/>
      <c r="Z46" s="20"/>
    </row>
    <row r="47" spans="1:26" s="2" customFormat="1" x14ac:dyDescent="0.2">
      <c r="A47" s="21"/>
      <c r="B47" s="21"/>
      <c r="C47" s="34"/>
      <c r="D47" s="34"/>
      <c r="E47" s="34"/>
      <c r="F47" s="34"/>
      <c r="W47" s="20"/>
      <c r="X47" s="20"/>
      <c r="Y47" s="20"/>
      <c r="Z47" s="20"/>
    </row>
    <row r="48" spans="1:26" s="2" customFormat="1" x14ac:dyDescent="0.2">
      <c r="A48" s="21"/>
      <c r="B48" s="21"/>
      <c r="C48" s="34"/>
      <c r="D48" s="34"/>
      <c r="E48" s="34"/>
      <c r="F48" s="34"/>
      <c r="W48" s="20"/>
      <c r="X48" s="20"/>
      <c r="Y48" s="20"/>
      <c r="Z48" s="20"/>
    </row>
    <row r="49" spans="1:26" s="2" customFormat="1" x14ac:dyDescent="0.2">
      <c r="A49" s="21"/>
      <c r="B49" s="21"/>
      <c r="C49" s="34"/>
      <c r="D49" s="34"/>
      <c r="E49" s="34"/>
      <c r="F49" s="34"/>
      <c r="W49" s="20"/>
      <c r="X49" s="20"/>
      <c r="Y49" s="20"/>
      <c r="Z49" s="20"/>
    </row>
    <row r="50" spans="1:26" s="2" customFormat="1" x14ac:dyDescent="0.2">
      <c r="A50" s="21"/>
      <c r="B50" s="21"/>
      <c r="C50" s="34"/>
      <c r="D50" s="34"/>
      <c r="E50" s="34"/>
      <c r="F50" s="34"/>
      <c r="W50" s="20"/>
      <c r="X50" s="20"/>
      <c r="Y50" s="20"/>
      <c r="Z50" s="20"/>
    </row>
    <row r="51" spans="1:26" s="2" customFormat="1" x14ac:dyDescent="0.2">
      <c r="A51" s="21"/>
      <c r="B51" s="21"/>
      <c r="C51" s="34"/>
      <c r="D51" s="21"/>
      <c r="E51" s="21"/>
      <c r="F51" s="21"/>
      <c r="G51" s="34"/>
      <c r="H51" s="20"/>
      <c r="I51" s="20"/>
      <c r="J51" s="20"/>
      <c r="K51" s="20"/>
      <c r="L51" s="20"/>
      <c r="M51" s="20"/>
      <c r="N51" s="20"/>
      <c r="W51" s="20"/>
      <c r="X51" s="20"/>
      <c r="Y51" s="20"/>
      <c r="Z51" s="20"/>
    </row>
    <row r="52" spans="1:26" s="2" customFormat="1" x14ac:dyDescent="0.2">
      <c r="A52" s="21"/>
      <c r="B52" s="21"/>
      <c r="C52" s="34"/>
      <c r="D52" s="21"/>
      <c r="E52" s="21"/>
      <c r="F52" s="21"/>
      <c r="G52" s="34"/>
      <c r="H52" s="20"/>
      <c r="I52" s="20"/>
      <c r="J52" s="20"/>
      <c r="K52" s="20"/>
      <c r="L52" s="20"/>
      <c r="M52" s="20"/>
      <c r="N52" s="20"/>
      <c r="W52" s="20"/>
      <c r="X52" s="20"/>
      <c r="Y52" s="20"/>
      <c r="Z52" s="20"/>
    </row>
    <row r="53" spans="1:26" x14ac:dyDescent="0.2">
      <c r="C53" s="34"/>
      <c r="D53" s="21"/>
      <c r="E53" s="21"/>
      <c r="F53" s="21"/>
      <c r="G53" s="34"/>
    </row>
    <row r="54" spans="1:26" x14ac:dyDescent="0.2">
      <c r="C54" s="34"/>
      <c r="D54" s="21"/>
      <c r="E54" s="21"/>
      <c r="F54" s="21"/>
      <c r="G54" s="34"/>
    </row>
    <row r="55" spans="1:26" x14ac:dyDescent="0.2">
      <c r="C55" s="34"/>
      <c r="D55" s="34"/>
      <c r="E55" s="34"/>
      <c r="F55" s="34"/>
      <c r="G55" s="23"/>
    </row>
    <row r="56" spans="1:26" x14ac:dyDescent="0.2">
      <c r="C56" s="34"/>
      <c r="D56" s="34"/>
      <c r="E56" s="34"/>
      <c r="F56" s="34"/>
    </row>
    <row r="57" spans="1:26" x14ac:dyDescent="0.2">
      <c r="C57" s="34"/>
      <c r="D57" s="34"/>
      <c r="E57" s="34"/>
      <c r="F57" s="34"/>
    </row>
    <row r="58" spans="1:26" x14ac:dyDescent="0.2">
      <c r="C58" s="34"/>
      <c r="D58" s="34"/>
      <c r="E58" s="34"/>
      <c r="F58" s="34"/>
    </row>
    <row r="59" spans="1:26" x14ac:dyDescent="0.2">
      <c r="C59" s="34"/>
      <c r="D59" s="34"/>
      <c r="E59" s="34"/>
      <c r="F59" s="34"/>
    </row>
    <row r="60" spans="1:26" x14ac:dyDescent="0.2">
      <c r="C60" s="34"/>
      <c r="D60" s="34"/>
      <c r="E60" s="34"/>
      <c r="F60" s="34"/>
    </row>
    <row r="61" spans="1:26" x14ac:dyDescent="0.2">
      <c r="C61" s="34"/>
      <c r="D61" s="34"/>
      <c r="E61" s="34"/>
      <c r="F61" s="34"/>
    </row>
    <row r="62" spans="1:26" x14ac:dyDescent="0.2">
      <c r="C62" s="34"/>
      <c r="D62" s="34"/>
      <c r="E62" s="34"/>
      <c r="F62" s="34"/>
    </row>
    <row r="63" spans="1:26" x14ac:dyDescent="0.2">
      <c r="C63" s="34"/>
      <c r="D63" s="34"/>
      <c r="E63" s="34"/>
      <c r="F63" s="34"/>
    </row>
    <row r="64" spans="1:26" x14ac:dyDescent="0.2">
      <c r="C64" s="34"/>
      <c r="D64" s="34"/>
      <c r="E64" s="34"/>
      <c r="F64" s="34"/>
    </row>
    <row r="65" spans="3:6" x14ac:dyDescent="0.2">
      <c r="C65" s="34"/>
      <c r="D65" s="34"/>
      <c r="E65" s="34"/>
      <c r="F65" s="34"/>
    </row>
    <row r="66" spans="3:6" x14ac:dyDescent="0.2">
      <c r="C66" s="34"/>
      <c r="D66" s="34"/>
      <c r="E66" s="34"/>
      <c r="F66" s="34"/>
    </row>
    <row r="67" spans="3:6" x14ac:dyDescent="0.2">
      <c r="C67" s="34"/>
      <c r="D67" s="34"/>
      <c r="E67" s="34"/>
      <c r="F67" s="34"/>
    </row>
    <row r="68" spans="3:6" x14ac:dyDescent="0.2">
      <c r="C68" s="34"/>
      <c r="D68" s="34"/>
      <c r="E68" s="34"/>
      <c r="F68" s="34"/>
    </row>
    <row r="69" spans="3:6" x14ac:dyDescent="0.2">
      <c r="C69" s="34"/>
      <c r="D69" s="34"/>
      <c r="E69" s="34"/>
      <c r="F69" s="34"/>
    </row>
    <row r="70" spans="3:6" x14ac:dyDescent="0.2">
      <c r="C70" s="34"/>
      <c r="D70" s="34"/>
      <c r="E70" s="34"/>
      <c r="F70" s="34"/>
    </row>
  </sheetData>
  <pageMargins left="0.7" right="0.7" top="1.375" bottom="0.75" header="0.3" footer="0.3"/>
  <pageSetup scale="60" orientation="landscape" useFirstPageNumber="1" r:id="rId1"/>
  <headerFooter alignWithMargins="0">
    <oddHeader>&amp;CRULE 20:10:13:97
STATEMENT N
South Dakota Jurisdictional Sales by Rate Code and Total Company
Test Year Ending December 31, 2021
Utility: MidAmerican Energy Company
Docket No. NG22-___
Individual Responsible: Amanda Hosch</oddHeader>
    <oddFooter>&amp;C20:10:13:97
Statement N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5D2D-5142-4FFE-840C-6666F3FCC0C7}">
  <sheetPr>
    <pageSetUpPr fitToPage="1"/>
  </sheetPr>
  <dimension ref="A1:I13"/>
  <sheetViews>
    <sheetView view="pageLayout" zoomScaleNormal="100" workbookViewId="0"/>
  </sheetViews>
  <sheetFormatPr defaultRowHeight="12.75" x14ac:dyDescent="0.2"/>
  <cols>
    <col min="1" max="1" width="9.140625" style="36"/>
    <col min="2" max="2" width="32.7109375" style="36" customWidth="1"/>
    <col min="3" max="3" width="12.85546875" style="36" customWidth="1"/>
    <col min="4" max="5" width="13.140625" style="36" customWidth="1"/>
    <col min="6" max="6" width="14" style="36" bestFit="1" customWidth="1"/>
    <col min="7" max="7" width="15.7109375" style="36" bestFit="1" customWidth="1"/>
    <col min="8" max="8" width="14.5703125" style="36" customWidth="1"/>
    <col min="9" max="16384" width="9.140625" style="36"/>
  </cols>
  <sheetData>
    <row r="1" spans="1:9" x14ac:dyDescent="0.2">
      <c r="B1" s="37"/>
      <c r="C1" s="38"/>
      <c r="D1" s="38"/>
      <c r="E1" s="38"/>
      <c r="F1" s="38" t="s">
        <v>222</v>
      </c>
      <c r="G1" s="39" t="s">
        <v>222</v>
      </c>
      <c r="H1" s="39" t="s">
        <v>1</v>
      </c>
      <c r="I1" s="37"/>
    </row>
    <row r="2" spans="1:9" x14ac:dyDescent="0.2">
      <c r="A2" s="55" t="s">
        <v>255</v>
      </c>
      <c r="B2" s="55" t="s">
        <v>14</v>
      </c>
      <c r="C2" s="40" t="s">
        <v>223</v>
      </c>
      <c r="D2" s="40" t="s">
        <v>224</v>
      </c>
      <c r="E2" s="40" t="s">
        <v>225</v>
      </c>
      <c r="F2" s="40" t="s">
        <v>1</v>
      </c>
      <c r="G2" s="40" t="s">
        <v>256</v>
      </c>
      <c r="H2" s="40" t="s">
        <v>257</v>
      </c>
      <c r="I2" s="40" t="s">
        <v>258</v>
      </c>
    </row>
    <row r="3" spans="1:9" x14ac:dyDescent="0.2">
      <c r="A3" s="54"/>
      <c r="B3" s="54" t="s">
        <v>26</v>
      </c>
      <c r="C3" s="43" t="s">
        <v>27</v>
      </c>
      <c r="D3" s="43" t="s">
        <v>28</v>
      </c>
      <c r="E3" s="43" t="s">
        <v>29</v>
      </c>
      <c r="F3" s="43" t="s">
        <v>30</v>
      </c>
      <c r="G3" s="43" t="s">
        <v>31</v>
      </c>
      <c r="H3" s="43" t="s">
        <v>32</v>
      </c>
      <c r="I3" s="43" t="s">
        <v>33</v>
      </c>
    </row>
    <row r="4" spans="1:9" x14ac:dyDescent="0.2">
      <c r="B4" s="41" t="s">
        <v>259</v>
      </c>
      <c r="C4" s="42"/>
      <c r="D4" s="42"/>
      <c r="E4" s="42"/>
      <c r="F4" s="42"/>
      <c r="G4" s="42"/>
      <c r="H4" s="42"/>
      <c r="I4" s="43"/>
    </row>
    <row r="5" spans="1:9" x14ac:dyDescent="0.2">
      <c r="A5" s="54">
        <v>1</v>
      </c>
      <c r="B5" s="44" t="s">
        <v>260</v>
      </c>
      <c r="C5" s="45">
        <v>857228.61132008152</v>
      </c>
      <c r="D5" s="45">
        <v>365340.22413762007</v>
      </c>
      <c r="E5" s="45">
        <v>152224.4816451185</v>
      </c>
      <c r="F5" s="46">
        <f>SUM(C5:E5)</f>
        <v>1374793.3171028201</v>
      </c>
      <c r="G5" s="46">
        <v>12434250</v>
      </c>
      <c r="H5" s="47"/>
      <c r="I5" s="37" t="s">
        <v>261</v>
      </c>
    </row>
    <row r="6" spans="1:9" x14ac:dyDescent="0.2">
      <c r="A6" s="54">
        <f>+A5+1</f>
        <v>2</v>
      </c>
      <c r="B6" s="37" t="s">
        <v>262</v>
      </c>
      <c r="C6" s="50">
        <v>1</v>
      </c>
      <c r="D6" s="50">
        <v>1</v>
      </c>
      <c r="E6" s="50">
        <v>1</v>
      </c>
      <c r="F6" s="51">
        <v>1</v>
      </c>
      <c r="G6" s="50">
        <v>1</v>
      </c>
      <c r="H6" s="48"/>
      <c r="I6" s="37" t="s">
        <v>263</v>
      </c>
    </row>
    <row r="7" spans="1:9" ht="13.5" thickBot="1" x14ac:dyDescent="0.25">
      <c r="A7" s="54">
        <f>+A6+1</f>
        <v>3</v>
      </c>
      <c r="B7" s="37" t="s">
        <v>264</v>
      </c>
      <c r="C7" s="49">
        <f>C5*C6</f>
        <v>857228.61132008152</v>
      </c>
      <c r="D7" s="49">
        <f t="shared" ref="D7:G7" si="0">D5*D6</f>
        <v>365340.22413762007</v>
      </c>
      <c r="E7" s="49">
        <f t="shared" si="0"/>
        <v>152224.4816451185</v>
      </c>
      <c r="F7" s="49">
        <f t="shared" si="0"/>
        <v>1374793.3171028201</v>
      </c>
      <c r="G7" s="49">
        <f t="shared" si="0"/>
        <v>12434250</v>
      </c>
      <c r="H7" s="52">
        <f>F7/G7</f>
        <v>0.11056503746529306</v>
      </c>
      <c r="I7" s="37" t="s">
        <v>265</v>
      </c>
    </row>
    <row r="8" spans="1:9" ht="13.5" thickTop="1" x14ac:dyDescent="0.2">
      <c r="A8" s="54"/>
      <c r="B8" s="37"/>
      <c r="C8" s="37"/>
      <c r="D8" s="37"/>
      <c r="E8" s="37"/>
      <c r="F8" s="37"/>
      <c r="G8" s="37"/>
      <c r="H8" s="37"/>
      <c r="I8" s="37"/>
    </row>
    <row r="9" spans="1:9" x14ac:dyDescent="0.2">
      <c r="A9" s="54"/>
      <c r="B9" s="41" t="s">
        <v>266</v>
      </c>
      <c r="C9" s="37"/>
      <c r="D9" s="37"/>
      <c r="E9" s="37"/>
      <c r="F9" s="37"/>
      <c r="G9" s="37"/>
      <c r="H9" s="37"/>
      <c r="I9" s="37"/>
    </row>
    <row r="10" spans="1:9" x14ac:dyDescent="0.2">
      <c r="A10" s="54">
        <f>+A7+1</f>
        <v>4</v>
      </c>
      <c r="B10" s="37" t="s">
        <v>267</v>
      </c>
      <c r="C10" s="53">
        <f>'Statement N(4)'!C3</f>
        <v>73744369.689338818</v>
      </c>
      <c r="D10" s="53">
        <f>'Statement N(4)'!D3</f>
        <v>40080907.520729132</v>
      </c>
      <c r="E10" s="53">
        <f>'Statement N(4)'!E3</f>
        <v>32994000.789932065</v>
      </c>
      <c r="F10" s="53">
        <f>SUM(C10:E10)</f>
        <v>146819278.00000003</v>
      </c>
      <c r="G10" s="53">
        <f>'Statement N(4)'!G3</f>
        <v>1902105516</v>
      </c>
      <c r="H10" s="53"/>
      <c r="I10" s="37" t="s">
        <v>268</v>
      </c>
    </row>
    <row r="11" spans="1:9" x14ac:dyDescent="0.2">
      <c r="A11" s="54">
        <f>+A10+1</f>
        <v>5</v>
      </c>
      <c r="B11" s="37" t="s">
        <v>262</v>
      </c>
      <c r="C11" s="50">
        <v>1</v>
      </c>
      <c r="D11" s="50">
        <v>1</v>
      </c>
      <c r="E11" s="50">
        <v>1</v>
      </c>
      <c r="F11" s="51">
        <v>1</v>
      </c>
      <c r="G11" s="50">
        <v>1</v>
      </c>
      <c r="H11" s="37"/>
      <c r="I11" s="37" t="s">
        <v>263</v>
      </c>
    </row>
    <row r="12" spans="1:9" ht="13.5" thickBot="1" x14ac:dyDescent="0.25">
      <c r="A12" s="54">
        <f>+A11+1</f>
        <v>6</v>
      </c>
      <c r="B12" s="37" t="s">
        <v>269</v>
      </c>
      <c r="C12" s="49">
        <f>C10*C11</f>
        <v>73744369.689338818</v>
      </c>
      <c r="D12" s="49">
        <f t="shared" ref="D12:G12" si="1">D10*D11</f>
        <v>40080907.520729132</v>
      </c>
      <c r="E12" s="49">
        <f t="shared" si="1"/>
        <v>32994000.789932065</v>
      </c>
      <c r="F12" s="49">
        <f t="shared" si="1"/>
        <v>146819278.00000003</v>
      </c>
      <c r="G12" s="49">
        <f t="shared" si="1"/>
        <v>1902105516</v>
      </c>
      <c r="H12" s="52">
        <f>F12/G12</f>
        <v>7.7187767326783799E-2</v>
      </c>
      <c r="I12" s="37" t="s">
        <v>270</v>
      </c>
    </row>
    <row r="13" spans="1:9" ht="13.5" thickTop="1" x14ac:dyDescent="0.2"/>
  </sheetData>
  <pageMargins left="0.7" right="0.7" top="1.4012500000000001" bottom="0.75" header="0.3" footer="0.3"/>
  <pageSetup scale="50" orientation="portrait" r:id="rId1"/>
  <headerFooter>
    <oddHeader>&amp;CRULE 20:10:13:97
STATEMENT N
South Dakota Jurisdictional Sales and Total Company Sales During Peak
Test Year Ending December 31, 2021
Utility: MidAmerican Energy Company
Docket No. NG22-___
Individual Responsible: Amanda Hosch</oddHeader>
    <oddFooter>&amp;C20:10:13:97
Statement N
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0A82-E4E8-4340-9FE3-AE413B246570}">
  <dimension ref="A1"/>
  <sheetViews>
    <sheetView view="pageLayout" zoomScaleNormal="100" workbookViewId="0"/>
  </sheetViews>
  <sheetFormatPr defaultRowHeight="15" x14ac:dyDescent="0.25"/>
  <sheetData>
    <row r="1" spans="1:1" x14ac:dyDescent="0.25">
      <c r="A1" t="s">
        <v>271</v>
      </c>
    </row>
  </sheetData>
  <pageMargins left="0.7" right="0.7" top="2.25" bottom="1.1458333333333333" header="0.3" footer="0.3"/>
  <pageSetup orientation="portrait" r:id="rId1"/>
  <headerFooter>
    <oddHeader>&amp;CRULE 20:10:13:97
STATEMENT N
Functional Allocations
Test Year Ending December 31, 2021
Utility: MidAmerican Energy Company
Docket No. NG22-___
Individual Responsible: Amanda Hosch</oddHeader>
    <oddFooter>&amp;C20:10:13:97
Statement N
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2231-1C59-4067-AE2D-FF174BA34E5A}">
  <dimension ref="A1"/>
  <sheetViews>
    <sheetView view="pageLayout" zoomScaleNormal="100" workbookViewId="0"/>
  </sheetViews>
  <sheetFormatPr defaultRowHeight="15" x14ac:dyDescent="0.25"/>
  <sheetData>
    <row r="1" spans="1:1" x14ac:dyDescent="0.25">
      <c r="A1" t="s">
        <v>272</v>
      </c>
    </row>
  </sheetData>
  <pageMargins left="0.7" right="0.7" top="2.1041666666666665" bottom="1.28125" header="0.3" footer="0.3"/>
  <pageSetup orientation="portrait" r:id="rId1"/>
  <headerFooter>
    <oddHeader>&amp;CRULE 20:10:13:97
STATEMENT N
Classification of Operation and Maintenance Expense to Demand, Energy, and Customer
Test Year Ending December 31, 2021
Utility: MidAmerican Energy Company
Docket No. NG22-___
Individual Responsible: Amanda Hosch</oddHeader>
    <oddFooter>&amp;C20:10:13:97
Statement N
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2722CD-D9A7-46ED-8F60-474B087EF1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1D1C89-CC3D-4796-BE3E-C4B35646F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F6F3AE-215A-4F2B-88A5-3261E059771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Statement N(1)</vt:lpstr>
      <vt:lpstr>Statement N(2)</vt:lpstr>
      <vt:lpstr>Statement N(3)</vt:lpstr>
      <vt:lpstr>Statement N(4)</vt:lpstr>
      <vt:lpstr>Statement N(5)</vt:lpstr>
      <vt:lpstr>Statement N(6)</vt:lpstr>
      <vt:lpstr>Statement N(7)</vt:lpstr>
      <vt:lpstr>'Statement N(1)'!Print_Area</vt:lpstr>
      <vt:lpstr>'Statement N(2)'!Print_Area</vt:lpstr>
      <vt:lpstr>'Statement N(3)'!Print_Area</vt:lpstr>
      <vt:lpstr>'Statement N(1)'!Print_Titles</vt:lpstr>
      <vt:lpstr>'Statement N(4)'!Print_Titles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Davison, Seth A</dc:creator>
  <cp:keywords/>
  <dc:description/>
  <cp:lastModifiedBy>White, Renee (MidAmerican)</cp:lastModifiedBy>
  <cp:revision/>
  <dcterms:created xsi:type="dcterms:W3CDTF">2022-05-09T14:55:55Z</dcterms:created>
  <dcterms:modified xsi:type="dcterms:W3CDTF">2022-05-13T18:11:35Z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