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7 Statements G, Schedules G-1 through G-4/"/>
    </mc:Choice>
  </mc:AlternateContent>
  <xr:revisionPtr revIDLastSave="21" documentId="13_ncr:1_{44A9CB87-7089-4572-840B-1F0A06F58589}" xr6:coauthVersionLast="47" xr6:coauthVersionMax="47" xr10:uidLastSave="{1931C88F-56C4-45CE-8587-820E5085DE6E}"/>
  <bookViews>
    <workbookView xWindow="-120" yWindow="-120" windowWidth="25440" windowHeight="15390" xr2:uid="{00000000-000D-0000-FFFF-FFFF00000000}"/>
  </bookViews>
  <sheets>
    <sheet name="MEC Page 1" sheetId="4" r:id="rId1"/>
    <sheet name="MEC Page 2" sheetId="9" r:id="rId2"/>
  </sheets>
  <definedNames>
    <definedName name="_xlnm.Print_Area" localSheetId="0">'MEC Page 1'!$A$1:$L$67</definedName>
    <definedName name="_xlnm.Print_Area" localSheetId="1">'MEC Page 2'!$A$1:$H$87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4" l="1"/>
  <c r="L44" i="4"/>
  <c r="L43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H62" i="9" l="1"/>
  <c r="G62" i="9"/>
  <c r="H59" i="9" l="1"/>
  <c r="H53" i="9"/>
  <c r="H52" i="9"/>
  <c r="H51" i="9"/>
  <c r="H50" i="9"/>
  <c r="H49" i="9"/>
  <c r="H48" i="9"/>
  <c r="H47" i="9"/>
  <c r="H46" i="9"/>
  <c r="H41" i="9"/>
  <c r="H40" i="9"/>
  <c r="H39" i="9"/>
  <c r="H38" i="9"/>
  <c r="H37" i="9"/>
  <c r="H36" i="9"/>
  <c r="H35" i="9"/>
  <c r="H34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F59" i="9"/>
  <c r="D21" i="9" l="1"/>
  <c r="D26" i="9"/>
  <c r="H28" i="4" l="1"/>
  <c r="J50" i="4" l="1"/>
  <c r="J49" i="4"/>
  <c r="J47" i="4"/>
  <c r="J46" i="4"/>
  <c r="J45" i="4"/>
  <c r="J44" i="4"/>
  <c r="J43" i="4"/>
  <c r="J39" i="4"/>
  <c r="J38" i="4"/>
  <c r="J37" i="4"/>
  <c r="J36" i="4"/>
  <c r="J35" i="4"/>
  <c r="J34" i="4"/>
  <c r="J33" i="4"/>
  <c r="J32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H27" i="4"/>
  <c r="H19" i="4" l="1"/>
  <c r="H26" i="4"/>
  <c r="H25" i="4"/>
  <c r="H24" i="4"/>
  <c r="H23" i="4"/>
  <c r="H22" i="4"/>
  <c r="H21" i="4"/>
  <c r="H20" i="4"/>
  <c r="H18" i="4"/>
  <c r="H17" i="4"/>
  <c r="H16" i="4"/>
  <c r="H15" i="4"/>
  <c r="H47" i="4"/>
  <c r="I47" i="4" s="1"/>
  <c r="H46" i="4"/>
  <c r="I46" i="4" s="1"/>
  <c r="H50" i="4"/>
  <c r="I50" i="4" s="1"/>
  <c r="H49" i="4"/>
  <c r="I49" i="4" s="1"/>
  <c r="H48" i="4"/>
  <c r="I48" i="4" s="1"/>
  <c r="H35" i="4"/>
  <c r="H34" i="4"/>
  <c r="H33" i="4"/>
  <c r="F51" i="4"/>
  <c r="F54" i="9"/>
  <c r="F62" i="9" s="1"/>
  <c r="E54" i="9"/>
  <c r="D54" i="9"/>
  <c r="C54" i="9"/>
  <c r="G31" i="9"/>
  <c r="F31" i="9"/>
  <c r="E31" i="9"/>
  <c r="D31" i="9"/>
  <c r="C31" i="9"/>
  <c r="I28" i="4" l="1"/>
  <c r="I27" i="4"/>
  <c r="I26" i="4"/>
  <c r="I25" i="4"/>
  <c r="I24" i="4"/>
  <c r="I23" i="4"/>
  <c r="I22" i="4"/>
  <c r="I21" i="4"/>
  <c r="I20" i="4"/>
  <c r="I19" i="4"/>
  <c r="I18" i="4"/>
  <c r="F29" i="4"/>
  <c r="G28" i="4"/>
  <c r="K28" i="4" s="1"/>
  <c r="G27" i="4"/>
  <c r="K27" i="4" s="1"/>
  <c r="G26" i="4"/>
  <c r="K26" i="4" s="1"/>
  <c r="G25" i="4"/>
  <c r="K25" i="4" s="1"/>
  <c r="G24" i="4"/>
  <c r="K24" i="4" s="1"/>
  <c r="G23" i="4"/>
  <c r="K23" i="4" s="1"/>
  <c r="G22" i="4"/>
  <c r="K22" i="4" s="1"/>
  <c r="G21" i="4"/>
  <c r="K21" i="4" s="1"/>
  <c r="G20" i="4"/>
  <c r="K20" i="4" s="1"/>
  <c r="G19" i="4"/>
  <c r="K19" i="4" s="1"/>
  <c r="G18" i="4"/>
  <c r="K18" i="4" s="1"/>
  <c r="A32" i="4" l="1"/>
  <c r="A33" i="4" s="1"/>
  <c r="A34" i="4" s="1"/>
  <c r="A35" i="4" s="1"/>
  <c r="A36" i="4" s="1"/>
  <c r="A37" i="4" s="1"/>
  <c r="A38" i="4" s="1"/>
  <c r="A39" i="4" s="1"/>
  <c r="A40" i="4" s="1"/>
  <c r="A43" i="4" s="1"/>
  <c r="A44" i="4" s="1"/>
  <c r="A45" i="4" s="1"/>
  <c r="A46" i="4" s="1"/>
  <c r="A47" i="4" s="1"/>
  <c r="A48" i="4" s="1"/>
  <c r="H45" i="4"/>
  <c r="I45" i="4" s="1"/>
  <c r="H44" i="4"/>
  <c r="I44" i="4" s="1"/>
  <c r="H43" i="4"/>
  <c r="H51" i="4" s="1"/>
  <c r="H39" i="4"/>
  <c r="H38" i="4"/>
  <c r="I17" i="4"/>
  <c r="I16" i="4"/>
  <c r="J40" i="4"/>
  <c r="H29" i="4" l="1"/>
  <c r="A49" i="4"/>
  <c r="A50" i="4" s="1"/>
  <c r="A51" i="4" s="1"/>
  <c r="A54" i="4" s="1"/>
  <c r="A56" i="4" s="1"/>
  <c r="I43" i="4"/>
  <c r="K39" i="4"/>
  <c r="I39" i="4"/>
  <c r="F42" i="9"/>
  <c r="E42" i="9"/>
  <c r="G42" i="9"/>
  <c r="D42" i="9"/>
  <c r="G40" i="4"/>
  <c r="F40" i="4"/>
  <c r="A34" i="9"/>
  <c r="A35" i="9" s="1"/>
  <c r="A36" i="9" s="1"/>
  <c r="A37" i="9" s="1"/>
  <c r="A38" i="9" s="1"/>
  <c r="A39" i="9" s="1"/>
  <c r="A40" i="9" s="1"/>
  <c r="A41" i="9" s="1"/>
  <c r="A42" i="9" s="1"/>
  <c r="A46" i="9" s="1"/>
  <c r="A47" i="9" s="1"/>
  <c r="A48" i="9" s="1"/>
  <c r="A49" i="9" s="1"/>
  <c r="A50" i="9" s="1"/>
  <c r="A51" i="9" s="1"/>
  <c r="C42" i="9"/>
  <c r="G43" i="4"/>
  <c r="K43" i="4" s="1"/>
  <c r="G44" i="4"/>
  <c r="K44" i="4" s="1"/>
  <c r="G45" i="4"/>
  <c r="K45" i="4" s="1"/>
  <c r="G16" i="4"/>
  <c r="G17" i="4"/>
  <c r="K17" i="4" s="1"/>
  <c r="A52" i="9" l="1"/>
  <c r="A53" i="9" s="1"/>
  <c r="A54" i="9" s="1"/>
  <c r="A57" i="9" s="1"/>
  <c r="G51" i="4"/>
  <c r="K16" i="4"/>
  <c r="D62" i="9"/>
  <c r="C62" i="9"/>
  <c r="E62" i="9"/>
  <c r="F56" i="4"/>
  <c r="H42" i="9"/>
  <c r="H32" i="4" l="1"/>
  <c r="K32" i="4" s="1"/>
  <c r="I33" i="4"/>
  <c r="I34" i="4"/>
  <c r="I35" i="4"/>
  <c r="H36" i="4"/>
  <c r="I36" i="4" s="1"/>
  <c r="H37" i="4"/>
  <c r="I37" i="4" s="1"/>
  <c r="I38" i="4"/>
  <c r="I15" i="4"/>
  <c r="G15" i="4"/>
  <c r="G29" i="4" s="1"/>
  <c r="K38" i="4"/>
  <c r="G51" i="9"/>
  <c r="K36" i="4" l="1"/>
  <c r="G54" i="9"/>
  <c r="J15" i="4"/>
  <c r="J29" i="4" s="1"/>
  <c r="H31" i="9"/>
  <c r="I32" i="4"/>
  <c r="H40" i="4"/>
  <c r="H56" i="4" s="1"/>
  <c r="K34" i="4"/>
  <c r="K37" i="4"/>
  <c r="K35" i="4"/>
  <c r="K33" i="4"/>
  <c r="K15" i="4"/>
  <c r="G56" i="4"/>
  <c r="J48" i="4" l="1"/>
  <c r="J51" i="4" s="1"/>
  <c r="J56" i="4" s="1"/>
  <c r="H54" i="9"/>
  <c r="K56" i="4"/>
</calcChain>
</file>

<file path=xl/sharedStrings.xml><?xml version="1.0" encoding="utf-8"?>
<sst xmlns="http://schemas.openxmlformats.org/spreadsheetml/2006/main" count="209" uniqueCount="128">
  <si>
    <t>RULE 20:10:13:73</t>
  </si>
  <si>
    <t>Debt Capital</t>
  </si>
  <si>
    <t>Test Year Ending December 31, 2021</t>
  </si>
  <si>
    <t>Utility: MidAmerican Energy Company</t>
  </si>
  <si>
    <t>Docket No. NG22-___</t>
  </si>
  <si>
    <t>Individual Responsible:  Blake M. Groen</t>
  </si>
  <si>
    <t>Line</t>
  </si>
  <si>
    <t>Issue</t>
  </si>
  <si>
    <t>Maturity</t>
  </si>
  <si>
    <t>Interest</t>
  </si>
  <si>
    <t>Principal</t>
  </si>
  <si>
    <t>Annualized</t>
  </si>
  <si>
    <t>Net Proceeds</t>
  </si>
  <si>
    <t>Amount</t>
  </si>
  <si>
    <t>Cost of</t>
  </si>
  <si>
    <t xml:space="preserve">Yield to </t>
  </si>
  <si>
    <t>No.</t>
  </si>
  <si>
    <t>Issue Type and Coupon Rate</t>
  </si>
  <si>
    <t xml:space="preserve"> Date </t>
  </si>
  <si>
    <t xml:space="preserve"> Rate </t>
  </si>
  <si>
    <t xml:space="preserve"> Amount </t>
  </si>
  <si>
    <t>per Unit</t>
  </si>
  <si>
    <t>Outstanding</t>
  </si>
  <si>
    <t>Money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</si>
  <si>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</si>
  <si>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</si>
  <si>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</si>
  <si>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</si>
  <si>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</si>
  <si>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</si>
  <si>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</si>
  <si>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</si>
  <si>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</si>
  <si>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</si>
  <si>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</si>
  <si>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(d) * (e)</t>
  </si>
  <si>
    <t>(g) / ((e)/1,000)</t>
  </si>
  <si>
    <t>(f) / (g)</t>
  </si>
  <si>
    <t>First Mortgage Bonds</t>
  </si>
  <si>
    <t>3.70% series due 2023</t>
  </si>
  <si>
    <t>4.80% series due 2043</t>
  </si>
  <si>
    <t>3.50% series due 2024</t>
  </si>
  <si>
    <t>4.40% series due 2044</t>
  </si>
  <si>
    <t>3.50 % series due 2024</t>
  </si>
  <si>
    <t>4.25% series due 2046</t>
  </si>
  <si>
    <t>3.10% series due 2027</t>
  </si>
  <si>
    <t>3.95% series due 2047</t>
  </si>
  <si>
    <t>3.65% series due 2048</t>
  </si>
  <si>
    <t>3.65% series due 2029</t>
  </si>
  <si>
    <t>4.25% Series due 2049</t>
  </si>
  <si>
    <t>3.15% Series due 2050</t>
  </si>
  <si>
    <t>3.65% Series due 2029</t>
  </si>
  <si>
    <t>2.70% Series due 2052</t>
  </si>
  <si>
    <t>Total First Mortgage Bonds</t>
  </si>
  <si>
    <t>Pollution Control Bonds</t>
  </si>
  <si>
    <t>PC Louisa Adj Rate due 2024</t>
  </si>
  <si>
    <t>10/01/1994</t>
  </si>
  <si>
    <t>10/01/2024</t>
  </si>
  <si>
    <t>Adjustable</t>
  </si>
  <si>
    <t>N/A</t>
  </si>
  <si>
    <t>PC Rev Refunding, Series 2016A, due 2036</t>
  </si>
  <si>
    <t>09/01/2016</t>
  </si>
  <si>
    <t>09/01/2036</t>
  </si>
  <si>
    <t>Solid Waste Rev Bonds, Series  2016B</t>
  </si>
  <si>
    <t>12/1/2016</t>
  </si>
  <si>
    <t>12/1/2046</t>
  </si>
  <si>
    <t>Solid Waste Rev Bonds, Series  2017</t>
  </si>
  <si>
    <t>12/13/2017</t>
  </si>
  <si>
    <t>12/1/2047</t>
  </si>
  <si>
    <t>PC Chillicothe Adj Rate due 2023</t>
  </si>
  <si>
    <t>03/17/1993</t>
  </si>
  <si>
    <t>01/01/2023</t>
  </si>
  <si>
    <t>PC Co. Bluffs Adj Rate due 2025</t>
  </si>
  <si>
    <t>01/01/1995</t>
  </si>
  <si>
    <t>01/01/2025</t>
  </si>
  <si>
    <t>PC IFA series A, Var. rate, due 2038</t>
  </si>
  <si>
    <t>07/01/2038</t>
  </si>
  <si>
    <t>PC IFA series B, Var. rate, due 2023</t>
  </si>
  <si>
    <t>05/01/2023</t>
  </si>
  <si>
    <t>Total Pollution Control Bonds</t>
  </si>
  <si>
    <t>Other Long Term Debt</t>
  </si>
  <si>
    <t>MTN 6.75% series, due 12/31/31</t>
  </si>
  <si>
    <t>MTN 5.75% series, due 11/1/35</t>
  </si>
  <si>
    <t>MTN 5.80% series, due 10/7/36</t>
  </si>
  <si>
    <t>Prairie Wind Interconnect</t>
  </si>
  <si>
    <t>NA</t>
  </si>
  <si>
    <t>North English due 2041</t>
  </si>
  <si>
    <t>Beaver Creek/Arbor Hill/Orient</t>
  </si>
  <si>
    <t>Wellsburg Wind Farm Interconnect'n Agree</t>
  </si>
  <si>
    <t>Vienna Wind Farm Interconnect'n Agree</t>
  </si>
  <si>
    <t>Total Other Long Term Debt</t>
  </si>
  <si>
    <t>Current Maturities L-T Debt</t>
  </si>
  <si>
    <t xml:space="preserve">           TOTALS</t>
  </si>
  <si>
    <t>Sources: Columns (a) through (e):  Statement G - Rate of Return, Page 3, Col's (b) through (e) and (l).  Col. (f), Line 16-24 is the annualized interest on pollution control bonds paid in 2021.</t>
  </si>
  <si>
    <t xml:space="preserve">               Column (g):  General Ledger.  Column (i):  Statement G-Debt Capital, Page 3, Col. (g).  </t>
  </si>
  <si>
    <t xml:space="preserve">                Rows 28-32:  MidAmerican Energy Company entered into transmission services agreements in connection with various wind generation projects that require the payment</t>
  </si>
  <si>
    <t xml:space="preserve">                of amounts over extended periods of time. These obligations are discounted at the imbedded carrying cost and imputed as long-term debt.</t>
  </si>
  <si>
    <t>Note:  MidAmerican Energy Company's existing bond indenture documents do not require minimum interest coverage requirements for existing and new issues.</t>
  </si>
  <si>
    <t>20:10:13:73</t>
  </si>
  <si>
    <t>Statement G - Debt Capital</t>
  </si>
  <si>
    <t>Individual Responsible: Blake M. Groen</t>
  </si>
  <si>
    <t>Unamortized</t>
  </si>
  <si>
    <t xml:space="preserve">Unamortized </t>
  </si>
  <si>
    <t>Unamortized Debt</t>
  </si>
  <si>
    <t>Loss on Reacq'd</t>
  </si>
  <si>
    <t>Gain on Reacq'd</t>
  </si>
  <si>
    <t>Total Amount</t>
  </si>
  <si>
    <t>Disc. (Prem.)</t>
  </si>
  <si>
    <t>Debt Expense</t>
  </si>
  <si>
    <t>Debt</t>
  </si>
  <si>
    <t>(b) -(c) -(d) -(e) -(f)</t>
  </si>
  <si>
    <t>Louisa Adj Rate due 2024</t>
  </si>
  <si>
    <t>Prairie Wind Interconnect (2)</t>
  </si>
  <si>
    <t>North English due 2041 (2)</t>
  </si>
  <si>
    <t>Beaver Creek/Arbor Hill/Orient (2)</t>
  </si>
  <si>
    <t>Wellsburg Wind Farm Interconnection Agree (2)</t>
  </si>
  <si>
    <t>Vienna Wind Farm Interconnection Agree (2)</t>
  </si>
  <si>
    <t>Retired issues (1)</t>
  </si>
  <si>
    <t>Total Long Term Debt</t>
  </si>
  <si>
    <t xml:space="preserve"> </t>
  </si>
  <si>
    <t xml:space="preserve">Source:  General Ledger.  </t>
  </si>
  <si>
    <t>(1) MidAmerican has remaining unamortized gains and losses on reacquired debt being amortized over the life of debt issues that have been subsequently redeemed.</t>
  </si>
  <si>
    <t xml:space="preserve">(2) Under various facility services agreements, MidAmerican is obligated for payments over fixed terms for transmission upgrades that have been </t>
  </si>
  <si>
    <t xml:space="preserve">       accounted for as long-term debt. Principal amounts presented above are remaining obligations under such agreements discounted at </t>
  </si>
  <si>
    <t xml:space="preserve">       the underlying interest rate for each agreement.</t>
  </si>
  <si>
    <t>STATEMENT G - DEBT CAPITAL</t>
  </si>
  <si>
    <t>Page 1 of 2</t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</si>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</sst>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0.000%"/>
    <numFmt numFmtId="165" formatCode="mm/dd/yy"/>
    <numFmt numFmtId="166" formatCode="_(&quot;$&quot;* #,##0.000_);_(&quot;$&quot;* \(#,##0.000\);_(&quot;$&quot;* &quot;-&quot;???_);_(@_)"/>
    <numFmt numFmtId="167" formatCode="_(&quot;$&quot;* #,##0.00_);_(&quot;$&quot;* \(#,##0.00\);_(&quot;$&quot;* &quot;-&quot;_);_(@_)"/>
    <numFmt numFmtId="168" formatCode="_(* #,##0.00_);_(* \(#,##0.00\);_(* &quot;-&quot;_);_(@_)"/>
  </numFmts>
  <fonts count="9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/>
    <xf numFmtId="42" fontId="0" fillId="0" borderId="0" xfId="0" applyNumberFormat="1"/>
    <xf numFmtId="41" fontId="0" fillId="0" borderId="0" xfId="0" applyNumberFormat="1"/>
    <xf numFmtId="3" fontId="0" fillId="0" borderId="0" xfId="0" applyNumberFormat="1"/>
    <xf numFmtId="164" fontId="0" fillId="0" borderId="0" xfId="0" quotePrefix="1" applyNumberFormat="1" applyAlignment="1">
      <alignment horizontal="right"/>
    </xf>
    <xf numFmtId="5" fontId="0" fillId="0" borderId="0" xfId="0" applyNumberFormat="1"/>
    <xf numFmtId="14" fontId="0" fillId="0" borderId="0" xfId="0" quotePrefix="1" applyNumberFormat="1" applyAlignment="1">
      <alignment horizontal="center"/>
    </xf>
    <xf numFmtId="41" fontId="4" fillId="0" borderId="0" xfId="0" applyNumberFormat="1" applyFont="1"/>
    <xf numFmtId="10" fontId="0" fillId="0" borderId="0" xfId="0" applyNumberFormat="1"/>
    <xf numFmtId="0" fontId="3" fillId="0" borderId="0" xfId="0" applyFont="1"/>
    <xf numFmtId="38" fontId="0" fillId="0" borderId="0" xfId="0" applyNumberFormat="1"/>
    <xf numFmtId="8" fontId="0" fillId="0" borderId="0" xfId="0" applyNumberFormat="1"/>
    <xf numFmtId="0" fontId="5" fillId="0" borderId="0" xfId="0" applyFont="1"/>
    <xf numFmtId="41" fontId="6" fillId="0" borderId="0" xfId="0" applyNumberFormat="1" applyFont="1"/>
    <xf numFmtId="165" fontId="5" fillId="0" borderId="0" xfId="0" quotePrefix="1" applyNumberFormat="1" applyFont="1" applyAlignment="1">
      <alignment horizontal="center"/>
    </xf>
    <xf numFmtId="166" fontId="0" fillId="0" borderId="0" xfId="0" applyNumberFormat="1"/>
    <xf numFmtId="1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38" fontId="3" fillId="0" borderId="0" xfId="0" applyNumberFormat="1" applyFont="1"/>
    <xf numFmtId="41" fontId="3" fillId="0" borderId="0" xfId="0" applyNumberFormat="1" applyFont="1"/>
    <xf numFmtId="41" fontId="1" fillId="0" borderId="0" xfId="0" applyNumberFormat="1" applyFont="1"/>
    <xf numFmtId="41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168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/>
    <xf numFmtId="3" fontId="1" fillId="0" borderId="0" xfId="0" applyNumberFormat="1" applyFont="1"/>
    <xf numFmtId="3" fontId="3" fillId="0" borderId="0" xfId="0" applyNumberFormat="1" applyFont="1"/>
    <xf numFmtId="0" fontId="1" fillId="0" borderId="0" xfId="0" applyFont="1" applyAlignment="1">
      <alignment horizontal="center"/>
    </xf>
    <xf numFmtId="10" fontId="0" fillId="0" borderId="0" xfId="1" applyNumberFormat="1" applyFont="1" applyFill="1"/>
    <xf numFmtId="10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38" fontId="1" fillId="0" borderId="0" xfId="0" applyNumberFormat="1" applyFont="1"/>
    <xf numFmtId="0" fontId="1" fillId="0" borderId="0" xfId="0" applyFont="1"/>
    <xf numFmtId="10" fontId="1" fillId="0" borderId="0" xfId="0" applyNumberFormat="1" applyFont="1"/>
    <xf numFmtId="8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5" fontId="0" fillId="0" borderId="0" xfId="0" quotePrefix="1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tabSelected="1" zoomScale="80" zoomScaleNormal="80" workbookViewId="0">
      <selection sqref="A1:L1"/>
    </sheetView>
  </sheetViews>
  <sheetFormatPr defaultRowHeight="12.75" x14ac:dyDescent="0.2"/>
  <cols>
    <col min="1" max="1" width="4.85546875" bestFit="1" customWidth="1"/>
    <col min="2" max="2" width="38.85546875" customWidth="1"/>
    <col min="3" max="4" width="11.28515625" bestFit="1" customWidth="1"/>
    <col min="5" max="5" width="10.85546875" bestFit="1" customWidth="1"/>
    <col min="6" max="6" width="16.85546875" bestFit="1" customWidth="1"/>
    <col min="7" max="7" width="14.5703125" customWidth="1"/>
    <col min="8" max="8" width="16.5703125" bestFit="1" customWidth="1"/>
    <col min="9" max="9" width="16.5703125" customWidth="1"/>
    <col min="10" max="10" width="17.28515625" bestFit="1" customWidth="1"/>
    <col min="11" max="11" width="10.42578125" bestFit="1" customWidth="1"/>
    <col min="12" max="12" width="11.5703125" bestFit="1" customWidth="1"/>
  </cols>
  <sheetData>
    <row r="1" spans="1:12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">
      <c r="A2" s="46" t="s">
        <v>125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" customHeight="1" x14ac:dyDescent="0.2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x14ac:dyDescent="0.2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8" spans="1:12" x14ac:dyDescent="0.2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10" spans="1:12" x14ac:dyDescent="0.2">
      <c r="A10" s="45" t="s">
        <v>6</v>
      </c>
      <c r="B10" s="42"/>
      <c r="C10" s="45" t="s">
        <v>7</v>
      </c>
      <c r="D10" s="45" t="s">
        <v>8</v>
      </c>
      <c r="E10" s="45" t="s">
        <v>9</v>
      </c>
      <c r="F10" s="45" t="s">
        <v>10</v>
      </c>
      <c r="G10" s="45" t="s">
        <v>11</v>
      </c>
      <c r="H10" s="42"/>
      <c r="I10" s="45" t="s">
        <v>12</v>
      </c>
      <c r="J10" s="45" t="s">
        <v>13</v>
      </c>
      <c r="K10" s="45" t="s">
        <v>14</v>
      </c>
      <c r="L10" s="45" t="s">
        <v>15</v>
      </c>
    </row>
    <row r="11" spans="1:12" x14ac:dyDescent="0.2">
      <c r="A11" s="3" t="s">
        <v>16</v>
      </c>
      <c r="B11" s="3" t="s">
        <v>17</v>
      </c>
      <c r="C11" s="3" t="s">
        <v>18</v>
      </c>
      <c r="D11" s="3" t="s">
        <v>18</v>
      </c>
      <c r="E11" s="3" t="s">
        <v>19</v>
      </c>
      <c r="F11" s="3" t="s">
        <v>20</v>
      </c>
      <c r="G11" s="3" t="s">
        <v>9</v>
      </c>
      <c r="H11" s="3" t="s">
        <v>12</v>
      </c>
      <c r="I11" s="3" t="s">
        <v>21</v>
      </c>
      <c r="J11" s="3" t="s">
        <v>22</v>
      </c>
      <c r="K11" s="3" t="s">
        <v>23</v>
      </c>
      <c r="L11" s="3" t="s">
        <v>8</v>
      </c>
    </row>
    <row r="12" spans="1:12" x14ac:dyDescent="0.2">
      <c r="B12" s="37" t="s">
        <v>24</v>
      </c>
      <c r="C12" s="37" t="s">
        <v>25</v>
      </c>
      <c r="D12" s="37" t="s">
        <v>26</v>
      </c>
      <c r="E12" s="37" t="s">
        <v>27</v>
      </c>
      <c r="F12" s="1" t="s">
        <v>28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</row>
    <row r="13" spans="1:12" x14ac:dyDescent="0.2">
      <c r="G13" s="1" t="s">
        <v>35</v>
      </c>
      <c r="I13" s="1" t="s">
        <v>36</v>
      </c>
      <c r="K13" s="1" t="s">
        <v>37</v>
      </c>
    </row>
    <row r="14" spans="1:12" x14ac:dyDescent="0.2">
      <c r="B14" s="3" t="s">
        <v>38</v>
      </c>
    </row>
    <row r="15" spans="1:12" x14ac:dyDescent="0.2">
      <c r="A15" s="1">
        <v>1</v>
      </c>
      <c r="B15" s="33" t="s">
        <v>39</v>
      </c>
      <c r="C15" s="21">
        <v>41536</v>
      </c>
      <c r="D15" s="21">
        <v>45184</v>
      </c>
      <c r="E15" s="22">
        <v>3.6999999999999998E-2</v>
      </c>
      <c r="F15" s="6">
        <v>250000000</v>
      </c>
      <c r="G15" s="6">
        <f>E15*F15</f>
        <v>9250000</v>
      </c>
      <c r="H15" s="6">
        <f>F15-2043283-825000</f>
        <v>247131717</v>
      </c>
      <c r="I15" s="29">
        <f>H15/(F15/1000)</f>
        <v>988.52686800000004</v>
      </c>
      <c r="J15" s="6">
        <f>'MEC Page 2'!H17</f>
        <v>249485840</v>
      </c>
      <c r="K15" s="13">
        <f>G15/H15</f>
        <v>3.7429432823468792E-2</v>
      </c>
      <c r="L15" s="38">
        <f>((E15*100+(100-I15/10)/YEARFRAC(C15,D15,0)))/AVERAGE(100,I15/10)</f>
        <v>3.8368693955666541E-2</v>
      </c>
    </row>
    <row r="16" spans="1:12" x14ac:dyDescent="0.2">
      <c r="A16" s="1">
        <v>2</v>
      </c>
      <c r="B16" s="33" t="s">
        <v>40</v>
      </c>
      <c r="C16" s="21">
        <v>41536</v>
      </c>
      <c r="D16" s="21">
        <v>52489</v>
      </c>
      <c r="E16" s="22">
        <v>4.8000000000000001E-2</v>
      </c>
      <c r="F16" s="7">
        <v>350000000</v>
      </c>
      <c r="G16" s="7">
        <f t="shared" ref="G16:G28" si="0">E16*F16</f>
        <v>16800000</v>
      </c>
      <c r="H16" s="7">
        <f>F16-3560394-1652000</f>
        <v>344787606</v>
      </c>
      <c r="I16" s="30">
        <f t="shared" ref="I16:I28" si="1">H16/(F16/1000)</f>
        <v>985.10744571428575</v>
      </c>
      <c r="J16" s="7">
        <f>'MEC Page 2'!H18</f>
        <v>346382357</v>
      </c>
      <c r="K16" s="13">
        <f t="shared" ref="K16:K28" si="2">G16/H16</f>
        <v>4.8725649378475629E-2</v>
      </c>
      <c r="L16" s="38">
        <f t="shared" ref="L16:L28" si="3">((E16*100+(100-I16/10)/YEARFRAC(C16,D16,0)))/AVERAGE(100,I16/10)</f>
        <v>4.886043071140287E-2</v>
      </c>
    </row>
    <row r="17" spans="1:12" x14ac:dyDescent="0.2">
      <c r="A17" s="1">
        <v>3</v>
      </c>
      <c r="B17" s="33" t="s">
        <v>41</v>
      </c>
      <c r="C17" s="21">
        <v>41732</v>
      </c>
      <c r="D17" s="21">
        <v>45580</v>
      </c>
      <c r="E17" s="22">
        <v>3.5000000000000003E-2</v>
      </c>
      <c r="F17" s="27">
        <v>300000000</v>
      </c>
      <c r="G17" s="27">
        <f t="shared" si="0"/>
        <v>10500000.000000002</v>
      </c>
      <c r="H17" s="27">
        <f>F17-2357654-1467000</f>
        <v>296175346</v>
      </c>
      <c r="I17" s="31">
        <f t="shared" si="1"/>
        <v>987.25115333333338</v>
      </c>
      <c r="J17" s="27">
        <f>'MEC Page 2'!H19</f>
        <v>298380074</v>
      </c>
      <c r="K17" s="13">
        <f t="shared" si="2"/>
        <v>3.5451971751895926E-2</v>
      </c>
      <c r="L17" s="38">
        <f t="shared" si="3"/>
        <v>3.6442634322859567E-2</v>
      </c>
    </row>
    <row r="18" spans="1:12" x14ac:dyDescent="0.2">
      <c r="A18" s="1">
        <v>4</v>
      </c>
      <c r="B18" s="33" t="s">
        <v>42</v>
      </c>
      <c r="C18" s="21">
        <v>41732</v>
      </c>
      <c r="D18" s="21">
        <v>52885</v>
      </c>
      <c r="E18" s="22">
        <v>4.3999999999999997E-2</v>
      </c>
      <c r="F18" s="27">
        <v>400000000</v>
      </c>
      <c r="G18" s="27">
        <f t="shared" si="0"/>
        <v>17600000</v>
      </c>
      <c r="H18" s="27">
        <f>F18-4030443-2404000</f>
        <v>393565557</v>
      </c>
      <c r="I18" s="31">
        <f t="shared" si="1"/>
        <v>983.91389249999997</v>
      </c>
      <c r="J18" s="27">
        <f>'MEC Page 2'!H20</f>
        <v>392938154</v>
      </c>
      <c r="K18" s="13">
        <f t="shared" si="2"/>
        <v>4.4719360439358771E-2</v>
      </c>
      <c r="L18" s="38">
        <f t="shared" si="3"/>
        <v>4.4887873158414034E-2</v>
      </c>
    </row>
    <row r="19" spans="1:12" x14ac:dyDescent="0.2">
      <c r="A19" s="1">
        <v>5</v>
      </c>
      <c r="B19" s="33" t="s">
        <v>43</v>
      </c>
      <c r="C19" s="21">
        <v>42292</v>
      </c>
      <c r="D19" s="21">
        <v>45580</v>
      </c>
      <c r="E19" s="22">
        <v>3.5000000000000003E-2</v>
      </c>
      <c r="F19" s="27">
        <v>200000000</v>
      </c>
      <c r="G19" s="27">
        <f t="shared" si="0"/>
        <v>7000000.0000000009</v>
      </c>
      <c r="H19" s="27">
        <f>F19-1707219+6716000</f>
        <v>205008781</v>
      </c>
      <c r="I19" s="31">
        <f t="shared" si="1"/>
        <v>1025.043905</v>
      </c>
      <c r="J19" s="27">
        <f>'MEC Page 2'!H21</f>
        <v>201550786</v>
      </c>
      <c r="K19" s="13">
        <f t="shared" si="2"/>
        <v>3.4144878896675168E-2</v>
      </c>
      <c r="L19" s="38">
        <f t="shared" si="3"/>
        <v>3.1818909021519605E-2</v>
      </c>
    </row>
    <row r="20" spans="1:12" x14ac:dyDescent="0.2">
      <c r="A20" s="1">
        <v>6</v>
      </c>
      <c r="B20" s="33" t="s">
        <v>44</v>
      </c>
      <c r="C20" s="21">
        <v>42292</v>
      </c>
      <c r="D20" s="21">
        <v>53448</v>
      </c>
      <c r="E20" s="22">
        <v>4.2500000000000003E-2</v>
      </c>
      <c r="F20" s="27">
        <v>450000000</v>
      </c>
      <c r="G20" s="27">
        <f t="shared" si="0"/>
        <v>19125000</v>
      </c>
      <c r="H20" s="27">
        <f>F20-4970709-621000</f>
        <v>444408291</v>
      </c>
      <c r="I20" s="31">
        <f t="shared" si="1"/>
        <v>987.57398000000001</v>
      </c>
      <c r="J20" s="27">
        <f>'MEC Page 2'!H22</f>
        <v>445544237</v>
      </c>
      <c r="K20" s="13">
        <f t="shared" si="2"/>
        <v>4.3034750672552149E-2</v>
      </c>
      <c r="L20" s="38">
        <f t="shared" si="3"/>
        <v>4.3175064788437266E-2</v>
      </c>
    </row>
    <row r="21" spans="1:12" x14ac:dyDescent="0.2">
      <c r="A21" s="1">
        <v>7</v>
      </c>
      <c r="B21" s="33" t="s">
        <v>45</v>
      </c>
      <c r="C21" s="21">
        <v>42767</v>
      </c>
      <c r="D21" s="21">
        <v>46508</v>
      </c>
      <c r="E21" s="22">
        <v>3.1E-2</v>
      </c>
      <c r="F21" s="27">
        <v>375000000</v>
      </c>
      <c r="G21" s="27">
        <f t="shared" si="0"/>
        <v>11625000</v>
      </c>
      <c r="H21" s="27">
        <f>F21-3060989-120000</f>
        <v>371819011</v>
      </c>
      <c r="I21" s="31">
        <f t="shared" si="1"/>
        <v>991.51736266666671</v>
      </c>
      <c r="J21" s="27">
        <f>'MEC Page 2'!H23</f>
        <v>372172025</v>
      </c>
      <c r="K21" s="13">
        <f t="shared" si="2"/>
        <v>3.1265211449879309E-2</v>
      </c>
      <c r="L21" s="38">
        <f t="shared" si="3"/>
        <v>3.1963140237317549E-2</v>
      </c>
    </row>
    <row r="22" spans="1:12" x14ac:dyDescent="0.2">
      <c r="A22" s="1">
        <v>8</v>
      </c>
      <c r="B22" s="33" t="s">
        <v>46</v>
      </c>
      <c r="C22" s="21">
        <v>42767</v>
      </c>
      <c r="D22" s="21">
        <v>53905</v>
      </c>
      <c r="E22" s="22">
        <v>3.95E-2</v>
      </c>
      <c r="F22" s="27">
        <v>475000000</v>
      </c>
      <c r="G22" s="27">
        <f t="shared" si="0"/>
        <v>18762500</v>
      </c>
      <c r="H22" s="27">
        <f>F22-4827179-669750</f>
        <v>469503071</v>
      </c>
      <c r="I22" s="31">
        <f t="shared" si="1"/>
        <v>988.42751789473687</v>
      </c>
      <c r="J22" s="27">
        <f>'MEC Page 2'!H24</f>
        <v>468038766.38</v>
      </c>
      <c r="K22" s="13">
        <f t="shared" si="2"/>
        <v>3.9962464910053806E-2</v>
      </c>
      <c r="L22" s="38">
        <f t="shared" si="3"/>
        <v>4.0111520569799969E-2</v>
      </c>
    </row>
    <row r="23" spans="1:12" x14ac:dyDescent="0.2">
      <c r="A23" s="1">
        <v>9</v>
      </c>
      <c r="B23" s="33" t="s">
        <v>47</v>
      </c>
      <c r="C23" s="21">
        <v>43132</v>
      </c>
      <c r="D23" s="21">
        <v>54271</v>
      </c>
      <c r="E23" s="22">
        <v>3.6499999999999998E-2</v>
      </c>
      <c r="F23" s="27">
        <v>700000000</v>
      </c>
      <c r="G23" s="27">
        <f t="shared" si="0"/>
        <v>25550000</v>
      </c>
      <c r="H23" s="27">
        <f>F23-6530974-6111000</f>
        <v>687358026</v>
      </c>
      <c r="I23" s="31">
        <f t="shared" si="1"/>
        <v>981.94003714285714</v>
      </c>
      <c r="J23" s="27">
        <f>'MEC Page 2'!H25</f>
        <v>688980053.85000002</v>
      </c>
      <c r="K23" s="13">
        <f t="shared" si="2"/>
        <v>3.717131252352613E-2</v>
      </c>
      <c r="L23" s="38">
        <f t="shared" si="3"/>
        <v>3.7430123247536785E-2</v>
      </c>
    </row>
    <row r="24" spans="1:12" x14ac:dyDescent="0.2">
      <c r="A24" s="1">
        <v>10</v>
      </c>
      <c r="B24" s="33" t="s">
        <v>48</v>
      </c>
      <c r="C24" s="21">
        <v>43472</v>
      </c>
      <c r="D24" s="21">
        <v>47223</v>
      </c>
      <c r="E24" s="22">
        <v>3.6499999999999998E-2</v>
      </c>
      <c r="F24" s="27">
        <v>600000000</v>
      </c>
      <c r="G24" s="27">
        <f t="shared" si="0"/>
        <v>21900000</v>
      </c>
      <c r="H24" s="27">
        <f>F24-3390417-7612102</f>
        <v>588997481</v>
      </c>
      <c r="I24" s="31">
        <f t="shared" si="1"/>
        <v>981.66246833333332</v>
      </c>
      <c r="J24" s="27">
        <f>'MEC Page 2'!H26</f>
        <v>617338771.09000003</v>
      </c>
      <c r="K24" s="13">
        <f t="shared" si="2"/>
        <v>3.7181822854009797E-2</v>
      </c>
      <c r="L24" s="38">
        <f t="shared" si="3"/>
        <v>3.8639433134461602E-2</v>
      </c>
    </row>
    <row r="25" spans="1:12" x14ac:dyDescent="0.2">
      <c r="A25" s="1">
        <v>11</v>
      </c>
      <c r="B25" s="33" t="s">
        <v>49</v>
      </c>
      <c r="C25" s="21">
        <v>43472</v>
      </c>
      <c r="D25" s="21">
        <v>54619</v>
      </c>
      <c r="E25" s="22">
        <v>4.2500000000000003E-2</v>
      </c>
      <c r="F25" s="27">
        <v>900000000</v>
      </c>
      <c r="G25" s="27">
        <f t="shared" si="0"/>
        <v>38250000</v>
      </c>
      <c r="H25" s="27">
        <f>F25-8010579-20905699</f>
        <v>871083722</v>
      </c>
      <c r="I25" s="31">
        <f t="shared" si="1"/>
        <v>967.87080222222221</v>
      </c>
      <c r="J25" s="27">
        <f>'MEC Page 2'!H27</f>
        <v>873871687.65999997</v>
      </c>
      <c r="K25" s="13">
        <f t="shared" si="2"/>
        <v>4.3910819401122958E-2</v>
      </c>
      <c r="L25" s="38">
        <f t="shared" si="3"/>
        <v>4.426372840509598E-2</v>
      </c>
    </row>
    <row r="26" spans="1:12" x14ac:dyDescent="0.2">
      <c r="A26" s="1">
        <v>12</v>
      </c>
      <c r="B26" s="33" t="s">
        <v>50</v>
      </c>
      <c r="C26" s="21">
        <v>43739</v>
      </c>
      <c r="D26" s="21">
        <v>54893</v>
      </c>
      <c r="E26" s="22">
        <v>3.15E-2</v>
      </c>
      <c r="F26" s="27">
        <v>600000000</v>
      </c>
      <c r="G26" s="27">
        <f t="shared" si="0"/>
        <v>18900000</v>
      </c>
      <c r="H26" s="27">
        <f>F26-5366401-3384000</f>
        <v>591249599</v>
      </c>
      <c r="I26" s="31">
        <f t="shared" si="1"/>
        <v>985.41599833333328</v>
      </c>
      <c r="J26" s="27">
        <f>'MEC Page 2'!H28</f>
        <v>591904990.33000004</v>
      </c>
      <c r="K26" s="13">
        <f t="shared" si="2"/>
        <v>3.1966195041766107E-2</v>
      </c>
      <c r="L26" s="38">
        <f t="shared" si="3"/>
        <v>3.2212448284324603E-2</v>
      </c>
    </row>
    <row r="27" spans="1:12" x14ac:dyDescent="0.2">
      <c r="A27" s="1">
        <v>13</v>
      </c>
      <c r="B27" s="33" t="s">
        <v>51</v>
      </c>
      <c r="C27" s="21">
        <v>43739</v>
      </c>
      <c r="D27" s="21">
        <v>47223</v>
      </c>
      <c r="E27" s="22">
        <v>3.6499999999999998E-2</v>
      </c>
      <c r="F27" s="27">
        <v>250000000</v>
      </c>
      <c r="G27" s="27">
        <f t="shared" si="0"/>
        <v>9125000</v>
      </c>
      <c r="H27" s="27">
        <f>F27-1423470+25747500</f>
        <v>274324030</v>
      </c>
      <c r="I27" s="31">
        <f t="shared" si="1"/>
        <v>1097.29612</v>
      </c>
      <c r="J27" s="27">
        <f>'MEC Page 2'!H29</f>
        <v>243505554.75999999</v>
      </c>
      <c r="K27" s="13">
        <f t="shared" si="2"/>
        <v>3.3263582486740224E-2</v>
      </c>
      <c r="L27" s="38">
        <f t="shared" si="3"/>
        <v>2.5079965636192882E-2</v>
      </c>
    </row>
    <row r="28" spans="1:12" ht="15" x14ac:dyDescent="0.35">
      <c r="A28" s="1">
        <v>14</v>
      </c>
      <c r="B28" s="33" t="s">
        <v>52</v>
      </c>
      <c r="C28" s="21">
        <v>44378</v>
      </c>
      <c r="D28" s="21">
        <v>55732</v>
      </c>
      <c r="E28" s="22">
        <v>2.7E-2</v>
      </c>
      <c r="F28" s="12">
        <v>500000000</v>
      </c>
      <c r="G28" s="12">
        <f t="shared" si="0"/>
        <v>13500000</v>
      </c>
      <c r="H28" s="12">
        <f>F28-4610494-3545000</f>
        <v>491844506</v>
      </c>
      <c r="I28" s="31">
        <f t="shared" si="1"/>
        <v>983.68901200000005</v>
      </c>
      <c r="J28" s="12">
        <f>'MEC Page 2'!H30</f>
        <v>491877294.45999998</v>
      </c>
      <c r="K28" s="13">
        <f t="shared" si="2"/>
        <v>2.7447699090492637E-2</v>
      </c>
      <c r="L28" s="38">
        <f t="shared" si="3"/>
        <v>2.7751074001696695E-2</v>
      </c>
    </row>
    <row r="29" spans="1:12" x14ac:dyDescent="0.2">
      <c r="A29" s="1">
        <v>15</v>
      </c>
      <c r="B29" t="s">
        <v>53</v>
      </c>
      <c r="C29" s="21"/>
      <c r="D29" s="21"/>
      <c r="E29" s="22"/>
      <c r="F29" s="6">
        <f>SUM(F15:F28)</f>
        <v>6350000000</v>
      </c>
      <c r="G29" s="6">
        <f t="shared" ref="G29:H29" si="4">SUM(G15:G28)</f>
        <v>237887500</v>
      </c>
      <c r="H29" s="6">
        <f t="shared" si="4"/>
        <v>6277256744</v>
      </c>
      <c r="J29" s="6">
        <f>SUM(J15:J28)</f>
        <v>6281970591.5300007</v>
      </c>
      <c r="L29" s="13"/>
    </row>
    <row r="30" spans="1:12" x14ac:dyDescent="0.2">
      <c r="B30" s="33"/>
      <c r="C30" s="21"/>
      <c r="D30" s="21"/>
      <c r="E30" s="22"/>
      <c r="G30" s="8"/>
      <c r="H30" s="7"/>
      <c r="L30" s="13"/>
    </row>
    <row r="31" spans="1:12" x14ac:dyDescent="0.2">
      <c r="B31" s="3" t="s">
        <v>54</v>
      </c>
      <c r="C31" s="1"/>
      <c r="D31" s="1"/>
      <c r="E31" s="5"/>
      <c r="G31" s="8"/>
      <c r="H31" s="7"/>
      <c r="L31" s="13"/>
    </row>
    <row r="32" spans="1:12" x14ac:dyDescent="0.2">
      <c r="A32" s="1">
        <f>A29+1</f>
        <v>16</v>
      </c>
      <c r="B32" t="s">
        <v>55</v>
      </c>
      <c r="C32" s="4" t="s">
        <v>56</v>
      </c>
      <c r="D32" s="4" t="s">
        <v>57</v>
      </c>
      <c r="E32" s="9" t="s">
        <v>58</v>
      </c>
      <c r="F32" s="6">
        <v>34900000</v>
      </c>
      <c r="G32" s="35">
        <v>25032.42</v>
      </c>
      <c r="H32" s="6">
        <f>F32-254988</f>
        <v>34645012</v>
      </c>
      <c r="I32" s="29">
        <f t="shared" ref="I32:I39" si="5">H32/(F32/1000)</f>
        <v>992.69375358166189</v>
      </c>
      <c r="J32" s="6">
        <f>'MEC Page 2'!H34</f>
        <v>34806361.329999998</v>
      </c>
      <c r="K32" s="13">
        <f t="shared" ref="K32:K39" si="6">G32/H32</f>
        <v>7.2254037608646224E-4</v>
      </c>
      <c r="L32" s="39" t="s">
        <v>59</v>
      </c>
    </row>
    <row r="33" spans="1:12" x14ac:dyDescent="0.2">
      <c r="A33" s="1">
        <f>A32+1</f>
        <v>17</v>
      </c>
      <c r="B33" t="s">
        <v>60</v>
      </c>
      <c r="C33" s="4" t="s">
        <v>61</v>
      </c>
      <c r="D33" s="4" t="s">
        <v>62</v>
      </c>
      <c r="E33" s="9" t="s">
        <v>58</v>
      </c>
      <c r="F33" s="7">
        <v>33400000</v>
      </c>
      <c r="G33" s="35">
        <v>22162.89</v>
      </c>
      <c r="H33" s="7">
        <f>F33-490388</f>
        <v>32909612</v>
      </c>
      <c r="I33" s="31">
        <f t="shared" si="5"/>
        <v>985.31772455089822</v>
      </c>
      <c r="J33" s="15">
        <f>'MEC Page 2'!H35</f>
        <v>33076790.07</v>
      </c>
      <c r="K33" s="13">
        <f t="shared" si="6"/>
        <v>6.7344731988939891E-4</v>
      </c>
      <c r="L33" s="39" t="s">
        <v>59</v>
      </c>
    </row>
    <row r="34" spans="1:12" x14ac:dyDescent="0.2">
      <c r="A34" s="1">
        <f t="shared" ref="A34:A40" si="7">A33+1</f>
        <v>18</v>
      </c>
      <c r="B34" t="s">
        <v>63</v>
      </c>
      <c r="C34" s="4" t="s">
        <v>64</v>
      </c>
      <c r="D34" s="4" t="s">
        <v>65</v>
      </c>
      <c r="E34" s="9" t="s">
        <v>58</v>
      </c>
      <c r="F34" s="7">
        <v>30000000</v>
      </c>
      <c r="G34" s="35">
        <v>30534.27</v>
      </c>
      <c r="H34" s="7">
        <f>F34-559155</f>
        <v>29440845</v>
      </c>
      <c r="I34" s="31">
        <f t="shared" si="5"/>
        <v>981.36149999999998</v>
      </c>
      <c r="J34" s="15">
        <f>'MEC Page 2'!H36</f>
        <v>29576348.66</v>
      </c>
      <c r="K34" s="13">
        <f t="shared" si="6"/>
        <v>1.0371397288359081E-3</v>
      </c>
      <c r="L34" s="39" t="s">
        <v>59</v>
      </c>
    </row>
    <row r="35" spans="1:12" x14ac:dyDescent="0.2">
      <c r="A35" s="1">
        <f t="shared" si="7"/>
        <v>19</v>
      </c>
      <c r="B35" t="s">
        <v>66</v>
      </c>
      <c r="C35" s="4" t="s">
        <v>67</v>
      </c>
      <c r="D35" s="4" t="s">
        <v>68</v>
      </c>
      <c r="E35" s="9" t="s">
        <v>58</v>
      </c>
      <c r="F35" s="7">
        <v>150000000</v>
      </c>
      <c r="G35" s="35">
        <v>139027.37</v>
      </c>
      <c r="H35" s="7">
        <f>F35-1681</f>
        <v>149998319</v>
      </c>
      <c r="I35" s="31">
        <f t="shared" si="5"/>
        <v>999.98879333333332</v>
      </c>
      <c r="J35" s="15">
        <f>'MEC Page 2'!H37</f>
        <v>149107499.46000001</v>
      </c>
      <c r="K35" s="13">
        <f t="shared" si="6"/>
        <v>9.2685952033902462E-4</v>
      </c>
      <c r="L35" s="39" t="s">
        <v>59</v>
      </c>
    </row>
    <row r="36" spans="1:12" x14ac:dyDescent="0.2">
      <c r="A36" s="1">
        <f t="shared" si="7"/>
        <v>20</v>
      </c>
      <c r="B36" t="s">
        <v>69</v>
      </c>
      <c r="C36" s="4" t="s">
        <v>70</v>
      </c>
      <c r="D36" s="4" t="s">
        <v>71</v>
      </c>
      <c r="E36" s="9" t="s">
        <v>58</v>
      </c>
      <c r="F36" s="7">
        <v>6850000</v>
      </c>
      <c r="G36" s="35">
        <v>4930.13</v>
      </c>
      <c r="H36" s="7">
        <f>F36-176575</f>
        <v>6673425</v>
      </c>
      <c r="I36" s="31">
        <f t="shared" si="5"/>
        <v>974.22262773722628</v>
      </c>
      <c r="J36" s="15">
        <f>'MEC Page 2'!H38</f>
        <v>6837346.2199999997</v>
      </c>
      <c r="K36" s="13">
        <f t="shared" si="6"/>
        <v>7.3877057133331088E-4</v>
      </c>
      <c r="L36" s="39" t="s">
        <v>59</v>
      </c>
    </row>
    <row r="37" spans="1:12" x14ac:dyDescent="0.2">
      <c r="A37" s="1">
        <f t="shared" si="7"/>
        <v>21</v>
      </c>
      <c r="B37" t="s">
        <v>72</v>
      </c>
      <c r="C37" s="4" t="s">
        <v>73</v>
      </c>
      <c r="D37" s="4" t="s">
        <v>74</v>
      </c>
      <c r="E37" s="9" t="s">
        <v>58</v>
      </c>
      <c r="F37" s="7">
        <v>12750000</v>
      </c>
      <c r="G37" s="35">
        <v>9176.4699999999993</v>
      </c>
      <c r="H37" s="7">
        <f>F37-192139</f>
        <v>12557861</v>
      </c>
      <c r="I37" s="31">
        <f t="shared" si="5"/>
        <v>984.93027450980389</v>
      </c>
      <c r="J37" s="15">
        <f>'MEC Page 2'!H39</f>
        <v>12715078.52</v>
      </c>
      <c r="K37" s="13">
        <f t="shared" si="6"/>
        <v>7.3073511484161196E-4</v>
      </c>
      <c r="L37" s="39" t="s">
        <v>59</v>
      </c>
    </row>
    <row r="38" spans="1:12" x14ac:dyDescent="0.2">
      <c r="A38" s="1">
        <f t="shared" si="7"/>
        <v>22</v>
      </c>
      <c r="B38" t="s">
        <v>75</v>
      </c>
      <c r="C38" s="11">
        <v>39630</v>
      </c>
      <c r="D38" s="4" t="s">
        <v>76</v>
      </c>
      <c r="E38" s="9" t="s">
        <v>58</v>
      </c>
      <c r="F38" s="27">
        <v>45100000</v>
      </c>
      <c r="G38" s="35">
        <v>45903.13</v>
      </c>
      <c r="H38" s="27">
        <f>F38-380803</f>
        <v>44719197</v>
      </c>
      <c r="I38" s="31">
        <f t="shared" si="5"/>
        <v>991.5564745011086</v>
      </c>
      <c r="J38" s="41">
        <f>'MEC Page 2'!H40</f>
        <v>44892271.850000001</v>
      </c>
      <c r="K38" s="13">
        <f t="shared" si="6"/>
        <v>1.026474826907111E-3</v>
      </c>
      <c r="L38" s="39" t="s">
        <v>59</v>
      </c>
    </row>
    <row r="39" spans="1:12" ht="15" x14ac:dyDescent="0.35">
      <c r="A39" s="1">
        <f t="shared" si="7"/>
        <v>23</v>
      </c>
      <c r="B39" t="s">
        <v>77</v>
      </c>
      <c r="C39" s="11">
        <v>39630</v>
      </c>
      <c r="D39" s="4" t="s">
        <v>78</v>
      </c>
      <c r="E39" s="9" t="s">
        <v>58</v>
      </c>
      <c r="F39" s="12">
        <v>57325000</v>
      </c>
      <c r="G39" s="36">
        <v>38038.730000000003</v>
      </c>
      <c r="H39" s="12">
        <f>F39-342801</f>
        <v>56982199</v>
      </c>
      <c r="I39" s="31">
        <f t="shared" si="5"/>
        <v>994.02004361099</v>
      </c>
      <c r="J39" s="12">
        <f>'MEC Page 2'!H41</f>
        <v>57230102.799999997</v>
      </c>
      <c r="K39" s="13">
        <f t="shared" si="6"/>
        <v>6.6755461648645748E-4</v>
      </c>
      <c r="L39" s="39" t="s">
        <v>59</v>
      </c>
    </row>
    <row r="40" spans="1:12" x14ac:dyDescent="0.2">
      <c r="A40" s="1">
        <f t="shared" si="7"/>
        <v>24</v>
      </c>
      <c r="B40" t="s">
        <v>79</v>
      </c>
      <c r="C40" s="1"/>
      <c r="D40" s="1"/>
      <c r="E40" s="5"/>
      <c r="F40" s="6">
        <f>SUM(F32:F39)</f>
        <v>370325000</v>
      </c>
      <c r="G40" s="6">
        <f>SUM(G32:G39)</f>
        <v>314805.40999999997</v>
      </c>
      <c r="H40" s="6">
        <f>SUM(H32:H39)</f>
        <v>367926470</v>
      </c>
      <c r="J40" s="6">
        <f>SUM(J32:J39)</f>
        <v>368241798.91000003</v>
      </c>
      <c r="L40" s="13"/>
    </row>
    <row r="41" spans="1:12" ht="15" x14ac:dyDescent="0.35">
      <c r="A41" s="1"/>
      <c r="C41" s="1"/>
      <c r="D41" s="1"/>
      <c r="E41" s="5"/>
      <c r="F41" s="10"/>
      <c r="G41" s="8"/>
      <c r="H41" s="7"/>
      <c r="J41" s="12"/>
      <c r="L41" s="13"/>
    </row>
    <row r="42" spans="1:12" x14ac:dyDescent="0.2">
      <c r="B42" s="3" t="s">
        <v>80</v>
      </c>
    </row>
    <row r="43" spans="1:12" x14ac:dyDescent="0.2">
      <c r="A43" s="1">
        <f>A40+1</f>
        <v>25</v>
      </c>
      <c r="B43" s="17" t="s">
        <v>81</v>
      </c>
      <c r="C43" s="21">
        <v>37295</v>
      </c>
      <c r="D43" s="21">
        <v>48212</v>
      </c>
      <c r="E43" s="23">
        <v>6.7500000000000004E-2</v>
      </c>
      <c r="F43" s="6">
        <v>400000000</v>
      </c>
      <c r="G43" s="6">
        <f t="shared" ref="G43:G45" si="8">E43*F43</f>
        <v>27000000</v>
      </c>
      <c r="H43" s="6">
        <f>F43-3827361-5027377</f>
        <v>391145262</v>
      </c>
      <c r="I43" s="29">
        <f t="shared" ref="I43:I50" si="9">H43/(F43/1000)</f>
        <v>977.86315500000001</v>
      </c>
      <c r="J43" s="6">
        <f>'MEC Page 2'!H46</f>
        <v>395978393.99000001</v>
      </c>
      <c r="K43" s="13">
        <f t="shared" ref="K43:K45" si="10">G43/H43</f>
        <v>6.9028063543308371E-2</v>
      </c>
      <c r="L43" s="38">
        <f t="shared" ref="L43:L45" si="11">((E43*100+(100-I43/10)/YEARFRAC(C43,D43,0)))/AVERAGE(100,I43/10)</f>
        <v>6.9004268697590965E-2</v>
      </c>
    </row>
    <row r="44" spans="1:12" x14ac:dyDescent="0.2">
      <c r="A44" s="1">
        <f>A43+1</f>
        <v>26</v>
      </c>
      <c r="B44" s="17" t="s">
        <v>82</v>
      </c>
      <c r="C44" s="21">
        <v>38657</v>
      </c>
      <c r="D44" s="21">
        <v>49614</v>
      </c>
      <c r="E44" s="23">
        <v>5.7500000000000002E-2</v>
      </c>
      <c r="F44" s="27">
        <v>300000000</v>
      </c>
      <c r="G44" s="27">
        <f t="shared" si="8"/>
        <v>17250000</v>
      </c>
      <c r="H44" s="7">
        <f>F44-4587941-258000</f>
        <v>295154059</v>
      </c>
      <c r="I44" s="31">
        <f t="shared" si="9"/>
        <v>983.84686333333332</v>
      </c>
      <c r="J44" s="15">
        <f>'MEC Page 2'!H47</f>
        <v>298364773.84000003</v>
      </c>
      <c r="K44" s="13">
        <f t="shared" si="10"/>
        <v>5.8444054804613073E-2</v>
      </c>
      <c r="L44" s="38">
        <f t="shared" si="11"/>
        <v>5.8511006027320629E-2</v>
      </c>
    </row>
    <row r="45" spans="1:12" x14ac:dyDescent="0.2">
      <c r="A45" s="1">
        <f t="shared" ref="A45:A51" si="12">A44+1</f>
        <v>27</v>
      </c>
      <c r="B45" s="17" t="s">
        <v>83</v>
      </c>
      <c r="C45" s="21">
        <v>38997</v>
      </c>
      <c r="D45" s="21">
        <v>49963</v>
      </c>
      <c r="E45" s="23">
        <v>5.8000000000000003E-2</v>
      </c>
      <c r="F45" s="27">
        <v>350000000</v>
      </c>
      <c r="G45" s="27">
        <f t="shared" si="8"/>
        <v>20300000</v>
      </c>
      <c r="H45" s="7">
        <f>F45-3315372-560000</f>
        <v>346124628</v>
      </c>
      <c r="I45" s="31">
        <f t="shared" si="9"/>
        <v>988.92750857142858</v>
      </c>
      <c r="J45" s="15">
        <f>'MEC Page 2'!H48</f>
        <v>348089895.88</v>
      </c>
      <c r="K45" s="13">
        <f t="shared" si="10"/>
        <v>5.8649394922571069E-2</v>
      </c>
      <c r="L45" s="38">
        <f t="shared" si="11"/>
        <v>5.8693752893043231E-2</v>
      </c>
    </row>
    <row r="46" spans="1:12" x14ac:dyDescent="0.2">
      <c r="A46" s="1">
        <f t="shared" si="12"/>
        <v>28</v>
      </c>
      <c r="B46" s="17" t="s">
        <v>84</v>
      </c>
      <c r="C46" s="21">
        <v>44454</v>
      </c>
      <c r="D46" s="21">
        <v>50298</v>
      </c>
      <c r="E46" s="23">
        <v>7.9469999999999999E-2</v>
      </c>
      <c r="F46" s="27">
        <v>8084928</v>
      </c>
      <c r="G46" s="27">
        <v>0</v>
      </c>
      <c r="H46" s="28">
        <f>F46-3516874</f>
        <v>4568054</v>
      </c>
      <c r="I46" s="31">
        <f t="shared" si="9"/>
        <v>565.00861850594094</v>
      </c>
      <c r="J46" s="15">
        <f>'MEC Page 2'!H49</f>
        <v>4532246</v>
      </c>
      <c r="K46" s="28" t="s">
        <v>85</v>
      </c>
      <c r="L46" s="28" t="s">
        <v>85</v>
      </c>
    </row>
    <row r="47" spans="1:12" x14ac:dyDescent="0.2">
      <c r="A47" s="1">
        <f t="shared" si="12"/>
        <v>29</v>
      </c>
      <c r="B47" s="17" t="s">
        <v>86</v>
      </c>
      <c r="C47" s="21">
        <v>44362</v>
      </c>
      <c r="D47" s="21">
        <v>51606</v>
      </c>
      <c r="E47" s="23">
        <v>8.14E-2</v>
      </c>
      <c r="F47" s="27">
        <v>26182080</v>
      </c>
      <c r="G47" s="27">
        <v>0</v>
      </c>
      <c r="H47" s="28">
        <f>F47-13274750</f>
        <v>12907330</v>
      </c>
      <c r="I47" s="31">
        <f t="shared" si="9"/>
        <v>492.98336877742332</v>
      </c>
      <c r="J47" s="15">
        <f>'MEC Page 2'!H50</f>
        <v>12697126</v>
      </c>
      <c r="K47" s="28" t="s">
        <v>85</v>
      </c>
      <c r="L47" s="28" t="s">
        <v>85</v>
      </c>
    </row>
    <row r="48" spans="1:12" x14ac:dyDescent="0.2">
      <c r="A48" s="1">
        <f t="shared" si="12"/>
        <v>30</v>
      </c>
      <c r="B48" s="17" t="s">
        <v>87</v>
      </c>
      <c r="C48" s="21">
        <v>43983</v>
      </c>
      <c r="D48" s="21">
        <v>51257</v>
      </c>
      <c r="E48" s="23">
        <v>7.9159999999999994E-2</v>
      </c>
      <c r="F48" s="27">
        <v>162480</v>
      </c>
      <c r="G48" s="27">
        <v>0</v>
      </c>
      <c r="H48" s="28">
        <f>F48-81035</f>
        <v>81445</v>
      </c>
      <c r="I48" s="31">
        <f t="shared" si="9"/>
        <v>501.26169374692273</v>
      </c>
      <c r="J48" s="15">
        <f>'MEC Page 2'!H51</f>
        <v>78777</v>
      </c>
      <c r="K48" s="28" t="s">
        <v>85</v>
      </c>
      <c r="L48" s="28" t="s">
        <v>85</v>
      </c>
    </row>
    <row r="49" spans="1:12" x14ac:dyDescent="0.2">
      <c r="A49" s="1">
        <f t="shared" si="12"/>
        <v>31</v>
      </c>
      <c r="B49" s="17" t="s">
        <v>88</v>
      </c>
      <c r="C49" s="21">
        <v>42036</v>
      </c>
      <c r="D49" s="21">
        <v>49949</v>
      </c>
      <c r="E49" s="23">
        <v>4.4490000000000002E-2</v>
      </c>
      <c r="F49" s="27">
        <v>5642640</v>
      </c>
      <c r="G49" s="27">
        <v>0</v>
      </c>
      <c r="H49" s="28">
        <f>F49-1922925</f>
        <v>3719715</v>
      </c>
      <c r="I49" s="31">
        <f t="shared" si="9"/>
        <v>659.21536727489251</v>
      </c>
      <c r="J49" s="15">
        <f>'MEC Page 2'!H52</f>
        <v>2058190</v>
      </c>
      <c r="K49" s="28" t="s">
        <v>85</v>
      </c>
      <c r="L49" s="28" t="s">
        <v>85</v>
      </c>
    </row>
    <row r="50" spans="1:12" ht="15" x14ac:dyDescent="0.35">
      <c r="A50" s="1">
        <f t="shared" si="12"/>
        <v>32</v>
      </c>
      <c r="B50" s="17" t="s">
        <v>89</v>
      </c>
      <c r="C50" s="21">
        <v>42660</v>
      </c>
      <c r="D50" s="21">
        <v>49919</v>
      </c>
      <c r="E50" s="23">
        <v>3.4200000000000001E-2</v>
      </c>
      <c r="F50" s="12">
        <v>4343736</v>
      </c>
      <c r="G50" s="24">
        <v>0</v>
      </c>
      <c r="H50" s="24">
        <f>F50-1233844</f>
        <v>3109892</v>
      </c>
      <c r="I50" s="31">
        <f t="shared" si="9"/>
        <v>715.94866723023688</v>
      </c>
      <c r="J50" s="25">
        <f>'MEC Page 2'!H53</f>
        <v>1665828</v>
      </c>
      <c r="K50" s="40" t="s">
        <v>85</v>
      </c>
      <c r="L50" s="40" t="s">
        <v>85</v>
      </c>
    </row>
    <row r="51" spans="1:12" x14ac:dyDescent="0.2">
      <c r="A51" s="1">
        <f t="shared" si="12"/>
        <v>33</v>
      </c>
      <c r="B51" s="42" t="s">
        <v>90</v>
      </c>
      <c r="C51" s="19"/>
      <c r="D51" s="19"/>
      <c r="E51" s="23"/>
      <c r="F51" s="6">
        <f>SUM(F43:F50)</f>
        <v>1094415864</v>
      </c>
      <c r="G51" s="6">
        <f t="shared" ref="G51:H51" si="13">SUM(G43:G50)</f>
        <v>64550000</v>
      </c>
      <c r="H51" s="6">
        <f t="shared" si="13"/>
        <v>1056810385</v>
      </c>
      <c r="J51" s="6">
        <f>SUM(J43:J50)</f>
        <v>1063465230.71</v>
      </c>
      <c r="K51" s="43"/>
      <c r="L51" s="13"/>
    </row>
    <row r="52" spans="1:12" x14ac:dyDescent="0.2">
      <c r="A52" s="1"/>
      <c r="B52" s="42"/>
      <c r="C52" s="19"/>
      <c r="D52" s="19"/>
      <c r="E52" s="23"/>
      <c r="F52" s="27"/>
      <c r="G52" s="40"/>
      <c r="H52" s="27"/>
      <c r="I52" s="16"/>
      <c r="J52" s="41"/>
      <c r="K52" s="43"/>
      <c r="L52" s="13"/>
    </row>
    <row r="53" spans="1:12" x14ac:dyDescent="0.2">
      <c r="A53" s="1"/>
      <c r="B53" s="3" t="s">
        <v>91</v>
      </c>
      <c r="C53" s="4"/>
      <c r="D53" s="4"/>
      <c r="E53" s="5"/>
      <c r="G53" s="8"/>
      <c r="H53" s="7"/>
      <c r="I53" s="20"/>
      <c r="J53" s="15"/>
      <c r="L53" s="13"/>
    </row>
    <row r="54" spans="1:12" x14ac:dyDescent="0.2">
      <c r="A54" s="1">
        <f>A51+1</f>
        <v>34</v>
      </c>
      <c r="B54" s="17"/>
      <c r="C54" s="19"/>
      <c r="D54" s="19"/>
      <c r="E54" s="23"/>
      <c r="F54" s="27"/>
      <c r="G54" s="27"/>
      <c r="H54" s="7"/>
      <c r="I54" s="44"/>
      <c r="J54" s="15"/>
      <c r="K54" s="13"/>
      <c r="L54" s="13"/>
    </row>
    <row r="55" spans="1:12" x14ac:dyDescent="0.2">
      <c r="A55" s="1"/>
      <c r="C55" s="4"/>
      <c r="D55" s="4"/>
      <c r="E55" s="5"/>
      <c r="F55" s="8"/>
      <c r="G55" s="8"/>
      <c r="H55" s="7"/>
      <c r="J55" s="15"/>
      <c r="L55" s="13"/>
    </row>
    <row r="56" spans="1:12" x14ac:dyDescent="0.2">
      <c r="A56" s="1">
        <f>A54+1</f>
        <v>35</v>
      </c>
      <c r="B56" t="s">
        <v>92</v>
      </c>
      <c r="F56" s="6">
        <f>F29+F40+F51+F54</f>
        <v>7814740864</v>
      </c>
      <c r="G56" s="6">
        <f>G29+G40+G51+G54</f>
        <v>302752305.40999997</v>
      </c>
      <c r="H56" s="6">
        <f>H29+H40+H51+H54</f>
        <v>7701993599</v>
      </c>
      <c r="J56" s="6">
        <f>J29+J40+J51+J54</f>
        <v>7713677621.1500006</v>
      </c>
      <c r="K56" s="5">
        <f>G56/H56</f>
        <v>3.9308303949942038E-2</v>
      </c>
    </row>
    <row r="57" spans="1:12" x14ac:dyDescent="0.2">
      <c r="F57" s="10"/>
      <c r="H57" s="7"/>
      <c r="J57" s="15"/>
    </row>
    <row r="58" spans="1:12" x14ac:dyDescent="0.2">
      <c r="B58" s="32" t="s">
        <v>93</v>
      </c>
    </row>
    <row r="59" spans="1:12" x14ac:dyDescent="0.2">
      <c r="B59" s="32" t="s">
        <v>94</v>
      </c>
    </row>
    <row r="60" spans="1:12" x14ac:dyDescent="0.2">
      <c r="B60" s="33" t="s">
        <v>95</v>
      </c>
    </row>
    <row r="61" spans="1:12" x14ac:dyDescent="0.2">
      <c r="B61" s="33" t="s">
        <v>96</v>
      </c>
    </row>
    <row r="62" spans="1:12" x14ac:dyDescent="0.2">
      <c r="B62" s="33" t="s">
        <v>97</v>
      </c>
    </row>
    <row r="63" spans="1:12" x14ac:dyDescent="0.2">
      <c r="B63" s="33"/>
    </row>
    <row r="65" spans="1:12" x14ac:dyDescent="0.2">
      <c r="A65" s="46" t="s">
        <v>98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x14ac:dyDescent="0.2">
      <c r="A66" s="46" t="s">
        <v>99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x14ac:dyDescent="0.2">
      <c r="A67" s="46" t="s">
        <v>126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</sheetData>
  <mergeCells count="10">
    <mergeCell ref="A1:L1"/>
    <mergeCell ref="A2:L2"/>
    <mergeCell ref="A6:L6"/>
    <mergeCell ref="A65:L65"/>
    <mergeCell ref="A66:L66"/>
    <mergeCell ref="A67:L67"/>
    <mergeCell ref="A5:L5"/>
    <mergeCell ref="A8:L8"/>
    <mergeCell ref="A4:L4"/>
    <mergeCell ref="A3:L3"/>
  </mergeCells>
  <phoneticPr fontId="0" type="noConversion"/>
  <pageMargins left="0.75" right="0.5" top="0.75" bottom="0.75" header="0.5" footer="0.5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3"/>
  <sheetViews>
    <sheetView zoomScale="85" workbookViewId="0">
      <selection sqref="A1:I1"/>
    </sheetView>
  </sheetViews>
  <sheetFormatPr defaultRowHeight="12.75" x14ac:dyDescent="0.2"/>
  <cols>
    <col min="1" max="1" width="5.5703125" customWidth="1"/>
    <col min="2" max="2" width="39.42578125" customWidth="1"/>
    <col min="3" max="3" width="14.28515625" bestFit="1" customWidth="1"/>
    <col min="4" max="4" width="16.5703125" customWidth="1"/>
    <col min="5" max="5" width="12.7109375" bestFit="1" customWidth="1"/>
    <col min="6" max="6" width="15" bestFit="1" customWidth="1"/>
    <col min="7" max="7" width="18.42578125" customWidth="1"/>
    <col min="8" max="8" width="18.7109375" customWidth="1"/>
    <col min="13" max="13" width="13.7109375" bestFit="1" customWidth="1"/>
  </cols>
  <sheetData>
    <row r="1" spans="1:9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46" t="s">
        <v>125</v>
      </c>
      <c r="B2" s="46"/>
      <c r="C2" s="46"/>
      <c r="D2" s="46"/>
      <c r="E2" s="46"/>
      <c r="F2" s="46"/>
      <c r="G2" s="46"/>
      <c r="H2" s="46"/>
      <c r="I2" s="46"/>
    </row>
    <row r="3" spans="1:9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</row>
    <row r="4" spans="1:9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</row>
    <row r="5" spans="1:9" x14ac:dyDescent="0.2">
      <c r="A5" s="47" t="s">
        <v>3</v>
      </c>
      <c r="B5" s="47"/>
      <c r="C5" s="47"/>
      <c r="D5" s="47"/>
      <c r="E5" s="47"/>
      <c r="F5" s="47"/>
      <c r="G5" s="47"/>
      <c r="H5" s="47"/>
      <c r="I5" s="47"/>
    </row>
    <row r="6" spans="1:9" x14ac:dyDescent="0.2">
      <c r="A6" s="46" t="s">
        <v>4</v>
      </c>
      <c r="B6" s="46"/>
      <c r="C6" s="46"/>
      <c r="D6" s="46"/>
      <c r="E6" s="46"/>
      <c r="F6" s="46"/>
      <c r="G6" s="46"/>
      <c r="H6" s="46"/>
      <c r="I6" s="46"/>
    </row>
    <row r="8" spans="1:9" x14ac:dyDescent="0.2">
      <c r="A8" s="48" t="s">
        <v>100</v>
      </c>
      <c r="B8" s="48"/>
      <c r="C8" s="48"/>
      <c r="D8" s="48"/>
      <c r="E8" s="48"/>
      <c r="F8" s="48"/>
      <c r="G8" s="48"/>
      <c r="H8" s="48"/>
      <c r="I8" s="48"/>
    </row>
    <row r="11" spans="1:9" x14ac:dyDescent="0.2">
      <c r="B11" s="2"/>
      <c r="F11" s="1" t="s">
        <v>101</v>
      </c>
      <c r="G11" s="1" t="s">
        <v>102</v>
      </c>
    </row>
    <row r="12" spans="1:9" x14ac:dyDescent="0.2">
      <c r="A12" s="37" t="s">
        <v>6</v>
      </c>
      <c r="C12" s="37" t="s">
        <v>10</v>
      </c>
      <c r="D12" s="1" t="s">
        <v>103</v>
      </c>
      <c r="E12" s="1" t="s">
        <v>102</v>
      </c>
      <c r="F12" s="1" t="s">
        <v>104</v>
      </c>
      <c r="G12" s="1" t="s">
        <v>105</v>
      </c>
      <c r="H12" s="1" t="s">
        <v>106</v>
      </c>
    </row>
    <row r="13" spans="1:9" x14ac:dyDescent="0.2">
      <c r="A13" s="3" t="s">
        <v>16</v>
      </c>
      <c r="B13" s="3" t="s">
        <v>17</v>
      </c>
      <c r="C13" s="3" t="s">
        <v>20</v>
      </c>
      <c r="D13" s="3" t="s">
        <v>107</v>
      </c>
      <c r="E13" s="3" t="s">
        <v>108</v>
      </c>
      <c r="F13" s="3" t="s">
        <v>109</v>
      </c>
      <c r="G13" s="3" t="s">
        <v>109</v>
      </c>
      <c r="H13" s="3" t="s">
        <v>22</v>
      </c>
    </row>
    <row r="14" spans="1:9" x14ac:dyDescent="0.2">
      <c r="A14" s="3"/>
      <c r="B14" s="1" t="s">
        <v>24</v>
      </c>
      <c r="C14" s="1" t="s">
        <v>25</v>
      </c>
      <c r="D14" s="1" t="s">
        <v>26</v>
      </c>
      <c r="E14" s="1" t="s">
        <v>27</v>
      </c>
      <c r="F14" s="1" t="s">
        <v>28</v>
      </c>
      <c r="G14" s="1" t="s">
        <v>29</v>
      </c>
      <c r="H14" s="1" t="s">
        <v>30</v>
      </c>
    </row>
    <row r="15" spans="1:9" x14ac:dyDescent="0.2">
      <c r="A15" s="3"/>
      <c r="B15" s="1"/>
      <c r="C15" s="1"/>
      <c r="D15" s="1"/>
      <c r="E15" s="1"/>
      <c r="F15" s="1"/>
      <c r="G15" s="1"/>
      <c r="H15" s="1" t="s">
        <v>110</v>
      </c>
    </row>
    <row r="16" spans="1:9" x14ac:dyDescent="0.2">
      <c r="A16" s="3"/>
      <c r="B16" s="3" t="s">
        <v>38</v>
      </c>
      <c r="C16" s="3"/>
      <c r="D16" s="14"/>
      <c r="E16" s="3"/>
      <c r="F16" s="3"/>
      <c r="G16" s="3"/>
      <c r="H16" s="3"/>
    </row>
    <row r="17" spans="1:13" x14ac:dyDescent="0.2">
      <c r="A17" s="1">
        <v>1</v>
      </c>
      <c r="B17" s="33" t="s">
        <v>39</v>
      </c>
      <c r="C17" s="7">
        <v>250000000</v>
      </c>
      <c r="D17" s="7">
        <v>141055</v>
      </c>
      <c r="E17" s="7">
        <v>323528</v>
      </c>
      <c r="F17" s="27">
        <v>49577</v>
      </c>
      <c r="G17" s="27">
        <v>0</v>
      </c>
      <c r="H17" s="15">
        <f>C17-D17-E17-F17-G17</f>
        <v>249485840</v>
      </c>
      <c r="J17" s="33"/>
      <c r="M17" s="7"/>
    </row>
    <row r="18" spans="1:13" x14ac:dyDescent="0.2">
      <c r="A18" s="1">
        <v>2</v>
      </c>
      <c r="B18" s="33" t="s">
        <v>40</v>
      </c>
      <c r="C18" s="7">
        <v>350000000</v>
      </c>
      <c r="D18" s="7">
        <v>1195738</v>
      </c>
      <c r="E18" s="7">
        <v>2421905</v>
      </c>
      <c r="F18" s="27">
        <v>0</v>
      </c>
      <c r="G18" s="27">
        <v>0</v>
      </c>
      <c r="H18" s="15">
        <f t="shared" ref="H18:H30" si="0">C18-D18-E18-F18-G18</f>
        <v>346382357</v>
      </c>
      <c r="J18" s="33"/>
      <c r="M18" s="7"/>
    </row>
    <row r="19" spans="1:13" x14ac:dyDescent="0.2">
      <c r="A19" s="1">
        <v>3</v>
      </c>
      <c r="B19" s="33" t="s">
        <v>41</v>
      </c>
      <c r="C19" s="7">
        <v>300000000</v>
      </c>
      <c r="D19" s="7">
        <v>388713</v>
      </c>
      <c r="E19" s="7">
        <v>627067</v>
      </c>
      <c r="F19" s="27">
        <v>604146</v>
      </c>
      <c r="G19" s="27">
        <v>0</v>
      </c>
      <c r="H19" s="15">
        <f t="shared" si="0"/>
        <v>298380074</v>
      </c>
      <c r="J19" s="33"/>
      <c r="M19" s="27"/>
    </row>
    <row r="20" spans="1:13" x14ac:dyDescent="0.2">
      <c r="A20" s="1">
        <v>4</v>
      </c>
      <c r="B20" s="33" t="s">
        <v>42</v>
      </c>
      <c r="C20" s="7">
        <v>400000000</v>
      </c>
      <c r="D20" s="7">
        <v>1794308</v>
      </c>
      <c r="E20" s="7">
        <v>3011214</v>
      </c>
      <c r="F20" s="27">
        <v>2256324</v>
      </c>
      <c r="G20" s="27">
        <v>0</v>
      </c>
      <c r="H20" s="15">
        <f t="shared" si="0"/>
        <v>392938154</v>
      </c>
      <c r="J20" s="33"/>
      <c r="M20" s="27"/>
    </row>
    <row r="21" spans="1:13" x14ac:dyDescent="0.2">
      <c r="A21" s="1">
        <v>5</v>
      </c>
      <c r="B21" s="33" t="s">
        <v>43</v>
      </c>
      <c r="C21" s="7">
        <v>200000000</v>
      </c>
      <c r="D21" s="7">
        <f>-2080195</f>
        <v>-2080195</v>
      </c>
      <c r="E21" s="7">
        <v>529409</v>
      </c>
      <c r="F21" s="27">
        <v>0</v>
      </c>
      <c r="G21" s="27">
        <v>0</v>
      </c>
      <c r="H21" s="15">
        <f t="shared" si="0"/>
        <v>201550786</v>
      </c>
      <c r="J21" s="33"/>
      <c r="M21" s="27"/>
    </row>
    <row r="22" spans="1:13" x14ac:dyDescent="0.2">
      <c r="A22" s="1">
        <v>6</v>
      </c>
      <c r="B22" s="33" t="s">
        <v>44</v>
      </c>
      <c r="C22" s="7">
        <v>450000000</v>
      </c>
      <c r="D22" s="7">
        <v>494685</v>
      </c>
      <c r="E22" s="7">
        <v>3961078</v>
      </c>
      <c r="F22" s="27">
        <v>0</v>
      </c>
      <c r="G22" s="27">
        <v>0</v>
      </c>
      <c r="H22" s="15">
        <f t="shared" si="0"/>
        <v>445544237</v>
      </c>
      <c r="J22" s="33"/>
      <c r="M22" s="27"/>
    </row>
    <row r="23" spans="1:13" x14ac:dyDescent="0.2">
      <c r="A23" s="1">
        <v>7</v>
      </c>
      <c r="B23" s="33" t="s">
        <v>45</v>
      </c>
      <c r="C23" s="7">
        <v>375000000</v>
      </c>
      <c r="D23" s="7">
        <v>62439</v>
      </c>
      <c r="E23" s="7">
        <v>1615671</v>
      </c>
      <c r="F23" s="27">
        <v>1149865</v>
      </c>
      <c r="G23" s="27">
        <v>0</v>
      </c>
      <c r="H23" s="15">
        <f t="shared" si="0"/>
        <v>372172025</v>
      </c>
      <c r="J23" s="33"/>
      <c r="M23" s="27"/>
    </row>
    <row r="24" spans="1:13" x14ac:dyDescent="0.2">
      <c r="A24" s="1">
        <v>8</v>
      </c>
      <c r="B24" s="33" t="s">
        <v>46</v>
      </c>
      <c r="C24" s="7">
        <v>475000000</v>
      </c>
      <c r="D24" s="7">
        <v>561785</v>
      </c>
      <c r="E24" s="7">
        <v>4063999.62</v>
      </c>
      <c r="F24" s="27">
        <v>2335449</v>
      </c>
      <c r="G24" s="27">
        <v>0</v>
      </c>
      <c r="H24" s="15">
        <f t="shared" si="0"/>
        <v>468038766.38</v>
      </c>
      <c r="J24" s="33"/>
      <c r="M24" s="27"/>
    </row>
    <row r="25" spans="1:13" x14ac:dyDescent="0.2">
      <c r="A25" s="1">
        <v>9</v>
      </c>
      <c r="B25" s="33" t="s">
        <v>47</v>
      </c>
      <c r="C25" s="7">
        <v>700000000</v>
      </c>
      <c r="D25" s="7">
        <v>5326254</v>
      </c>
      <c r="E25" s="7">
        <v>5693692.1500000004</v>
      </c>
      <c r="F25" s="27">
        <v>0</v>
      </c>
      <c r="G25" s="27">
        <v>0</v>
      </c>
      <c r="H25" s="15">
        <f t="shared" si="0"/>
        <v>688980053.85000002</v>
      </c>
      <c r="J25" s="33"/>
      <c r="K25" s="34"/>
      <c r="M25" s="27"/>
    </row>
    <row r="26" spans="1:13" x14ac:dyDescent="0.2">
      <c r="A26" s="1">
        <v>10</v>
      </c>
      <c r="B26" s="33" t="s">
        <v>48</v>
      </c>
      <c r="C26" s="7">
        <v>600000000</v>
      </c>
      <c r="D26" s="7">
        <f>-19762336</f>
        <v>-19762336</v>
      </c>
      <c r="E26" s="7">
        <v>2402301.91</v>
      </c>
      <c r="F26" s="27">
        <v>21263</v>
      </c>
      <c r="G26" s="27">
        <v>0</v>
      </c>
      <c r="H26" s="15">
        <f t="shared" si="0"/>
        <v>617338771.09000003</v>
      </c>
      <c r="J26" s="33"/>
      <c r="M26" s="27"/>
    </row>
    <row r="27" spans="1:13" x14ac:dyDescent="0.2">
      <c r="A27" s="1">
        <v>11</v>
      </c>
      <c r="B27" s="33" t="s">
        <v>49</v>
      </c>
      <c r="C27" s="7">
        <v>900000000</v>
      </c>
      <c r="D27" s="7">
        <v>18862522</v>
      </c>
      <c r="E27" s="7">
        <v>7225525.3399999999</v>
      </c>
      <c r="F27" s="27">
        <v>40265</v>
      </c>
      <c r="G27" s="27">
        <v>0</v>
      </c>
      <c r="H27" s="15">
        <f t="shared" si="0"/>
        <v>873871687.65999997</v>
      </c>
      <c r="J27" s="33"/>
      <c r="M27" s="27"/>
    </row>
    <row r="28" spans="1:13" x14ac:dyDescent="0.2">
      <c r="A28" s="1">
        <v>12</v>
      </c>
      <c r="B28" s="33" t="s">
        <v>50</v>
      </c>
      <c r="C28" s="7">
        <v>600000000</v>
      </c>
      <c r="D28" s="7">
        <v>3130678</v>
      </c>
      <c r="E28" s="7">
        <v>4964331.67</v>
      </c>
      <c r="F28" s="27">
        <v>0</v>
      </c>
      <c r="G28" s="27">
        <v>0</v>
      </c>
      <c r="H28" s="15">
        <f t="shared" si="0"/>
        <v>591904990.33000004</v>
      </c>
      <c r="J28" s="33"/>
      <c r="M28" s="27"/>
    </row>
    <row r="29" spans="1:13" x14ac:dyDescent="0.2">
      <c r="A29" s="1">
        <v>13</v>
      </c>
      <c r="B29" s="33" t="s">
        <v>51</v>
      </c>
      <c r="C29" s="7">
        <v>250000000</v>
      </c>
      <c r="D29" s="7">
        <v>5401995</v>
      </c>
      <c r="E29" s="7">
        <v>1092450.24</v>
      </c>
      <c r="F29" s="27">
        <v>0</v>
      </c>
      <c r="G29" s="27">
        <v>0</v>
      </c>
      <c r="H29" s="15">
        <f t="shared" si="0"/>
        <v>243505554.75999999</v>
      </c>
      <c r="J29" s="33"/>
      <c r="K29" s="34"/>
      <c r="M29" s="27"/>
    </row>
    <row r="30" spans="1:13" ht="15" x14ac:dyDescent="0.35">
      <c r="A30" s="1">
        <v>14</v>
      </c>
      <c r="B30" s="33" t="s">
        <v>52</v>
      </c>
      <c r="C30" s="12">
        <v>500000000</v>
      </c>
      <c r="D30" s="12">
        <v>3492714</v>
      </c>
      <c r="E30" s="12">
        <v>4629991.54</v>
      </c>
      <c r="F30" s="12">
        <v>0</v>
      </c>
      <c r="G30" s="12">
        <v>0</v>
      </c>
      <c r="H30" s="26">
        <f t="shared" si="0"/>
        <v>491877294.45999998</v>
      </c>
      <c r="J30" s="33"/>
      <c r="M30" s="12"/>
    </row>
    <row r="31" spans="1:13" x14ac:dyDescent="0.2">
      <c r="A31" s="1">
        <v>15</v>
      </c>
      <c r="B31" t="s">
        <v>53</v>
      </c>
      <c r="C31" s="7">
        <f>SUM(C17:C30)</f>
        <v>6350000000</v>
      </c>
      <c r="D31" s="7">
        <f t="shared" ref="D31:H31" si="1">SUM(D17:D30)</f>
        <v>19010355</v>
      </c>
      <c r="E31" s="7">
        <f t="shared" si="1"/>
        <v>42562164.470000006</v>
      </c>
      <c r="F31" s="7">
        <f t="shared" si="1"/>
        <v>6456889</v>
      </c>
      <c r="G31" s="7">
        <f t="shared" si="1"/>
        <v>0</v>
      </c>
      <c r="H31" s="7">
        <f t="shared" si="1"/>
        <v>6281970591.5300007</v>
      </c>
    </row>
    <row r="32" spans="1:13" ht="15" x14ac:dyDescent="0.35">
      <c r="A32" s="1"/>
      <c r="D32" s="7"/>
      <c r="E32" s="12"/>
      <c r="F32" s="7"/>
    </row>
    <row r="33" spans="1:13" x14ac:dyDescent="0.2">
      <c r="A33" s="1"/>
      <c r="B33" s="3" t="s">
        <v>54</v>
      </c>
      <c r="D33" s="7"/>
      <c r="E33" s="7"/>
    </row>
    <row r="34" spans="1:13" x14ac:dyDescent="0.2">
      <c r="A34" s="1">
        <f>A31+1</f>
        <v>16</v>
      </c>
      <c r="B34" t="s">
        <v>111</v>
      </c>
      <c r="C34" s="7">
        <v>34900000</v>
      </c>
      <c r="D34" s="7">
        <v>0</v>
      </c>
      <c r="E34" s="7">
        <v>24216.67</v>
      </c>
      <c r="F34" s="27">
        <v>69422</v>
      </c>
      <c r="G34" s="7">
        <v>0</v>
      </c>
      <c r="H34" s="15">
        <f t="shared" ref="H34:H41" si="2">C34-D34-E34-F34-G34</f>
        <v>34806361.329999998</v>
      </c>
      <c r="M34" s="7"/>
    </row>
    <row r="35" spans="1:13" x14ac:dyDescent="0.2">
      <c r="A35" s="1">
        <f>A34+1</f>
        <v>17</v>
      </c>
      <c r="B35" t="s">
        <v>60</v>
      </c>
      <c r="C35" s="7">
        <v>33400000</v>
      </c>
      <c r="D35" s="7">
        <v>0</v>
      </c>
      <c r="E35" s="7">
        <v>323209.93</v>
      </c>
      <c r="F35" s="27">
        <v>0</v>
      </c>
      <c r="G35" s="7">
        <v>0</v>
      </c>
      <c r="H35" s="15">
        <f t="shared" si="2"/>
        <v>33076790.07</v>
      </c>
      <c r="M35" s="7"/>
    </row>
    <row r="36" spans="1:13" x14ac:dyDescent="0.2">
      <c r="A36" s="1">
        <f t="shared" ref="A36:A42" si="3">A35+1</f>
        <v>18</v>
      </c>
      <c r="B36" t="s">
        <v>63</v>
      </c>
      <c r="C36" s="7">
        <v>30000000</v>
      </c>
      <c r="D36" s="7">
        <v>0</v>
      </c>
      <c r="E36" s="7">
        <v>423651.34</v>
      </c>
      <c r="F36" s="27">
        <v>0</v>
      </c>
      <c r="G36" s="7">
        <v>0</v>
      </c>
      <c r="H36" s="15">
        <f t="shared" si="2"/>
        <v>29576348.66</v>
      </c>
      <c r="M36" s="7"/>
    </row>
    <row r="37" spans="1:13" x14ac:dyDescent="0.2">
      <c r="A37" s="1">
        <f t="shared" si="3"/>
        <v>19</v>
      </c>
      <c r="B37" t="s">
        <v>66</v>
      </c>
      <c r="C37" s="7">
        <v>150000000</v>
      </c>
      <c r="D37" s="7">
        <v>0</v>
      </c>
      <c r="E37" s="7">
        <v>892500.54</v>
      </c>
      <c r="F37" s="27">
        <v>0</v>
      </c>
      <c r="G37" s="7">
        <v>0</v>
      </c>
      <c r="H37" s="15">
        <f t="shared" si="2"/>
        <v>149107499.46000001</v>
      </c>
      <c r="M37" s="7"/>
    </row>
    <row r="38" spans="1:13" x14ac:dyDescent="0.2">
      <c r="A38" s="1">
        <f t="shared" si="3"/>
        <v>20</v>
      </c>
      <c r="B38" t="s">
        <v>69</v>
      </c>
      <c r="C38" s="7">
        <v>6850000</v>
      </c>
      <c r="D38" s="7">
        <v>0</v>
      </c>
      <c r="E38" s="7">
        <v>5934.78</v>
      </c>
      <c r="F38" s="27">
        <v>6719</v>
      </c>
      <c r="G38" s="7">
        <v>0</v>
      </c>
      <c r="H38" s="15">
        <f t="shared" si="2"/>
        <v>6837346.2199999997</v>
      </c>
      <c r="M38" s="7"/>
    </row>
    <row r="39" spans="1:13" x14ac:dyDescent="0.2">
      <c r="A39" s="1">
        <f t="shared" si="3"/>
        <v>21</v>
      </c>
      <c r="B39" t="s">
        <v>72</v>
      </c>
      <c r="C39" s="7">
        <v>12750000</v>
      </c>
      <c r="D39" s="7">
        <v>0</v>
      </c>
      <c r="E39" s="7">
        <v>19213.48</v>
      </c>
      <c r="F39" s="27">
        <v>15708</v>
      </c>
      <c r="G39" s="7">
        <v>0</v>
      </c>
      <c r="H39" s="15">
        <f t="shared" si="2"/>
        <v>12715078.52</v>
      </c>
      <c r="M39" s="7"/>
    </row>
    <row r="40" spans="1:13" x14ac:dyDescent="0.2">
      <c r="A40" s="1">
        <f t="shared" si="3"/>
        <v>22</v>
      </c>
      <c r="B40" t="s">
        <v>75</v>
      </c>
      <c r="C40" s="27">
        <v>45100000</v>
      </c>
      <c r="D40" s="7">
        <v>0</v>
      </c>
      <c r="E40" s="7">
        <v>207728.15</v>
      </c>
      <c r="F40" s="27">
        <v>0</v>
      </c>
      <c r="G40" s="27">
        <v>0</v>
      </c>
      <c r="H40" s="15">
        <f t="shared" si="2"/>
        <v>44892271.850000001</v>
      </c>
      <c r="M40" s="27"/>
    </row>
    <row r="41" spans="1:13" ht="15" x14ac:dyDescent="0.35">
      <c r="A41" s="1">
        <f t="shared" si="3"/>
        <v>23</v>
      </c>
      <c r="B41" t="s">
        <v>77</v>
      </c>
      <c r="C41" s="12">
        <v>57325000</v>
      </c>
      <c r="D41" s="12">
        <v>0</v>
      </c>
      <c r="E41" s="12">
        <v>30981.200000000001</v>
      </c>
      <c r="F41" s="12">
        <v>63916</v>
      </c>
      <c r="G41" s="12">
        <v>0</v>
      </c>
      <c r="H41" s="26">
        <f t="shared" si="2"/>
        <v>57230102.799999997</v>
      </c>
      <c r="M41" s="12"/>
    </row>
    <row r="42" spans="1:13" x14ac:dyDescent="0.2">
      <c r="A42" s="1">
        <f t="shared" si="3"/>
        <v>24</v>
      </c>
      <c r="B42" t="s">
        <v>79</v>
      </c>
      <c r="C42" s="7">
        <f>SUM(C34:C41)</f>
        <v>370325000</v>
      </c>
      <c r="D42" s="7">
        <f t="shared" ref="D42" si="4">SUM(D34:D41)</f>
        <v>0</v>
      </c>
      <c r="E42" s="7">
        <f>SUM(E34:E41)</f>
        <v>1927436.0899999999</v>
      </c>
      <c r="F42" s="7">
        <f>SUM(F34:F41)</f>
        <v>155765</v>
      </c>
      <c r="G42" s="7">
        <f>SUM(G34:G41)</f>
        <v>0</v>
      </c>
      <c r="H42" s="7">
        <f>SUM(H34:H41)</f>
        <v>368241798.91000003</v>
      </c>
    </row>
    <row r="43" spans="1:13" ht="15" x14ac:dyDescent="0.35">
      <c r="E43" s="12"/>
      <c r="F43" s="12"/>
    </row>
    <row r="44" spans="1:13" x14ac:dyDescent="0.2">
      <c r="D44" s="7"/>
      <c r="E44" s="7"/>
      <c r="F44" s="7"/>
    </row>
    <row r="45" spans="1:13" x14ac:dyDescent="0.2">
      <c r="B45" s="3" t="s">
        <v>80</v>
      </c>
      <c r="D45" s="7"/>
      <c r="E45" s="7"/>
    </row>
    <row r="46" spans="1:13" x14ac:dyDescent="0.2">
      <c r="A46" s="1">
        <f>A42+1</f>
        <v>25</v>
      </c>
      <c r="B46" s="17" t="s">
        <v>81</v>
      </c>
      <c r="C46" s="27">
        <v>400000000</v>
      </c>
      <c r="D46" s="7">
        <v>1681633.8</v>
      </c>
      <c r="E46" s="7">
        <v>1281128.21</v>
      </c>
      <c r="F46" s="27">
        <v>1058844</v>
      </c>
      <c r="G46" s="27">
        <v>0</v>
      </c>
      <c r="H46" s="15">
        <f t="shared" ref="H46:H53" si="5">C46-D46-E46-F46-G46</f>
        <v>395978393.99000001</v>
      </c>
    </row>
    <row r="47" spans="1:13" x14ac:dyDescent="0.2">
      <c r="A47" s="1">
        <f>A46+1</f>
        <v>26</v>
      </c>
      <c r="B47" s="17" t="s">
        <v>82</v>
      </c>
      <c r="C47" s="27">
        <v>300000000</v>
      </c>
      <c r="D47" s="7">
        <v>118966.39</v>
      </c>
      <c r="E47" s="7">
        <v>1516259.77</v>
      </c>
      <c r="F47" s="27">
        <v>0</v>
      </c>
      <c r="G47" s="27">
        <v>0</v>
      </c>
      <c r="H47" s="15">
        <f t="shared" si="5"/>
        <v>298364773.84000003</v>
      </c>
    </row>
    <row r="48" spans="1:13" x14ac:dyDescent="0.2">
      <c r="A48" s="1">
        <f t="shared" ref="A48:A54" si="6">A47+1</f>
        <v>27</v>
      </c>
      <c r="B48" s="17" t="s">
        <v>83</v>
      </c>
      <c r="C48" s="27">
        <v>350000000</v>
      </c>
      <c r="D48" s="7">
        <v>275855.40999999997</v>
      </c>
      <c r="E48" s="7">
        <v>1634248.71</v>
      </c>
      <c r="F48" s="27">
        <v>0</v>
      </c>
      <c r="G48" s="27">
        <v>0</v>
      </c>
      <c r="H48" s="15">
        <f t="shared" si="5"/>
        <v>348089895.88</v>
      </c>
    </row>
    <row r="49" spans="1:8" x14ac:dyDescent="0.2">
      <c r="A49" s="1">
        <f t="shared" si="6"/>
        <v>28</v>
      </c>
      <c r="B49" s="17" t="s">
        <v>112</v>
      </c>
      <c r="C49" s="27">
        <v>7958601</v>
      </c>
      <c r="D49" s="7">
        <v>3426355</v>
      </c>
      <c r="E49" s="7">
        <v>0</v>
      </c>
      <c r="F49" s="27">
        <v>0</v>
      </c>
      <c r="G49" s="27">
        <v>0</v>
      </c>
      <c r="H49" s="15">
        <f t="shared" si="5"/>
        <v>4532246</v>
      </c>
    </row>
    <row r="50" spans="1:8" x14ac:dyDescent="0.2">
      <c r="A50" s="1">
        <f t="shared" si="6"/>
        <v>29</v>
      </c>
      <c r="B50" s="17" t="s">
        <v>113</v>
      </c>
      <c r="C50" s="27">
        <v>24883856</v>
      </c>
      <c r="D50" s="7">
        <v>12186730</v>
      </c>
      <c r="E50" s="27">
        <v>0</v>
      </c>
      <c r="F50" s="27">
        <v>0</v>
      </c>
      <c r="G50" s="27">
        <v>0</v>
      </c>
      <c r="H50" s="15">
        <f t="shared" si="5"/>
        <v>12697126</v>
      </c>
    </row>
    <row r="51" spans="1:8" x14ac:dyDescent="0.2">
      <c r="A51" s="1">
        <f t="shared" si="6"/>
        <v>30</v>
      </c>
      <c r="B51" s="17" t="s">
        <v>114</v>
      </c>
      <c r="C51" s="27">
        <v>149628</v>
      </c>
      <c r="D51" s="7">
        <v>70851</v>
      </c>
      <c r="E51" s="27">
        <v>0</v>
      </c>
      <c r="F51" s="27">
        <v>0</v>
      </c>
      <c r="G51" s="27">
        <f>SUM(G46:G46)</f>
        <v>0</v>
      </c>
      <c r="H51" s="15">
        <f t="shared" si="5"/>
        <v>78777</v>
      </c>
    </row>
    <row r="52" spans="1:8" x14ac:dyDescent="0.2">
      <c r="A52" s="1">
        <f t="shared" si="6"/>
        <v>31</v>
      </c>
      <c r="B52" s="17" t="s">
        <v>115</v>
      </c>
      <c r="C52" s="27">
        <v>2734769</v>
      </c>
      <c r="D52" s="7">
        <v>676579</v>
      </c>
      <c r="E52" s="27">
        <v>0</v>
      </c>
      <c r="F52" s="27">
        <v>0</v>
      </c>
      <c r="G52" s="27">
        <v>0</v>
      </c>
      <c r="H52" s="15">
        <f t="shared" si="5"/>
        <v>2058190</v>
      </c>
    </row>
    <row r="53" spans="1:8" ht="15" x14ac:dyDescent="0.35">
      <c r="A53" s="1">
        <f t="shared" si="6"/>
        <v>32</v>
      </c>
      <c r="B53" s="17" t="s">
        <v>116</v>
      </c>
      <c r="C53" s="12">
        <v>2116242</v>
      </c>
      <c r="D53" s="12">
        <v>450414</v>
      </c>
      <c r="E53" s="12">
        <v>0</v>
      </c>
      <c r="F53" s="12">
        <v>0</v>
      </c>
      <c r="G53" s="12">
        <v>0</v>
      </c>
      <c r="H53" s="26">
        <f t="shared" si="5"/>
        <v>1665828</v>
      </c>
    </row>
    <row r="54" spans="1:8" x14ac:dyDescent="0.2">
      <c r="A54" s="1">
        <f t="shared" si="6"/>
        <v>33</v>
      </c>
      <c r="B54" s="17" t="s">
        <v>90</v>
      </c>
      <c r="C54" s="7">
        <f>SUM(C46:C53)</f>
        <v>1087843096</v>
      </c>
      <c r="D54" s="7">
        <f t="shared" ref="D54:H54" si="7">SUM(D46:D53)</f>
        <v>18887384.600000001</v>
      </c>
      <c r="E54" s="7">
        <f t="shared" si="7"/>
        <v>4431636.6899999995</v>
      </c>
      <c r="F54" s="7">
        <f t="shared" si="7"/>
        <v>1058844</v>
      </c>
      <c r="G54" s="7">
        <f t="shared" si="7"/>
        <v>0</v>
      </c>
      <c r="H54" s="7">
        <f t="shared" si="7"/>
        <v>1063465230.71</v>
      </c>
    </row>
    <row r="55" spans="1:8" ht="15" x14ac:dyDescent="0.35">
      <c r="A55" s="1"/>
      <c r="D55" s="12"/>
      <c r="F55" s="7"/>
    </row>
    <row r="56" spans="1:8" x14ac:dyDescent="0.2">
      <c r="A56" s="1"/>
      <c r="B56" s="3" t="s">
        <v>91</v>
      </c>
      <c r="D56" s="7"/>
      <c r="F56" s="7"/>
    </row>
    <row r="57" spans="1:8" x14ac:dyDescent="0.2">
      <c r="A57" s="1">
        <f>A54+1</f>
        <v>34</v>
      </c>
      <c r="B57" s="17"/>
      <c r="C57" s="27"/>
      <c r="D57" s="27"/>
      <c r="E57" s="27"/>
      <c r="F57" s="27"/>
      <c r="G57" s="27"/>
      <c r="H57" s="27"/>
    </row>
    <row r="58" spans="1:8" x14ac:dyDescent="0.2">
      <c r="A58" s="1"/>
      <c r="B58" s="17"/>
      <c r="C58" s="27"/>
      <c r="D58" s="27"/>
      <c r="E58" s="27"/>
      <c r="F58" s="27"/>
      <c r="G58" s="27"/>
      <c r="H58" s="27"/>
    </row>
    <row r="59" spans="1:8" x14ac:dyDescent="0.2">
      <c r="A59" s="1">
        <v>35</v>
      </c>
      <c r="B59" s="17" t="s">
        <v>117</v>
      </c>
      <c r="C59" s="27"/>
      <c r="D59" s="27"/>
      <c r="E59" s="27"/>
      <c r="F59" s="27">
        <f>385135+10805+1</f>
        <v>395941</v>
      </c>
      <c r="G59" s="27">
        <v>-231574</v>
      </c>
      <c r="H59" s="27">
        <f>C59-D59-E59-F59-G59</f>
        <v>-164367</v>
      </c>
    </row>
    <row r="60" spans="1:8" x14ac:dyDescent="0.2">
      <c r="A60" s="1"/>
      <c r="C60" s="7"/>
      <c r="D60" s="7"/>
      <c r="E60" s="7"/>
      <c r="F60" s="27"/>
      <c r="G60" s="27"/>
      <c r="H60" s="15"/>
    </row>
    <row r="61" spans="1:8" x14ac:dyDescent="0.2">
      <c r="A61" s="1"/>
      <c r="C61" s="7"/>
      <c r="D61" s="7"/>
    </row>
    <row r="62" spans="1:8" x14ac:dyDescent="0.2">
      <c r="A62" s="1">
        <v>36</v>
      </c>
      <c r="B62" t="s">
        <v>118</v>
      </c>
      <c r="C62" s="7">
        <f>C31+C42+C54+C57</f>
        <v>7808168096</v>
      </c>
      <c r="D62" s="7">
        <f t="shared" ref="D62:E62" si="8">D31+D42+D54+D57</f>
        <v>37897739.600000001</v>
      </c>
      <c r="E62" s="7">
        <f t="shared" si="8"/>
        <v>48921237.25</v>
      </c>
      <c r="F62" s="7">
        <f>F31+F42+F54+F57+F59</f>
        <v>8067439</v>
      </c>
      <c r="G62" s="7">
        <f t="shared" ref="G62:H62" si="9">G31+G42+G54+G57+G59</f>
        <v>-231574</v>
      </c>
      <c r="H62" s="7">
        <f t="shared" si="9"/>
        <v>7713513254.1500006</v>
      </c>
    </row>
    <row r="64" spans="1:8" x14ac:dyDescent="0.2">
      <c r="H64" t="s">
        <v>119</v>
      </c>
    </row>
    <row r="65" spans="2:8" x14ac:dyDescent="0.2">
      <c r="B65" t="s">
        <v>120</v>
      </c>
      <c r="H65" s="7"/>
    </row>
    <row r="67" spans="2:8" x14ac:dyDescent="0.2">
      <c r="B67" t="s">
        <v>121</v>
      </c>
      <c r="D67" s="7"/>
      <c r="F67" s="7"/>
    </row>
    <row r="68" spans="2:8" x14ac:dyDescent="0.2">
      <c r="B68" t="s">
        <v>122</v>
      </c>
      <c r="D68" s="7"/>
      <c r="E68" s="7"/>
      <c r="F68" s="7"/>
    </row>
    <row r="69" spans="2:8" x14ac:dyDescent="0.2">
      <c r="B69" t="s">
        <v>123</v>
      </c>
      <c r="D69" s="7"/>
      <c r="E69" s="7"/>
      <c r="F69" s="7"/>
    </row>
    <row r="70" spans="2:8" x14ac:dyDescent="0.2">
      <c r="B70" t="s">
        <v>124</v>
      </c>
      <c r="D70" s="7"/>
      <c r="E70" s="7"/>
      <c r="F70" s="7"/>
    </row>
    <row r="71" spans="2:8" x14ac:dyDescent="0.2">
      <c r="D71" s="7"/>
      <c r="E71" s="7"/>
      <c r="F71" s="7"/>
    </row>
    <row r="72" spans="2:8" x14ac:dyDescent="0.2">
      <c r="D72" s="7"/>
      <c r="E72" s="7"/>
      <c r="F72" s="7"/>
    </row>
    <row r="73" spans="2:8" x14ac:dyDescent="0.2">
      <c r="D73" s="7"/>
      <c r="E73" s="7"/>
      <c r="F73" s="7"/>
    </row>
    <row r="74" spans="2:8" x14ac:dyDescent="0.2">
      <c r="D74" s="7"/>
      <c r="E74" s="7"/>
      <c r="F74" s="7"/>
    </row>
    <row r="75" spans="2:8" x14ac:dyDescent="0.2">
      <c r="D75" s="7"/>
      <c r="E75" s="7"/>
      <c r="F75" s="7"/>
    </row>
    <row r="76" spans="2:8" x14ac:dyDescent="0.2">
      <c r="D76" s="7"/>
      <c r="E76" s="7"/>
      <c r="F76" s="7"/>
    </row>
    <row r="77" spans="2:8" x14ac:dyDescent="0.2">
      <c r="D77" s="7"/>
      <c r="E77" s="7"/>
      <c r="F77" s="7"/>
    </row>
    <row r="78" spans="2:8" x14ac:dyDescent="0.2">
      <c r="D78" s="7"/>
      <c r="E78" s="7"/>
      <c r="F78" s="7"/>
    </row>
    <row r="79" spans="2:8" x14ac:dyDescent="0.2">
      <c r="D79" s="7"/>
      <c r="E79" s="7"/>
      <c r="F79" s="7"/>
    </row>
    <row r="80" spans="2:8" x14ac:dyDescent="0.2">
      <c r="D80" s="7"/>
      <c r="E80" s="7"/>
      <c r="F80" s="7"/>
    </row>
    <row r="81" spans="1:8" x14ac:dyDescent="0.2">
      <c r="D81" s="7"/>
      <c r="E81" s="7"/>
      <c r="F81" s="7"/>
    </row>
    <row r="82" spans="1:8" x14ac:dyDescent="0.2">
      <c r="D82" s="7"/>
      <c r="E82" s="7"/>
      <c r="F82" s="7"/>
    </row>
    <row r="83" spans="1:8" x14ac:dyDescent="0.2">
      <c r="D83" s="7"/>
      <c r="E83" s="7"/>
      <c r="F83" s="7"/>
    </row>
    <row r="84" spans="1:8" x14ac:dyDescent="0.2">
      <c r="D84" s="7"/>
      <c r="E84" s="7"/>
      <c r="F84" s="7"/>
    </row>
    <row r="85" spans="1:8" x14ac:dyDescent="0.2">
      <c r="A85" s="46" t="s">
        <v>98</v>
      </c>
      <c r="B85" s="46"/>
      <c r="C85" s="46"/>
      <c r="D85" s="46"/>
      <c r="E85" s="46"/>
      <c r="F85" s="46"/>
      <c r="G85" s="46"/>
      <c r="H85" s="46"/>
    </row>
    <row r="86" spans="1:8" x14ac:dyDescent="0.2">
      <c r="A86" s="46" t="s">
        <v>99</v>
      </c>
      <c r="B86" s="46"/>
      <c r="C86" s="46"/>
      <c r="D86" s="46"/>
      <c r="E86" s="46"/>
      <c r="F86" s="46"/>
      <c r="G86" s="46"/>
      <c r="H86" s="46"/>
    </row>
    <row r="87" spans="1:8" x14ac:dyDescent="0.2">
      <c r="A87" s="46" t="s">
        <v>127</v>
      </c>
      <c r="B87" s="46"/>
      <c r="C87" s="46"/>
      <c r="D87" s="46"/>
      <c r="E87" s="46"/>
      <c r="F87" s="46"/>
      <c r="G87" s="46"/>
      <c r="H87" s="46"/>
    </row>
    <row r="88" spans="1:8" ht="15" x14ac:dyDescent="0.35">
      <c r="D88" s="18"/>
      <c r="E88" s="7"/>
    </row>
    <row r="89" spans="1:8" x14ac:dyDescent="0.2">
      <c r="D89" s="27"/>
      <c r="E89" s="7"/>
      <c r="F89" s="7"/>
    </row>
    <row r="90" spans="1:8" ht="15" x14ac:dyDescent="0.35">
      <c r="D90" s="12"/>
    </row>
    <row r="91" spans="1:8" x14ac:dyDescent="0.2">
      <c r="D91" s="7"/>
    </row>
    <row r="92" spans="1:8" x14ac:dyDescent="0.2">
      <c r="D92" s="7"/>
    </row>
    <row r="93" spans="1:8" x14ac:dyDescent="0.2">
      <c r="D93" s="8"/>
    </row>
  </sheetData>
  <mergeCells count="10">
    <mergeCell ref="A85:H85"/>
    <mergeCell ref="A86:H86"/>
    <mergeCell ref="A87:H87"/>
    <mergeCell ref="A1:I1"/>
    <mergeCell ref="A2:I2"/>
    <mergeCell ref="A3:I3"/>
    <mergeCell ref="A4:I4"/>
    <mergeCell ref="A5:I5"/>
    <mergeCell ref="A6:I6"/>
    <mergeCell ref="A8:I8"/>
  </mergeCells>
  <phoneticPr fontId="7" type="noConversion"/>
  <pageMargins left="0.75" right="0.75" top="1" bottom="1" header="0.5" footer="0.5"/>
  <pageSetup scale="6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CEC377-E36C-4F73-B3D3-0569F61E1019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EB5C9CB-239B-4615-9112-4837BB9644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4B2BFB-2613-4300-9886-D7433D7ECC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MEC Page 1</vt:lpstr>
      <vt:lpstr>MEC Page 2</vt:lpstr>
      <vt:lpstr>'MEC Page 1'!Print_Area</vt:lpstr>
      <vt:lpstr>'MEC Page 2'!Print_Area</vt:lpstr>
    </vt:vector>
  </TitlesOfParts>
  <Manager/>
  <Company>MidAmerican Energy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G-Debt Capital</dc:title>
  <dc:subject/>
  <dc:creator>jim behrens</dc:creator>
  <cp:keywords/>
  <dc:description/>
  <cp:lastModifiedBy>Farrance, Laura (MidAmerican)</cp:lastModifiedBy>
  <cp:revision/>
  <dcterms:created xsi:type="dcterms:W3CDTF">1998-11-07T18:43:54Z</dcterms:created>
  <dcterms:modified xsi:type="dcterms:W3CDTF">2022-05-16T18:17:24Z</dcterms:modified>
  <cp:category/>
  <cp:contentStatus>Ready for Review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